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5_Bordeaux\2024 ESCOUBILHAC - TS - 16 973 340\"/>
    </mc:Choice>
  </mc:AlternateContent>
  <xr:revisionPtr revIDLastSave="0" documentId="13_ncr:1_{BA904EB6-9625-4ECC-85F9-6A1D8E2B11A8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4" i="1" l="1"/>
  <c r="B154" i="1"/>
  <c r="D153" i="1"/>
  <c r="B153" i="1"/>
  <c r="D152" i="1"/>
  <c r="B152" i="1"/>
  <c r="D151" i="1"/>
  <c r="B151" i="1"/>
  <c r="D150" i="1"/>
  <c r="B150" i="1"/>
  <c r="D149" i="1"/>
  <c r="B149" i="1"/>
  <c r="D148" i="1"/>
  <c r="B148" i="1"/>
  <c r="D147" i="1"/>
  <c r="B147" i="1"/>
  <c r="D146" i="1"/>
  <c r="B146" i="1"/>
  <c r="D145" i="1"/>
  <c r="B145" i="1"/>
  <c r="D144" i="1"/>
  <c r="B144" i="1"/>
  <c r="D143" i="1"/>
  <c r="B143" i="1"/>
  <c r="D142" i="1"/>
  <c r="B142" i="1"/>
  <c r="D141" i="1"/>
  <c r="B141" i="1"/>
  <c r="B140" i="1"/>
  <c r="B199" i="1" l="1"/>
  <c r="D199" i="1" s="1"/>
  <c r="D198" i="1"/>
  <c r="D197" i="1"/>
  <c r="D196" i="1"/>
  <c r="D195" i="1"/>
  <c r="D194" i="1"/>
  <c r="D193" i="1"/>
  <c r="B173" i="1"/>
  <c r="B172" i="1"/>
  <c r="B171" i="1"/>
  <c r="B170" i="1"/>
  <c r="B169" i="1"/>
  <c r="B168" i="1"/>
  <c r="B167" i="1"/>
  <c r="B166" i="1"/>
  <c r="B121" i="1"/>
  <c r="D121" i="1" s="1"/>
  <c r="D120" i="1"/>
  <c r="D119" i="1"/>
  <c r="D118" i="1"/>
  <c r="D117" i="1"/>
  <c r="D116" i="1"/>
  <c r="D115" i="1"/>
  <c r="B95" i="1"/>
  <c r="B94" i="1"/>
  <c r="B93" i="1"/>
  <c r="B92" i="1"/>
  <c r="B91" i="1"/>
  <c r="B90" i="1"/>
  <c r="B89" i="1"/>
  <c r="B88" i="1"/>
  <c r="D71" i="1"/>
  <c r="B71" i="1"/>
  <c r="D70" i="1"/>
  <c r="B70" i="1"/>
  <c r="D69" i="1"/>
  <c r="B69" i="1"/>
  <c r="D68" i="1"/>
  <c r="B68" i="1"/>
  <c r="D67" i="1"/>
  <c r="B67" i="1"/>
  <c r="D66" i="1"/>
  <c r="B66" i="1"/>
  <c r="D65" i="1"/>
  <c r="B65" i="1"/>
  <c r="D64" i="1"/>
  <c r="B64" i="1"/>
  <c r="D63" i="1"/>
  <c r="B63" i="1"/>
  <c r="B62" i="1"/>
  <c r="D43" i="1"/>
  <c r="B43" i="1"/>
  <c r="D42" i="1"/>
  <c r="B42" i="1"/>
  <c r="D41" i="1"/>
  <c r="B41" i="1"/>
  <c r="D40" i="1"/>
  <c r="B40" i="1"/>
  <c r="D39" i="1"/>
  <c r="B39" i="1"/>
  <c r="D38" i="1"/>
  <c r="B38" i="1"/>
  <c r="D37" i="1"/>
  <c r="B37" i="1"/>
  <c r="B3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HI7" i="2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H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W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AB156" i="2" l="1"/>
  <c r="EX156" i="2"/>
  <c r="EB156" i="2"/>
  <c r="DH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A157" i="2"/>
  <c r="CN156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ED157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A159" i="2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A161" i="2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DI161" i="2" l="1"/>
  <c r="EY161" i="2"/>
  <c r="EW162" i="2"/>
  <c r="ED161" i="2"/>
  <c r="EC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Y163" i="2"/>
  <c r="ED163" i="2"/>
  <c r="DH164" i="2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X165" i="2"/>
  <c r="EB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A167" i="2"/>
  <c r="DG167" i="2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EW168" i="2"/>
  <c r="EB168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V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X173" i="2" l="1"/>
  <c r="EW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EB178" i="2"/>
  <c r="HH178" i="2"/>
  <c r="HG178" i="2"/>
  <c r="FS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DF179" i="2" l="1"/>
  <c r="EV179" i="2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X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D184" i="2" s="1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W185" i="2"/>
  <c r="EB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V192" i="2"/>
  <c r="EC192" i="2"/>
  <c r="EB192" i="2"/>
  <c r="EA192" i="2"/>
  <c r="ED192" i="2" s="1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Y194" i="2" l="1"/>
  <c r="EB195" i="2"/>
  <c r="EX195" i="2"/>
  <c r="DH195" i="2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EC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B199" i="2"/>
  <c r="EA199" i="2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A201" i="2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CS129" i="2" l="1" a="1"/>
  <c r="CS129" i="2" s="1"/>
  <c r="CS66" i="2" a="1"/>
  <c r="CS66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CY24" i="2" l="1"/>
  <c r="CY6" i="2"/>
  <c r="CY41" i="2"/>
  <c r="CY70" i="2"/>
  <c r="CY129" i="2"/>
  <c r="CY173" i="2"/>
  <c r="CY169" i="2"/>
  <c r="CY27" i="2"/>
  <c r="CY190" i="2"/>
  <c r="CY130" i="2"/>
  <c r="CY156" i="2"/>
  <c r="CY104" i="2"/>
  <c r="CY88" i="2"/>
  <c r="CY109" i="2"/>
  <c r="CY29" i="2"/>
  <c r="CY31" i="2"/>
  <c r="CY121" i="2"/>
  <c r="CY153" i="2"/>
  <c r="CY102" i="2"/>
  <c r="CY132" i="2"/>
  <c r="CY159" i="2"/>
  <c r="CY69" i="2"/>
  <c r="CY93" i="2"/>
  <c r="CY191" i="2"/>
  <c r="CY5" i="2"/>
  <c r="CY22" i="2"/>
  <c r="CY47" i="2"/>
  <c r="CY152" i="2"/>
  <c r="CY40" i="2"/>
  <c r="CY97" i="2"/>
  <c r="CY80" i="2"/>
  <c r="CY42" i="2"/>
  <c r="CY163" i="2"/>
  <c r="CY195" i="2"/>
  <c r="CY198" i="2"/>
  <c r="CY36" i="2"/>
  <c r="CY64" i="2"/>
  <c r="CY94" i="2"/>
  <c r="CY193" i="2"/>
  <c r="CY197" i="2"/>
  <c r="CY13" i="2"/>
  <c r="CY183" i="2"/>
  <c r="CY181" i="2"/>
  <c r="CY63" i="2"/>
  <c r="CY162" i="2"/>
  <c r="CY28" i="2"/>
  <c r="CY12" i="2"/>
  <c r="CY103" i="2"/>
  <c r="CY16" i="2"/>
  <c r="CY9" i="2"/>
  <c r="CY77" i="2"/>
  <c r="CY119" i="2"/>
  <c r="CY52" i="2"/>
  <c r="CY98" i="2"/>
  <c r="CY177" i="2"/>
  <c r="CY160" i="2"/>
  <c r="CY118" i="2"/>
  <c r="CY56" i="2"/>
  <c r="CY81" i="2"/>
  <c r="CY194" i="2"/>
  <c r="CY172" i="2"/>
  <c r="CY44" i="2"/>
  <c r="CY161" i="2"/>
  <c r="CY49" i="2"/>
  <c r="CY178" i="2"/>
  <c r="CY37" i="2"/>
  <c r="CY26" i="2"/>
  <c r="CY180" i="2"/>
  <c r="CY158" i="2"/>
  <c r="CY78" i="2"/>
  <c r="CY110" i="2"/>
  <c r="CY202" i="2"/>
  <c r="CY174" i="2"/>
  <c r="CY127" i="2"/>
  <c r="CY164" i="2"/>
  <c r="CY73" i="2"/>
  <c r="CY62" i="2"/>
  <c r="CY120" i="2"/>
  <c r="CY168" i="2"/>
  <c r="CY128" i="2"/>
  <c r="CY122" i="2"/>
  <c r="CY84" i="2"/>
  <c r="CY82" i="2"/>
  <c r="CY146" i="2"/>
  <c r="CY76" i="2"/>
  <c r="CY131" i="2"/>
  <c r="CY86" i="2"/>
  <c r="CY34" i="2"/>
  <c r="CY157" i="2"/>
  <c r="CY149" i="2"/>
  <c r="CY85" i="2"/>
  <c r="CY45" i="2"/>
  <c r="CY116" i="2"/>
  <c r="CY66" i="2"/>
  <c r="CY71" i="2"/>
  <c r="CY39" i="2"/>
  <c r="CY167" i="2"/>
  <c r="CY18" i="2"/>
  <c r="CY58" i="2"/>
  <c r="CY117" i="2"/>
  <c r="CY201" i="2"/>
  <c r="CY57" i="2"/>
  <c r="CY92" i="2"/>
  <c r="CY53" i="2"/>
  <c r="CY165" i="2"/>
  <c r="CY30" i="2"/>
  <c r="CY46" i="2"/>
  <c r="CY166" i="2"/>
  <c r="CY141" i="2"/>
  <c r="CY125" i="2"/>
  <c r="CY186" i="2"/>
  <c r="CY15" i="2"/>
  <c r="CY101" i="2"/>
  <c r="CY170" i="2"/>
  <c r="CY105" i="2"/>
  <c r="CY196" i="2"/>
  <c r="CY72" i="2"/>
  <c r="CY43" i="2"/>
  <c r="CY147" i="2"/>
  <c r="CY140" i="2"/>
  <c r="CY155" i="2"/>
  <c r="CY50" i="2"/>
  <c r="CY124" i="2"/>
  <c r="CY17" i="2"/>
  <c r="CY96" i="2"/>
  <c r="CY176" i="2"/>
  <c r="CY179" i="2"/>
  <c r="CY192" i="2"/>
  <c r="CY3" i="2"/>
  <c r="C10" i="4" s="1"/>
  <c r="E10" i="4" s="1"/>
  <c r="F10" i="4" s="1"/>
  <c r="G10" i="4" s="1"/>
  <c r="L10" i="4" s="1"/>
  <c r="CY55" i="2"/>
  <c r="CY35" i="2"/>
  <c r="CY203" i="2"/>
  <c r="CY188" i="2"/>
  <c r="CY91" i="2"/>
  <c r="CY21" i="2"/>
  <c r="CY106" i="2"/>
  <c r="CY151" i="2"/>
  <c r="CY48" i="2"/>
  <c r="CY199" i="2"/>
  <c r="CY107" i="2"/>
  <c r="CY11" i="2"/>
  <c r="CY100" i="2"/>
  <c r="CY113" i="2"/>
  <c r="CY54" i="2"/>
  <c r="CY150" i="2"/>
  <c r="CY25" i="2"/>
  <c r="CY200" i="2"/>
  <c r="CY75" i="2"/>
  <c r="CY23" i="2"/>
  <c r="CY108" i="2"/>
  <c r="CY99" i="2"/>
  <c r="CY32" i="2"/>
  <c r="CY184" i="2"/>
  <c r="CY112" i="2"/>
  <c r="CY7" i="2"/>
  <c r="CY4" i="2"/>
  <c r="CY114" i="2"/>
  <c r="CY111" i="2"/>
  <c r="CY65" i="2"/>
  <c r="CY133" i="2"/>
  <c r="CY83" i="2"/>
  <c r="CY79" i="2"/>
  <c r="CY74" i="2"/>
  <c r="CY135" i="2"/>
  <c r="CY67" i="2"/>
  <c r="CY144" i="2"/>
  <c r="CY126" i="2"/>
  <c r="CY61" i="2"/>
  <c r="CY148" i="2"/>
  <c r="CY19" i="2"/>
  <c r="CY59" i="2"/>
  <c r="CY136" i="2"/>
  <c r="CY89" i="2"/>
  <c r="CY115" i="2"/>
  <c r="CY33" i="2"/>
  <c r="CY8" i="2"/>
  <c r="CY189" i="2"/>
  <c r="CY185" i="2"/>
  <c r="CY143" i="2"/>
  <c r="CY14" i="2"/>
  <c r="CY68" i="2"/>
  <c r="CY51" i="2"/>
  <c r="CY38" i="2"/>
  <c r="CY175" i="2"/>
  <c r="CY154" i="2"/>
  <c r="CY187" i="2"/>
  <c r="CY137" i="2"/>
  <c r="CY87" i="2"/>
  <c r="CY171" i="2"/>
  <c r="CY10" i="2"/>
  <c r="CY123" i="2"/>
  <c r="CY182" i="2"/>
  <c r="CY134" i="2"/>
  <c r="CY90" i="2"/>
  <c r="CY95" i="2"/>
  <c r="CY145" i="2"/>
  <c r="CY142" i="2"/>
  <c r="CY60" i="2"/>
  <c r="CY20" i="2"/>
  <c r="CY139" i="2"/>
  <c r="CY138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<sst xmlns="http://schemas.openxmlformats.org/spreadsheetml/2006/main" count="1176" uniqueCount="324">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</sst>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1.9371373631158919</c:v>
                </c:pt>
                <c:pt idx="2">
                  <c:v>2.582043612011879</c:v>
                </c:pt>
                <c:pt idx="3">
                  <c:v>3.4425466249226413</c:v>
                </c:pt>
                <c:pt idx="4">
                  <c:v>4.591004491739012</c:v>
                </c:pt>
                <c:pt idx="5">
                  <c:v>6.124148648935722</c:v>
                </c:pt>
                <c:pt idx="6">
                  <c:v>8.1713216117174081</c:v>
                </c:pt>
                <c:pt idx="7">
                  <c:v>10.905507543402789</c:v>
                </c:pt>
                <c:pt idx="8">
                  <c:v>14.558105199493902</c:v>
                </c:pt>
                <c:pt idx="9">
                  <c:v>19.438716447552824</c:v>
                </c:pt>
                <c:pt idx="10">
                  <c:v>25.96165780940046</c:v>
                </c:pt>
                <c:pt idx="11">
                  <c:v>34.681485159077681</c:v>
                </c:pt>
                <c:pt idx="12">
                  <c:v>46.340603684565174</c:v>
                </c:pt>
                <c:pt idx="13">
                  <c:v>61.933084777661577</c:v>
                </c:pt>
                <c:pt idx="14">
                  <c:v>82.790220394132618</c:v>
                </c:pt>
                <c:pt idx="15">
                  <c:v>110.69523687133828</c:v>
                </c:pt>
                <c:pt idx="16">
                  <c:v>148.03712979275406</c:v>
                </c:pt>
                <c:pt idx="17">
                  <c:v>198.01699175113845</c:v>
                </c:pt>
                <c:pt idx="18">
                  <c:v>225.9481518705777</c:v>
                </c:pt>
                <c:pt idx="19">
                  <c:v>167.1629650420995</c:v>
                </c:pt>
                <c:pt idx="20">
                  <c:v>192.18884671776516</c:v>
                </c:pt>
                <c:pt idx="21">
                  <c:v>217.13883006272945</c:v>
                </c:pt>
                <c:pt idx="22">
                  <c:v>242.02286551975575</c:v>
                </c:pt>
                <c:pt idx="23">
                  <c:v>266.84868654930165</c:v>
                </c:pt>
                <c:pt idx="24">
                  <c:v>291.62246862735793</c:v>
                </c:pt>
                <c:pt idx="25">
                  <c:v>267.83973843136442</c:v>
                </c:pt>
                <c:pt idx="26">
                  <c:v>295.20984437767919</c:v>
                </c:pt>
                <c:pt idx="27">
                  <c:v>322.52334410117277</c:v>
                </c:pt>
                <c:pt idx="28">
                  <c:v>349.785701644997</c:v>
                </c:pt>
                <c:pt idx="29">
                  <c:v>377.00145984165829</c:v>
                </c:pt>
                <c:pt idx="30">
                  <c:v>404.17445231612891</c:v>
                </c:pt>
                <c:pt idx="31">
                  <c:v>353.2119291038573</c:v>
                </c:pt>
                <c:pt idx="32">
                  <c:v>380.4892939371228</c:v>
                </c:pt>
                <c:pt idx="33">
                  <c:v>407.72413216850492</c:v>
                </c:pt>
                <c:pt idx="34">
                  <c:v>434.91968079517761</c:v>
                </c:pt>
                <c:pt idx="35">
                  <c:v>462.07873925701455</c:v>
                </c:pt>
                <c:pt idx="36">
                  <c:v>489.20375134717227</c:v>
                </c:pt>
                <c:pt idx="37">
                  <c:v>433.59961838636008</c:v>
                </c:pt>
                <c:pt idx="38">
                  <c:v>460.20839311111894</c:v>
                </c:pt>
                <c:pt idx="39">
                  <c:v>486.78434108389047</c:v>
                </c:pt>
                <c:pt idx="40">
                  <c:v>513.32950438861201</c:v>
                </c:pt>
                <c:pt idx="41">
                  <c:v>539.84569689767909</c:v>
                </c:pt>
                <c:pt idx="42">
                  <c:v>566.33453995655486</c:v>
                </c:pt>
                <c:pt idx="43">
                  <c:v>505.12943761341859</c:v>
                </c:pt>
                <c:pt idx="44">
                  <c:v>530.71596265986329</c:v>
                </c:pt>
                <c:pt idx="45">
                  <c:v>556.27653997817106</c:v>
                </c:pt>
                <c:pt idx="46">
                  <c:v>581.81252811346212</c:v>
                </c:pt>
                <c:pt idx="47">
                  <c:v>607.32515676835726</c:v>
                </c:pt>
                <c:pt idx="48">
                  <c:v>632.81554402908341</c:v>
                </c:pt>
                <c:pt idx="49">
                  <c:v>561.06523629540231</c:v>
                </c:pt>
                <c:pt idx="50">
                  <c:v>585.27746751979441</c:v>
                </c:pt>
                <c:pt idx="51">
                  <c:v>609.46883490395442</c:v>
                </c:pt>
                <c:pt idx="52">
                  <c:v>633.64028211551329</c:v>
                </c:pt>
                <c:pt idx="53">
                  <c:v>657.79267504043685</c:v>
                </c:pt>
                <c:pt idx="54">
                  <c:v>681.92681087155916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1.4559517368790669</c:v>
                </c:pt>
                <c:pt idx="2">
                  <c:v>1.729987284132541</c:v>
                </c:pt>
                <c:pt idx="3">
                  <c:v>2.0557977278009294</c:v>
                </c:pt>
                <c:pt idx="4">
                  <c:v>2.4432003726025537</c:v>
                </c:pt>
                <c:pt idx="5">
                  <c:v>2.9038803166105365</c:v>
                </c:pt>
                <c:pt idx="6">
                  <c:v>3.4517469258326074</c:v>
                </c:pt>
                <c:pt idx="7">
                  <c:v>4.1033585411030424</c:v>
                </c:pt>
                <c:pt idx="8">
                  <c:v>4.8784285125057369</c:v>
                </c:pt>
                <c:pt idx="9">
                  <c:v>5.8004281759541811</c:v>
                </c:pt>
                <c:pt idx="10">
                  <c:v>6.8973053917546716</c:v>
                </c:pt>
                <c:pt idx="11">
                  <c:v>8.2023408498340427</c:v>
                </c:pt>
                <c:pt idx="12">
                  <c:v>9.7551686228512136</c:v>
                </c:pt>
                <c:pt idx="13">
                  <c:v>11.602992550352086</c:v>
                </c:pt>
                <c:pt idx="14">
                  <c:v>13.802036124085888</c:v>
                </c:pt>
                <c:pt idx="15">
                  <c:v>16.419270807113978</c:v>
                </c:pt>
                <c:pt idx="16">
                  <c:v>19.534476384865641</c:v>
                </c:pt>
                <c:pt idx="17">
                  <c:v>23.24269728636807</c:v>
                </c:pt>
                <c:pt idx="18">
                  <c:v>27.657171152681755</c:v>
                </c:pt>
                <c:pt idx="19">
                  <c:v>32.912820654148106</c:v>
                </c:pt>
                <c:pt idx="20">
                  <c:v>39.170417130515368</c:v>
                </c:pt>
                <c:pt idx="21">
                  <c:v>46.621545600109563</c:v>
                </c:pt>
                <c:pt idx="22">
                  <c:v>55.494525714785674</c:v>
                </c:pt>
                <c:pt idx="23">
                  <c:v>66.061473113123796</c:v>
                </c:pt>
                <c:pt idx="24">
                  <c:v>78.646721284642979</c:v>
                </c:pt>
                <c:pt idx="25">
                  <c:v>93.636866624515463</c:v>
                </c:pt>
                <c:pt idx="26">
                  <c:v>111.4927501710773</c:v>
                </c:pt>
                <c:pt idx="27">
                  <c:v>132.76375017728887</c:v>
                </c:pt>
                <c:pt idx="28">
                  <c:v>158.10483208300809</c:v>
                </c:pt>
                <c:pt idx="29">
                  <c:v>188.29688890963698</c:v>
                </c:pt>
                <c:pt idx="30">
                  <c:v>224.27100831811845</c:v>
                </c:pt>
                <c:pt idx="31">
                  <c:v>240.53376204318738</c:v>
                </c:pt>
                <c:pt idx="32">
                  <c:v>256.7714919771762</c:v>
                </c:pt>
                <c:pt idx="33">
                  <c:v>272.98600338495862</c:v>
                </c:pt>
                <c:pt idx="34">
                  <c:v>289.17886949122021</c:v>
                </c:pt>
                <c:pt idx="35">
                  <c:v>305.35147290504159</c:v>
                </c:pt>
                <c:pt idx="36">
                  <c:v>321.5050378012242</c:v>
                </c:pt>
                <c:pt idx="37">
                  <c:v>337.64065529108387</c:v>
                </c:pt>
                <c:pt idx="38">
                  <c:v>353.75930368720213</c:v>
                </c:pt>
                <c:pt idx="39">
                  <c:v>369.86186488028119</c:v>
                </c:pt>
                <c:pt idx="40">
                  <c:v>385.94913771420806</c:v>
                </c:pt>
                <c:pt idx="41">
                  <c:v>402.02184901423874</c:v>
                </c:pt>
                <c:pt idx="42">
                  <c:v>418.08066275933976</c:v>
                </c:pt>
                <c:pt idx="43">
                  <c:v>253.84068765287489</c:v>
                </c:pt>
                <c:pt idx="44">
                  <c:v>269.54411534645834</c:v>
                </c:pt>
                <c:pt idx="45">
                  <c:v>285.22695568687891</c:v>
                </c:pt>
                <c:pt idx="46">
                  <c:v>300.89050001330901</c:v>
                </c:pt>
                <c:pt idx="47">
                  <c:v>316.5358942158237</c:v>
                </c:pt>
                <c:pt idx="48">
                  <c:v>332.16416164893707</c:v>
                </c:pt>
                <c:pt idx="49">
                  <c:v>347.77622150490646</c:v>
                </c:pt>
                <c:pt idx="50">
                  <c:v>267.82045439526422</c:v>
                </c:pt>
                <c:pt idx="51">
                  <c:v>282.55146979709662</c:v>
                </c:pt>
                <c:pt idx="52">
                  <c:v>297.26528301549314</c:v>
                </c:pt>
                <c:pt idx="53">
                  <c:v>311.96286547341651</c:v>
                </c:pt>
                <c:pt idx="54">
                  <c:v>326.64508957022116</c:v>
                </c:pt>
                <c:pt idx="55">
                  <c:v>341.31274286695992</c:v>
                </c:pt>
                <c:pt idx="56">
                  <c:v>355.96653970474637</c:v>
                </c:pt>
                <c:pt idx="57">
                  <c:v>297.43935110788397</c:v>
                </c:pt>
                <c:pt idx="58">
                  <c:v>311.7383572269693</c:v>
                </c:pt>
                <c:pt idx="59">
                  <c:v>326.02281510462137</c:v>
                </c:pt>
                <c:pt idx="60">
                  <c:v>340.29345196940289</c:v>
                </c:pt>
                <c:pt idx="61">
                  <c:v>354.55092906999738</c:v>
                </c:pt>
                <c:pt idx="62">
                  <c:v>368.79585012980647</c:v>
                </c:pt>
                <c:pt idx="63">
                  <c:v>383.02876842673123</c:v>
                </c:pt>
                <c:pt idx="64">
                  <c:v>325.71840229311169</c:v>
                </c:pt>
                <c:pt idx="65">
                  <c:v>339.45671552357044</c:v>
                </c:pt>
                <c:pt idx="66">
                  <c:v>353.18279929233978</c:v>
                </c:pt>
                <c:pt idx="67">
                  <c:v>366.89719586105952</c:v>
                </c:pt>
                <c:pt idx="68">
                  <c:v>380.60040364107721</c:v>
                </c:pt>
                <c:pt idx="69">
                  <c:v>394.29288222380774</c:v>
                </c:pt>
                <c:pt idx="70">
                  <c:v>407.97505667577428</c:v>
                </c:pt>
                <c:pt idx="71">
                  <c:v>421.647321227367</c:v>
                </c:pt>
                <c:pt idx="72">
                  <c:v>354.38219978506419</c:v>
                </c:pt>
                <c:pt idx="73">
                  <c:v>367.27332514561107</c:v>
                </c:pt>
                <c:pt idx="74">
                  <c:v>380.15457568105836</c:v>
                </c:pt>
                <c:pt idx="75">
                  <c:v>393.02633316528846</c:v>
                </c:pt>
                <c:pt idx="76">
                  <c:v>405.88895232312825</c:v>
                </c:pt>
                <c:pt idx="77">
                  <c:v>418.74276356136397</c:v>
                </c:pt>
                <c:pt idx="78">
                  <c:v>431.58807534691499</c:v>
                </c:pt>
                <c:pt idx="79">
                  <c:v>444.42517628710794</c:v>
                </c:pt>
                <c:pt idx="80">
                  <c:v>379.50930344710491</c:v>
                </c:pt>
                <c:pt idx="81">
                  <c:v>391.59489202964716</c:v>
                </c:pt>
                <c:pt idx="82">
                  <c:v>403.67239195063979</c:v>
                </c:pt>
                <c:pt idx="83">
                  <c:v>415.7420793489016</c:v>
                </c:pt>
                <c:pt idx="84">
                  <c:v>427.80421301983375</c:v>
                </c:pt>
                <c:pt idx="85">
                  <c:v>439.85903597336824</c:v>
                </c:pt>
                <c:pt idx="86">
                  <c:v>451.90677681221678</c:v>
                </c:pt>
                <c:pt idx="87">
                  <c:v>463.94765095548405</c:v>
                </c:pt>
                <c:pt idx="88">
                  <c:v>398.22609617089216</c:v>
                </c:pt>
                <c:pt idx="89">
                  <c:v>409.42150396683786</c:v>
                </c:pt>
                <c:pt idx="90">
                  <c:v>420.6103021791476</c:v>
                </c:pt>
                <c:pt idx="91">
                  <c:v>431.79269144575846</c:v>
                </c:pt>
                <c:pt idx="92">
                  <c:v>442.96886116304557</c:v>
                </c:pt>
                <c:pt idx="93">
                  <c:v>454.13899038945743</c:v>
                </c:pt>
                <c:pt idx="94">
                  <c:v>465.3032486556088</c:v>
                </c:pt>
                <c:pt idx="95">
                  <c:v>476.46179669257441</c:v>
                </c:pt>
                <c:pt idx="96">
                  <c:v>249.87566695731167</c:v>
                </c:pt>
                <c:pt idx="97">
                  <c:v>257.42321497634555</c:v>
                </c:pt>
                <c:pt idx="98">
                  <c:v>264.96575978377672</c:v>
                </c:pt>
                <c:pt idx="99">
                  <c:v>272.50346405734365</c:v>
                </c:pt>
                <c:pt idx="100">
                  <c:v>280.03648073000704</c:v>
                </c:pt>
                <c:pt idx="101">
                  <c:v>287.56495382593954</c:v>
                </c:pt>
                <c:pt idx="102">
                  <c:v>295.08901920431265</c:v>
                </c:pt>
                <c:pt idx="103">
                  <c:v>302.6088052231903</c:v>
                </c:pt>
                <c:pt idx="104">
                  <c:v>310.12443333392656</c:v>
                </c:pt>
                <c:pt idx="105">
                  <c:v>317.63601861488428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1.9411817270446112</c:v>
                </c:pt>
                <c:pt idx="2">
                  <c:v>2.4297641653807944</c:v>
                </c:pt>
                <c:pt idx="3">
                  <c:v>3.0418043526627723</c:v>
                </c:pt>
                <c:pt idx="4">
                  <c:v>3.8086140137352733</c:v>
                </c:pt>
                <c:pt idx="5">
                  <c:v>4.7694737635358386</c:v>
                </c:pt>
                <c:pt idx="6">
                  <c:v>5.9736677222174537</c:v>
                </c:pt>
                <c:pt idx="7">
                  <c:v>7.4830391464966226</c:v>
                </c:pt>
                <c:pt idx="8">
                  <c:v>9.375200859104206</c:v>
                </c:pt>
                <c:pt idx="9">
                  <c:v>11.747568694482132</c:v>
                </c:pt>
                <c:pt idx="10">
                  <c:v>14.722429499116059</c:v>
                </c:pt>
                <c:pt idx="11">
                  <c:v>18.453309725680967</c:v>
                </c:pt>
                <c:pt idx="12">
                  <c:v>23.132979232814776</c:v>
                </c:pt>
                <c:pt idx="13">
                  <c:v>29.003511187168854</c:v>
                </c:pt>
                <c:pt idx="14">
                  <c:v>36.368927545143769</c:v>
                </c:pt>
                <c:pt idx="15">
                  <c:v>45.611096240380732</c:v>
                </c:pt>
                <c:pt idx="16">
                  <c:v>57.209718188365294</c:v>
                </c:pt>
                <c:pt idx="17">
                  <c:v>71.76745869558242</c:v>
                </c:pt>
                <c:pt idx="18">
                  <c:v>90.041550356942707</c:v>
                </c:pt>
                <c:pt idx="19">
                  <c:v>112.98353756349984</c:v>
                </c:pt>
                <c:pt idx="20">
                  <c:v>141.78926461478019</c:v>
                </c:pt>
                <c:pt idx="21">
                  <c:v>123.90752725067647</c:v>
                </c:pt>
                <c:pt idx="22">
                  <c:v>143.87396520954266</c:v>
                </c:pt>
                <c:pt idx="23">
                  <c:v>163.77399413433875</c:v>
                </c:pt>
                <c:pt idx="24">
                  <c:v>183.61682804539444</c:v>
                </c:pt>
                <c:pt idx="25">
                  <c:v>203.40952119107328</c:v>
                </c:pt>
                <c:pt idx="26">
                  <c:v>223.15764021827397</c:v>
                </c:pt>
                <c:pt idx="27">
                  <c:v>242.86568478783872</c:v>
                </c:pt>
                <c:pt idx="28">
                  <c:v>262.53736401160751</c:v>
                </c:pt>
                <c:pt idx="29">
                  <c:v>282.17578546861114</c:v>
                </c:pt>
                <c:pt idx="30">
                  <c:v>301.78358873635585</c:v>
                </c:pt>
                <c:pt idx="31">
                  <c:v>233.98245141380619</c:v>
                </c:pt>
                <c:pt idx="32">
                  <c:v>257.39776916516081</c:v>
                </c:pt>
                <c:pt idx="33">
                  <c:v>280.76492347284267</c:v>
                </c:pt>
                <c:pt idx="34">
                  <c:v>304.08848473578604</c:v>
                </c:pt>
                <c:pt idx="35">
                  <c:v>327.3722648494786</c:v>
                </c:pt>
                <c:pt idx="36">
                  <c:v>350.61948923031804</c:v>
                </c:pt>
                <c:pt idx="37">
                  <c:v>373.83292076812228</c:v>
                </c:pt>
                <c:pt idx="38">
                  <c:v>397.01495135221603</c:v>
                </c:pt>
                <c:pt idx="39">
                  <c:v>420.16767089021386</c:v>
                </c:pt>
                <c:pt idx="40">
                  <c:v>443.29292031429776</c:v>
                </c:pt>
                <c:pt idx="41">
                  <c:v>346.40691666299762</c:v>
                </c:pt>
                <c:pt idx="42">
                  <c:v>370.51869100778345</c:v>
                </c:pt>
                <c:pt idx="43">
                  <c:v>394.59625328405656</c:v>
                </c:pt>
                <c:pt idx="44">
                  <c:v>418.64198281510261</c:v>
                </c:pt>
                <c:pt idx="45">
                  <c:v>442.65796346687102</c:v>
                </c:pt>
                <c:pt idx="46">
                  <c:v>466.64603470301768</c:v>
                </c:pt>
                <c:pt idx="47">
                  <c:v>490.60783159413654</c:v>
                </c:pt>
                <c:pt idx="48">
                  <c:v>514.54481660428598</c:v>
                </c:pt>
                <c:pt idx="49">
                  <c:v>538.45830515610044</c:v>
                </c:pt>
                <c:pt idx="50">
                  <c:v>562.34948641975632</c:v>
                </c:pt>
                <c:pt idx="51">
                  <c:v>449.6414221106092</c:v>
                </c:pt>
                <c:pt idx="52">
                  <c:v>472.48036714392589</c:v>
                </c:pt>
                <c:pt idx="53">
                  <c:v>495.29581803158686</c:v>
                </c:pt>
                <c:pt idx="54">
                  <c:v>518.08900823898523</c:v>
                </c:pt>
                <c:pt idx="55">
                  <c:v>540.86105394398044</c:v>
                </c:pt>
                <c:pt idx="56">
                  <c:v>563.61296975757841</c:v>
                </c:pt>
                <c:pt idx="57">
                  <c:v>586.3456817754037</c:v>
                </c:pt>
                <c:pt idx="58">
                  <c:v>609.06003850108198</c:v>
                </c:pt>
                <c:pt idx="59">
                  <c:v>631.75682005648241</c:v>
                </c:pt>
                <c:pt idx="60">
                  <c:v>654.43674600057705</c:v>
                </c:pt>
                <c:pt idx="61">
                  <c:v>538.83770149584484</c:v>
                </c:pt>
                <c:pt idx="62">
                  <c:v>559.56961376197262</c:v>
                </c:pt>
                <c:pt idx="63">
                  <c:v>580.28545371418193</c:v>
                </c:pt>
                <c:pt idx="64">
                  <c:v>600.9858753500979</c:v>
                </c:pt>
                <c:pt idx="65">
                  <c:v>621.67148398309314</c:v>
                </c:pt>
                <c:pt idx="66">
                  <c:v>642.3428413983936</c:v>
                </c:pt>
                <c:pt idx="67">
                  <c:v>663.00047031146926</c:v>
                </c:pt>
                <c:pt idx="68">
                  <c:v>683.64485824233805</c:v>
                </c:pt>
                <c:pt idx="69">
                  <c:v>704.27646089797838</c:v>
                </c:pt>
                <c:pt idx="70">
                  <c:v>724.8957051381575</c:v>
                </c:pt>
                <c:pt idx="71">
                  <c:v>613.47465478619222</c:v>
                </c:pt>
                <c:pt idx="72">
                  <c:v>631.75682005648218</c:v>
                </c:pt>
                <c:pt idx="73">
                  <c:v>650.02804840865338</c:v>
                </c:pt>
                <c:pt idx="74">
                  <c:v>668.28869028503095</c:v>
                </c:pt>
                <c:pt idx="75">
                  <c:v>686.53907543225387</c:v>
                </c:pt>
                <c:pt idx="76">
                  <c:v>704.77951465231456</c:v>
                </c:pt>
                <c:pt idx="77">
                  <c:v>723.01030136305792</c:v>
                </c:pt>
                <c:pt idx="78">
                  <c:v>741.23171299324815</c:v>
                </c:pt>
                <c:pt idx="79">
                  <c:v>759.4440122334571</c:v>
                </c:pt>
                <c:pt idx="80">
                  <c:v>777.64744816083942</c:v>
                </c:pt>
                <c:pt idx="81">
                  <c:v>675.21244034007634</c:v>
                </c:pt>
                <c:pt idx="82">
                  <c:v>690.94283930246672</c:v>
                </c:pt>
                <c:pt idx="83">
                  <c:v>706.66590086759163</c:v>
                </c:pt>
                <c:pt idx="84">
                  <c:v>722.38181116058729</c:v>
                </c:pt>
                <c:pt idx="85">
                  <c:v>738.09074755429128</c:v>
                </c:pt>
                <c:pt idx="86">
                  <c:v>753.79287926214727</c:v>
                </c:pt>
                <c:pt idx="87">
                  <c:v>769.48836787917628</c:v>
                </c:pt>
                <c:pt idx="88">
                  <c:v>785.17736787656031</c:v>
                </c:pt>
                <c:pt idx="89">
                  <c:v>800.86002705467661</c:v>
                </c:pt>
                <c:pt idx="90">
                  <c:v>816.53648695883328</c:v>
                </c:pt>
                <c:pt idx="91">
                  <c:v>712.32444295533423</c:v>
                </c:pt>
                <c:pt idx="92">
                  <c:v>712.32444295533423</c:v>
                </c:pt>
                <c:pt idx="93">
                  <c:v>712.32444295533423</c:v>
                </c:pt>
                <c:pt idx="94">
                  <c:v>712.32444295533423</c:v>
                </c:pt>
                <c:pt idx="95">
                  <c:v>712.32444295533423</c:v>
                </c:pt>
                <c:pt idx="96">
                  <c:v>712.32444295533423</c:v>
                </c:pt>
                <c:pt idx="97">
                  <c:v>712.32444295533423</c:v>
                </c:pt>
                <c:pt idx="98">
                  <c:v>712.32444295533423</c:v>
                </c:pt>
                <c:pt idx="99">
                  <c:v>712.32444295533423</c:v>
                </c:pt>
                <c:pt idx="100">
                  <c:v>712.32444295533423</c:v>
                </c:pt>
                <c:pt idx="101">
                  <c:v>712.32444295533423</c:v>
                </c:pt>
                <c:pt idx="102">
                  <c:v>712.32444295533423</c:v>
                </c:pt>
                <c:pt idx="103">
                  <c:v>712.32444295533423</c:v>
                </c:pt>
                <c:pt idx="104">
                  <c:v>712.32444295533423</c:v>
                </c:pt>
                <c:pt idx="105">
                  <c:v>712.32444295533423</c:v>
                </c:pt>
                <c:pt idx="106">
                  <c:v>712.32444295533423</c:v>
                </c:pt>
                <c:pt idx="107">
                  <c:v>712.32444295533423</c:v>
                </c:pt>
                <c:pt idx="108">
                  <c:v>712.32444295533423</c:v>
                </c:pt>
                <c:pt idx="109">
                  <c:v>712.32444295533423</c:v>
                </c:pt>
                <c:pt idx="110">
                  <c:v>712.32444295533423</c:v>
                </c:pt>
                <c:pt idx="111">
                  <c:v>712.32444295533423</c:v>
                </c:pt>
                <c:pt idx="112">
                  <c:v>712.32444295533423</c:v>
                </c:pt>
                <c:pt idx="113">
                  <c:v>712.32444295533423</c:v>
                </c:pt>
                <c:pt idx="114">
                  <c:v>712.32444295533423</c:v>
                </c:pt>
                <c:pt idx="115">
                  <c:v>712.32444295533423</c:v>
                </c:pt>
                <c:pt idx="116">
                  <c:v>712.32444295533423</c:v>
                </c:pt>
                <c:pt idx="117">
                  <c:v>712.32444295533423</c:v>
                </c:pt>
                <c:pt idx="118">
                  <c:v>712.32444295533423</c:v>
                </c:pt>
                <c:pt idx="119">
                  <c:v>712.32444295533423</c:v>
                </c:pt>
                <c:pt idx="120">
                  <c:v>712.32444295533423</c:v>
                </c:pt>
                <c:pt idx="121">
                  <c:v>712.32444295533423</c:v>
                </c:pt>
                <c:pt idx="122">
                  <c:v>712.32444295533423</c:v>
                </c:pt>
                <c:pt idx="123">
                  <c:v>712.32444295533423</c:v>
                </c:pt>
                <c:pt idx="124">
                  <c:v>712.32444295533423</c:v>
                </c:pt>
                <c:pt idx="125">
                  <c:v>712.32444295533423</c:v>
                </c:pt>
                <c:pt idx="126">
                  <c:v>712.32444295533423</c:v>
                </c:pt>
                <c:pt idx="127">
                  <c:v>712.32444295533423</c:v>
                </c:pt>
                <c:pt idx="128">
                  <c:v>712.32444295533423</c:v>
                </c:pt>
                <c:pt idx="129">
                  <c:v>712.32444295533423</c:v>
                </c:pt>
                <c:pt idx="130">
                  <c:v>712.32444295533423</c:v>
                </c:pt>
                <c:pt idx="131">
                  <c:v>712.32444295533423</c:v>
                </c:pt>
                <c:pt idx="132">
                  <c:v>712.32444295533423</c:v>
                </c:pt>
                <c:pt idx="133">
                  <c:v>712.32444295533423</c:v>
                </c:pt>
                <c:pt idx="134">
                  <c:v>712.32444295533423</c:v>
                </c:pt>
                <c:pt idx="135">
                  <c:v>712.32444295533423</c:v>
                </c:pt>
                <c:pt idx="136">
                  <c:v>712.32444295533423</c:v>
                </c:pt>
                <c:pt idx="137">
                  <c:v>712.32444295533423</c:v>
                </c:pt>
                <c:pt idx="138">
                  <c:v>712.32444295533423</c:v>
                </c:pt>
                <c:pt idx="139">
                  <c:v>712.32444295533423</c:v>
                </c:pt>
                <c:pt idx="140">
                  <c:v>712.32444295533423</c:v>
                </c:pt>
                <c:pt idx="141">
                  <c:v>712.32444295533423</c:v>
                </c:pt>
                <c:pt idx="142">
                  <c:v>712.32444295533423</c:v>
                </c:pt>
                <c:pt idx="143">
                  <c:v>712.32444295533423</c:v>
                </c:pt>
                <c:pt idx="144">
                  <c:v>712.32444295533423</c:v>
                </c:pt>
                <c:pt idx="145">
                  <c:v>712.32444295533423</c:v>
                </c:pt>
                <c:pt idx="146">
                  <c:v>712.32444295533423</c:v>
                </c:pt>
                <c:pt idx="147">
                  <c:v>712.32444295533423</c:v>
                </c:pt>
                <c:pt idx="148">
                  <c:v>712.32444295533423</c:v>
                </c:pt>
                <c:pt idx="149">
                  <c:v>712.32444295533423</c:v>
                </c:pt>
                <c:pt idx="150">
                  <c:v>712.32444295533423</c:v>
                </c:pt>
                <c:pt idx="151">
                  <c:v>712.32444295533423</c:v>
                </c:pt>
                <c:pt idx="152">
                  <c:v>712.32444295533423</c:v>
                </c:pt>
                <c:pt idx="153">
                  <c:v>712.32444295533423</c:v>
                </c:pt>
                <c:pt idx="154">
                  <c:v>712.32444295533423</c:v>
                </c:pt>
                <c:pt idx="155">
                  <c:v>712.32444295533423</c:v>
                </c:pt>
                <c:pt idx="156">
                  <c:v>712.32444295533423</c:v>
                </c:pt>
                <c:pt idx="157">
                  <c:v>712.32444295533423</c:v>
                </c:pt>
                <c:pt idx="158">
                  <c:v>712.32444295533423</c:v>
                </c:pt>
                <c:pt idx="159">
                  <c:v>712.32444295533423</c:v>
                </c:pt>
                <c:pt idx="160">
                  <c:v>712.32444295533423</c:v>
                </c:pt>
                <c:pt idx="161">
                  <c:v>712.32444295533423</c:v>
                </c:pt>
                <c:pt idx="162">
                  <c:v>712.32444295533423</c:v>
                </c:pt>
                <c:pt idx="163">
                  <c:v>712.32444295533423</c:v>
                </c:pt>
                <c:pt idx="164">
                  <c:v>712.32444295533423</c:v>
                </c:pt>
                <c:pt idx="165">
                  <c:v>712.32444295533423</c:v>
                </c:pt>
                <c:pt idx="166">
                  <c:v>712.32444295533423</c:v>
                </c:pt>
                <c:pt idx="167">
                  <c:v>712.32444295533423</c:v>
                </c:pt>
                <c:pt idx="168">
                  <c:v>712.32444295533423</c:v>
                </c:pt>
                <c:pt idx="169">
                  <c:v>712.32444295533423</c:v>
                </c:pt>
                <c:pt idx="170">
                  <c:v>712.32444295533423</c:v>
                </c:pt>
                <c:pt idx="171">
                  <c:v>712.32444295533423</c:v>
                </c:pt>
                <c:pt idx="172">
                  <c:v>712.32444295533423</c:v>
                </c:pt>
                <c:pt idx="173">
                  <c:v>712.32444295533423</c:v>
                </c:pt>
                <c:pt idx="174">
                  <c:v>712.32444295533423</c:v>
                </c:pt>
                <c:pt idx="175">
                  <c:v>712.32444295533423</c:v>
                </c:pt>
                <c:pt idx="176">
                  <c:v>712.32444295533423</c:v>
                </c:pt>
                <c:pt idx="177">
                  <c:v>712.32444295533423</c:v>
                </c:pt>
                <c:pt idx="178">
                  <c:v>712.32444295533423</c:v>
                </c:pt>
                <c:pt idx="179">
                  <c:v>712.32444295533423</c:v>
                </c:pt>
                <c:pt idx="180">
                  <c:v>712.32444295533423</c:v>
                </c:pt>
                <c:pt idx="181">
                  <c:v>712.32444295533423</c:v>
                </c:pt>
                <c:pt idx="182">
                  <c:v>712.32444295533423</c:v>
                </c:pt>
                <c:pt idx="183">
                  <c:v>712.32444295533423</c:v>
                </c:pt>
                <c:pt idx="184">
                  <c:v>712.32444295533423</c:v>
                </c:pt>
                <c:pt idx="185">
                  <c:v>712.32444295533423</c:v>
                </c:pt>
                <c:pt idx="186">
                  <c:v>712.32444295533423</c:v>
                </c:pt>
                <c:pt idx="187">
                  <c:v>712.32444295533423</c:v>
                </c:pt>
                <c:pt idx="188">
                  <c:v>712.32444295533423</c:v>
                </c:pt>
                <c:pt idx="189">
                  <c:v>712.32444295533423</c:v>
                </c:pt>
                <c:pt idx="190">
                  <c:v>712.32444295533423</c:v>
                </c:pt>
                <c:pt idx="191">
                  <c:v>712.32444295533423</c:v>
                </c:pt>
                <c:pt idx="192">
                  <c:v>712.32444295533423</c:v>
                </c:pt>
                <c:pt idx="193">
                  <c:v>712.32444295533423</c:v>
                </c:pt>
                <c:pt idx="194">
                  <c:v>712.32444295533423</c:v>
                </c:pt>
                <c:pt idx="195">
                  <c:v>712.32444295533423</c:v>
                </c:pt>
                <c:pt idx="196">
                  <c:v>712.32444295533423</c:v>
                </c:pt>
                <c:pt idx="197">
                  <c:v>712.32444295533423</c:v>
                </c:pt>
                <c:pt idx="198">
                  <c:v>712.32444295533423</c:v>
                </c:pt>
                <c:pt idx="199">
                  <c:v>712.32444295533423</c:v>
                </c:pt>
                <c:pt idx="200">
                  <c:v>712.32444295533423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42.877836075412638</c:v>
                </c:pt>
                <c:pt idx="12">
                  <c:v>64.733806454200504</c:v>
                </c:pt>
                <c:pt idx="13">
                  <c:v>86.395962294999478</c:v>
                </c:pt>
                <c:pt idx="14">
                  <c:v>107.92051495671599</c:v>
                </c:pt>
                <c:pt idx="15">
                  <c:v>129.33897912798705</c:v>
                </c:pt>
                <c:pt idx="16">
                  <c:v>150.67146408356317</c:v>
                </c:pt>
                <c:pt idx="17">
                  <c:v>171.93188138002924</c:v>
                </c:pt>
                <c:pt idx="18">
                  <c:v>193.13040620890987</c:v>
                </c:pt>
                <c:pt idx="19">
                  <c:v>214.27479126445158</c:v>
                </c:pt>
                <c:pt idx="20">
                  <c:v>235.3711313482562</c:v>
                </c:pt>
                <c:pt idx="21">
                  <c:v>144.95568422614897</c:v>
                </c:pt>
                <c:pt idx="22">
                  <c:v>170.03319377205972</c:v>
                </c:pt>
                <c:pt idx="23">
                  <c:v>195.02347174102519</c:v>
                </c:pt>
                <c:pt idx="24">
                  <c:v>219.93927876011423</c:v>
                </c:pt>
                <c:pt idx="25">
                  <c:v>244.79024008779683</c:v>
                </c:pt>
                <c:pt idx="26">
                  <c:v>269.58386372150017</c:v>
                </c:pt>
                <c:pt idx="27">
                  <c:v>294.32616248385813</c:v>
                </c:pt>
                <c:pt idx="28">
                  <c:v>319.02205522459639</c:v>
                </c:pt>
                <c:pt idx="29">
                  <c:v>343.67563696746635</c:v>
                </c:pt>
                <c:pt idx="30">
                  <c:v>368.29036734139123</c:v>
                </c:pt>
                <c:pt idx="31">
                  <c:v>269.75466982033333</c:v>
                </c:pt>
                <c:pt idx="32">
                  <c:v>290.40473451571626</c:v>
                </c:pt>
                <c:pt idx="33">
                  <c:v>311.02199783983951</c:v>
                </c:pt>
                <c:pt idx="34">
                  <c:v>331.60893904924779</c:v>
                </c:pt>
                <c:pt idx="35">
                  <c:v>352.16770447084974</c:v>
                </c:pt>
                <c:pt idx="36">
                  <c:v>372.70016944091395</c:v>
                </c:pt>
                <c:pt idx="37">
                  <c:v>393.20798587349418</c:v>
                </c:pt>
                <c:pt idx="38">
                  <c:v>413.69261938302407</c:v>
                </c:pt>
                <c:pt idx="39">
                  <c:v>434.15537866888457</c:v>
                </c:pt>
                <c:pt idx="40">
                  <c:v>454.59743907080411</c:v>
                </c:pt>
                <c:pt idx="41">
                  <c:v>351.65830822367656</c:v>
                </c:pt>
                <c:pt idx="42">
                  <c:v>367.27255754339438</c:v>
                </c:pt>
                <c:pt idx="43">
                  <c:v>382.87232013864946</c:v>
                </c:pt>
                <c:pt idx="44">
                  <c:v>398.45826925810184</c:v>
                </c:pt>
                <c:pt idx="45">
                  <c:v>414.03102119238065</c:v>
                </c:pt>
                <c:pt idx="46">
                  <c:v>429.591142098538</c:v>
                </c:pt>
                <c:pt idx="47">
                  <c:v>445.1391537842141</c:v>
                </c:pt>
                <c:pt idx="48">
                  <c:v>460.67553864161073</c:v>
                </c:pt>
                <c:pt idx="49">
                  <c:v>476.20074388127472</c:v>
                </c:pt>
                <c:pt idx="50">
                  <c:v>491.71518518509475</c:v>
                </c:pt>
                <c:pt idx="51">
                  <c:v>430.6055065568043</c:v>
                </c:pt>
                <c:pt idx="52">
                  <c:v>442.09808097469619</c:v>
                </c:pt>
                <c:pt idx="53">
                  <c:v>453.58425425555083</c:v>
                </c:pt>
                <c:pt idx="54">
                  <c:v>465.06421135415462</c:v>
                </c:pt>
                <c:pt idx="55">
                  <c:v>476.53812734890556</c:v>
                </c:pt>
                <c:pt idx="56">
                  <c:v>488.00616819935334</c:v>
                </c:pt>
                <c:pt idx="57">
                  <c:v>499.46849142882706</c:v>
                </c:pt>
                <c:pt idx="58">
                  <c:v>510.92524674114156</c:v>
                </c:pt>
                <c:pt idx="59">
                  <c:v>522.37657657911507</c:v>
                </c:pt>
                <c:pt idx="60">
                  <c:v>533.82261663157112</c:v>
                </c:pt>
                <c:pt idx="61">
                  <c:v>491.5466064127836</c:v>
                </c:pt>
                <c:pt idx="62">
                  <c:v>499.80553357858707</c:v>
                </c:pt>
                <c:pt idx="63">
                  <c:v>508.06157199630115</c:v>
                </c:pt>
                <c:pt idx="64">
                  <c:v>516.3147752413438</c:v>
                </c:pt>
                <c:pt idx="65">
                  <c:v>524.5651950361904</c:v>
                </c:pt>
                <c:pt idx="66">
                  <c:v>532.8128813432246</c:v>
                </c:pt>
                <c:pt idx="67">
                  <c:v>541.05788245154292</c:v>
                </c:pt>
                <c:pt idx="68">
                  <c:v>549.30024505818926</c:v>
                </c:pt>
                <c:pt idx="69">
                  <c:v>557.54001434426425</c:v>
                </c:pt>
                <c:pt idx="70">
                  <c:v>565.7772340462966</c:v>
                </c:pt>
                <c:pt idx="71">
                  <c:v>528.60521663450174</c:v>
                </c:pt>
                <c:pt idx="72">
                  <c:v>535.16886787415797</c:v>
                </c:pt>
                <c:pt idx="73">
                  <c:v>541.73082666097946</c:v>
                </c:pt>
                <c:pt idx="74">
                  <c:v>548.29111639483494</c:v>
                </c:pt>
                <c:pt idx="75">
                  <c:v>554.84975986976053</c:v>
                </c:pt>
                <c:pt idx="76">
                  <c:v>561.40677929677668</c:v>
                </c:pt>
                <c:pt idx="77">
                  <c:v>567.96219632558564</c:v>
                </c:pt>
                <c:pt idx="78">
                  <c:v>574.51603206521338</c:v>
                </c:pt>
                <c:pt idx="79">
                  <c:v>581.06830710366069</c:v>
                </c:pt>
                <c:pt idx="80">
                  <c:v>587.61904152662237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3.0087226414567669</c:v>
                </c:pt>
                <c:pt idx="2">
                  <c:v>3.5108476078662108</c:v>
                </c:pt>
                <c:pt idx="3">
                  <c:v>4.0970748640048145</c:v>
                </c:pt>
                <c:pt idx="4">
                  <c:v>4.7815388030266117</c:v>
                </c:pt>
                <c:pt idx="5">
                  <c:v>5.5807568124477021</c:v>
                </c:pt>
                <c:pt idx="6">
                  <c:v>6.5140322200651282</c:v>
                </c:pt>
                <c:pt idx="7">
                  <c:v>7.6039255601982383</c:v>
                </c:pt>
                <c:pt idx="8">
                  <c:v>8.8768057730178018</c:v>
                </c:pt>
                <c:pt idx="9">
                  <c:v>10.363494928110297</c:v>
                </c:pt>
                <c:pt idx="10">
                  <c:v>12.10002237954779</c:v>
                </c:pt>
                <c:pt idx="11">
                  <c:v>14.128506971363736</c:v>
                </c:pt>
                <c:pt idx="12">
                  <c:v>16.498189087134325</c:v>
                </c:pt>
                <c:pt idx="13">
                  <c:v>19.26663805459118</c:v>
                </c:pt>
                <c:pt idx="14">
                  <c:v>22.501164768686721</c:v>
                </c:pt>
                <c:pt idx="15">
                  <c:v>26.280474493057593</c:v>
                </c:pt>
                <c:pt idx="16">
                  <c:v>30.696600767791892</c:v>
                </c:pt>
                <c:pt idx="17">
                  <c:v>35.857168340064412</c:v>
                </c:pt>
                <c:pt idx="18">
                  <c:v>41.888041218423993</c:v>
                </c:pt>
                <c:pt idx="19">
                  <c:v>48.936421536169718</c:v>
                </c:pt>
                <c:pt idx="20">
                  <c:v>57.174476134362976</c:v>
                </c:pt>
                <c:pt idx="21">
                  <c:v>66.803580921820739</c:v>
                </c:pt>
                <c:pt idx="22">
                  <c:v>78.059288467429198</c:v>
                </c:pt>
                <c:pt idx="23">
                  <c:v>91.217142315400451</c:v>
                </c:pt>
                <c:pt idx="24">
                  <c:v>106.5994826390658</c:v>
                </c:pt>
                <c:pt idx="25">
                  <c:v>124.58341259357769</c:v>
                </c:pt>
                <c:pt idx="26">
                  <c:v>145.61012371366715</c:v>
                </c:pt>
                <c:pt idx="27">
                  <c:v>170.19581265731912</c:v>
                </c:pt>
                <c:pt idx="28">
                  <c:v>198.94446137293639</c:v>
                </c:pt>
                <c:pt idx="29">
                  <c:v>232.56279936595885</c:v>
                </c:pt>
                <c:pt idx="30">
                  <c:v>271.87782133255809</c:v>
                </c:pt>
                <c:pt idx="31">
                  <c:v>289.40050775542738</c:v>
                </c:pt>
                <c:pt idx="32">
                  <c:v>306.89948661909699</c:v>
                </c:pt>
                <c:pt idx="33">
                  <c:v>324.37629966034967</c:v>
                </c:pt>
                <c:pt idx="34">
                  <c:v>341.83230892368016</c:v>
                </c:pt>
                <c:pt idx="35">
                  <c:v>359.26872600336202</c:v>
                </c:pt>
                <c:pt idx="36">
                  <c:v>247.89733645105045</c:v>
                </c:pt>
                <c:pt idx="37">
                  <c:v>268.19388020667236</c:v>
                </c:pt>
                <c:pt idx="38">
                  <c:v>288.45583932928986</c:v>
                </c:pt>
                <c:pt idx="39">
                  <c:v>308.68598402892115</c:v>
                </c:pt>
                <c:pt idx="40">
                  <c:v>328.88669175033129</c:v>
                </c:pt>
                <c:pt idx="41">
                  <c:v>349.06002407123111</c:v>
                </c:pt>
                <c:pt idx="42">
                  <c:v>285.79224141654947</c:v>
                </c:pt>
                <c:pt idx="43">
                  <c:v>306.09401640717579</c:v>
                </c:pt>
                <c:pt idx="44">
                  <c:v>326.36586944014971</c:v>
                </c:pt>
                <c:pt idx="45">
                  <c:v>346.60991967996711</c:v>
                </c:pt>
                <c:pt idx="46">
                  <c:v>366.82801859171565</c:v>
                </c:pt>
                <c:pt idx="47">
                  <c:v>387.02179695470642</c:v>
                </c:pt>
                <c:pt idx="48">
                  <c:v>407.19270154733061</c:v>
                </c:pt>
                <c:pt idx="49">
                  <c:v>322.52624611434106</c:v>
                </c:pt>
                <c:pt idx="50">
                  <c:v>341.75417681771773</c:v>
                </c:pt>
                <c:pt idx="51">
                  <c:v>360.95833005636797</c:v>
                </c:pt>
                <c:pt idx="52">
                  <c:v>380.14014828828573</c:v>
                </c:pt>
                <c:pt idx="53">
                  <c:v>399.30091656620198</c:v>
                </c:pt>
                <c:pt idx="54">
                  <c:v>418.44178659894851</c:v>
                </c:pt>
                <c:pt idx="55">
                  <c:v>437.5637961800831</c:v>
                </c:pt>
                <c:pt idx="56">
                  <c:v>358.19232987465165</c:v>
                </c:pt>
                <c:pt idx="57">
                  <c:v>376.29808691039671</c:v>
                </c:pt>
                <c:pt idx="58">
                  <c:v>394.38487870169996</c:v>
                </c:pt>
                <c:pt idx="59">
                  <c:v>412.45369704960848</c:v>
                </c:pt>
                <c:pt idx="60">
                  <c:v>430.5054397993909</c:v>
                </c:pt>
                <c:pt idx="61">
                  <c:v>448.5409233888675</c:v>
                </c:pt>
                <c:pt idx="62">
                  <c:v>466.56089327347831</c:v>
                </c:pt>
                <c:pt idx="63">
                  <c:v>484.56603265711283</c:v>
                </c:pt>
                <c:pt idx="64">
                  <c:v>412.17893074941077</c:v>
                </c:pt>
                <c:pt idx="65">
                  <c:v>429.64045267146838</c:v>
                </c:pt>
                <c:pt idx="66">
                  <c:v>447.08672748141743</c:v>
                </c:pt>
                <c:pt idx="67">
                  <c:v>464.51843363445579</c:v>
                </c:pt>
                <c:pt idx="68">
                  <c:v>481.93619453558449</c:v>
                </c:pt>
                <c:pt idx="69">
                  <c:v>499.34058487547105</c:v>
                </c:pt>
                <c:pt idx="70">
                  <c:v>516.73213603723241</c:v>
                </c:pt>
                <c:pt idx="71">
                  <c:v>534.11134073767619</c:v>
                </c:pt>
                <c:pt idx="72">
                  <c:v>465.17954885268017</c:v>
                </c:pt>
                <c:pt idx="73">
                  <c:v>482.04316980390769</c:v>
                </c:pt>
                <c:pt idx="74">
                  <c:v>498.89426037594058</c:v>
                </c:pt>
                <c:pt idx="75">
                  <c:v>515.73330318528781</c:v>
                </c:pt>
                <c:pt idx="76">
                  <c:v>532.56074677914216</c:v>
                </c:pt>
                <c:pt idx="77">
                  <c:v>549.37700906307009</c:v>
                </c:pt>
                <c:pt idx="78">
                  <c:v>566.18248028736184</c:v>
                </c:pt>
                <c:pt idx="79">
                  <c:v>582.97752566054419</c:v>
                </c:pt>
                <c:pt idx="80">
                  <c:v>599.76248764621027</c:v>
                </c:pt>
                <c:pt idx="81">
                  <c:v>518.09206546381745</c:v>
                </c:pt>
                <c:pt idx="82">
                  <c:v>534.17244594763531</c:v>
                </c:pt>
                <c:pt idx="83">
                  <c:v>550.24264963990129</c:v>
                </c:pt>
                <c:pt idx="84">
                  <c:v>566.30301546114595</c:v>
                </c:pt>
                <c:pt idx="85">
                  <c:v>582.35386155149251</c:v>
                </c:pt>
                <c:pt idx="86">
                  <c:v>598.39548709420285</c:v>
                </c:pt>
                <c:pt idx="87">
                  <c:v>614.42817393361702</c:v>
                </c:pt>
                <c:pt idx="88">
                  <c:v>630.45218801553835</c:v>
                </c:pt>
                <c:pt idx="89">
                  <c:v>646.46778067365142</c:v>
                </c:pt>
                <c:pt idx="90">
                  <c:v>556.15206169982241</c:v>
                </c:pt>
                <c:pt idx="91">
                  <c:v>571.53037088991698</c:v>
                </c:pt>
                <c:pt idx="92">
                  <c:v>586.90003943089653</c:v>
                </c:pt>
                <c:pt idx="93">
                  <c:v>602.26132535349961</c:v>
                </c:pt>
                <c:pt idx="94">
                  <c:v>617.61447246005116</c:v>
                </c:pt>
                <c:pt idx="95">
                  <c:v>632.959711450545</c:v>
                </c:pt>
                <c:pt idx="96">
                  <c:v>648.29726093391207</c:v>
                </c:pt>
                <c:pt idx="97">
                  <c:v>663.62732833867324</c:v>
                </c:pt>
                <c:pt idx="98">
                  <c:v>678.95011073512603</c:v>
                </c:pt>
                <c:pt idx="99">
                  <c:v>694.2657955795047</c:v>
                </c:pt>
                <c:pt idx="100">
                  <c:v>606.63308794985437</c:v>
                </c:pt>
                <c:pt idx="101">
                  <c:v>621.58925272201895</c:v>
                </c:pt>
                <c:pt idx="102">
                  <c:v>636.53796577494143</c:v>
                </c:pt>
                <c:pt idx="103">
                  <c:v>651.4794266557285</c:v>
                </c:pt>
                <c:pt idx="104">
                  <c:v>666.41382501786131</c:v>
                </c:pt>
                <c:pt idx="105">
                  <c:v>681.34134132702582</c:v>
                </c:pt>
                <c:pt idx="106">
                  <c:v>696.26214750191286</c:v>
                </c:pt>
                <c:pt idx="107">
                  <c:v>711.17640749727218</c:v>
                </c:pt>
                <c:pt idx="108">
                  <c:v>726.08427783554998</c:v>
                </c:pt>
                <c:pt idx="109">
                  <c:v>740.98590809262998</c:v>
                </c:pt>
                <c:pt idx="110">
                  <c:v>646.18020296138786</c:v>
                </c:pt>
                <c:pt idx="111">
                  <c:v>660.80226469034722</c:v>
                </c:pt>
                <c:pt idx="112">
                  <c:v>675.41766750836848</c:v>
                </c:pt>
                <c:pt idx="113">
                  <c:v>690.0265757157855</c:v>
                </c:pt>
                <c:pt idx="114">
                  <c:v>704.62914609342045</c:v>
                </c:pt>
                <c:pt idx="115">
                  <c:v>719.22552839864682</c:v>
                </c:pt>
                <c:pt idx="116">
                  <c:v>733.81586581911563</c:v>
                </c:pt>
                <c:pt idx="117">
                  <c:v>748.40029538855197</c:v>
                </c:pt>
                <c:pt idx="118">
                  <c:v>762.97894836847956</c:v>
                </c:pt>
                <c:pt idx="119">
                  <c:v>777.5519505992778</c:v>
                </c:pt>
                <c:pt idx="120">
                  <c:v>464.90453348622685</c:v>
                </c:pt>
                <c:pt idx="121">
                  <c:v>473.14200892852932</c:v>
                </c:pt>
                <c:pt idx="122">
                  <c:v>481.37643199343637</c:v>
                </c:pt>
                <c:pt idx="123">
                  <c:v>489.60786227699856</c:v>
                </c:pt>
                <c:pt idx="124">
                  <c:v>328.15381176579973</c:v>
                </c:pt>
                <c:pt idx="125">
                  <c:v>333.21377234826485</c:v>
                </c:pt>
                <c:pt idx="126">
                  <c:v>338.27203930015747</c:v>
                </c:pt>
                <c:pt idx="127">
                  <c:v>343.32864155402268</c:v>
                </c:pt>
                <c:pt idx="128">
                  <c:v>238.1059492103326</c:v>
                </c:pt>
                <c:pt idx="129">
                  <c:v>241.39406120554722</c:v>
                </c:pt>
                <c:pt idx="130">
                  <c:v>244.68115388085121</c:v>
                </c:pt>
                <c:pt idx="131">
                  <c:v>247.96724289368044</c:v>
                </c:pt>
                <c:pt idx="132">
                  <c:v>1.0901632165820347E-11</c:v>
                </c:pt>
                <c:pt idx="133">
                  <c:v>1.0901632165820347E-11</c:v>
                </c:pt>
                <c:pt idx="134">
                  <c:v>1.0901632165820347E-11</c:v>
                </c:pt>
                <c:pt idx="135">
                  <c:v>1.0901632165820347E-11</c:v>
                </c:pt>
                <c:pt idx="136">
                  <c:v>1.0901632165820347E-11</c:v>
                </c:pt>
                <c:pt idx="137">
                  <c:v>1.0901632165820347E-11</c:v>
                </c:pt>
                <c:pt idx="138">
                  <c:v>1.0901632165820347E-11</c:v>
                </c:pt>
                <c:pt idx="139">
                  <c:v>1.0901632165820347E-11</c:v>
                </c:pt>
                <c:pt idx="140">
                  <c:v>1.0901632165820347E-11</c:v>
                </c:pt>
                <c:pt idx="141">
                  <c:v>1.0901632165820347E-11</c:v>
                </c:pt>
                <c:pt idx="142">
                  <c:v>1.0901632165820347E-11</c:v>
                </c:pt>
                <c:pt idx="143">
                  <c:v>1.0901632165820347E-11</c:v>
                </c:pt>
                <c:pt idx="144">
                  <c:v>1.0901632165820347E-11</c:v>
                </c:pt>
                <c:pt idx="145">
                  <c:v>1.0901632165820347E-11</c:v>
                </c:pt>
                <c:pt idx="146">
                  <c:v>1.0901632165820347E-11</c:v>
                </c:pt>
                <c:pt idx="147">
                  <c:v>1.0901632165820347E-11</c:v>
                </c:pt>
                <c:pt idx="148">
                  <c:v>1.0901632165820347E-11</c:v>
                </c:pt>
                <c:pt idx="149">
                  <c:v>1.0901632165820347E-11</c:v>
                </c:pt>
                <c:pt idx="150">
                  <c:v>1.0901632165820347E-11</c:v>
                </c:pt>
                <c:pt idx="151">
                  <c:v>1.0901632165820347E-11</c:v>
                </c:pt>
                <c:pt idx="152">
                  <c:v>1.0901632165820347E-11</c:v>
                </c:pt>
                <c:pt idx="153">
                  <c:v>1.0901632165820347E-11</c:v>
                </c:pt>
                <c:pt idx="154">
                  <c:v>1.0901632165820347E-11</c:v>
                </c:pt>
                <c:pt idx="155">
                  <c:v>1.0901632165820347E-11</c:v>
                </c:pt>
                <c:pt idx="156">
                  <c:v>1.0901632165820347E-11</c:v>
                </c:pt>
                <c:pt idx="157">
                  <c:v>1.0901632165820347E-11</c:v>
                </c:pt>
                <c:pt idx="158">
                  <c:v>1.0901632165820347E-11</c:v>
                </c:pt>
                <c:pt idx="159">
                  <c:v>1.0901632165820347E-11</c:v>
                </c:pt>
                <c:pt idx="160">
                  <c:v>1.0901632165820347E-11</c:v>
                </c:pt>
                <c:pt idx="161">
                  <c:v>1.0901632165820347E-11</c:v>
                </c:pt>
                <c:pt idx="162">
                  <c:v>1.0901632165820347E-11</c:v>
                </c:pt>
                <c:pt idx="163">
                  <c:v>1.0901632165820347E-11</c:v>
                </c:pt>
                <c:pt idx="164">
                  <c:v>1.0901632165820347E-11</c:v>
                </c:pt>
                <c:pt idx="165">
                  <c:v>1.0901632165820347E-11</c:v>
                </c:pt>
                <c:pt idx="166">
                  <c:v>1.0901632165820347E-11</c:v>
                </c:pt>
                <c:pt idx="167">
                  <c:v>1.0901632165820347E-11</c:v>
                </c:pt>
                <c:pt idx="168">
                  <c:v>1.0901632165820347E-11</c:v>
                </c:pt>
                <c:pt idx="169">
                  <c:v>1.0901632165820347E-11</c:v>
                </c:pt>
                <c:pt idx="170">
                  <c:v>1.0901632165820347E-11</c:v>
                </c:pt>
                <c:pt idx="171">
                  <c:v>1.0901632165820347E-11</c:v>
                </c:pt>
                <c:pt idx="172">
                  <c:v>1.0901632165820347E-11</c:v>
                </c:pt>
                <c:pt idx="173">
                  <c:v>1.0901632165820347E-11</c:v>
                </c:pt>
                <c:pt idx="174">
                  <c:v>1.0901632165820347E-11</c:v>
                </c:pt>
                <c:pt idx="175">
                  <c:v>1.0901632165820347E-11</c:v>
                </c:pt>
                <c:pt idx="176">
                  <c:v>1.0901632165820347E-11</c:v>
                </c:pt>
                <c:pt idx="177">
                  <c:v>1.0901632165820347E-11</c:v>
                </c:pt>
                <c:pt idx="178">
                  <c:v>1.0901632165820347E-11</c:v>
                </c:pt>
                <c:pt idx="179">
                  <c:v>1.0901632165820347E-11</c:v>
                </c:pt>
                <c:pt idx="180">
                  <c:v>1.0901632165820347E-11</c:v>
                </c:pt>
                <c:pt idx="181">
                  <c:v>1.0901632165820347E-11</c:v>
                </c:pt>
                <c:pt idx="182">
                  <c:v>1.0901632165820347E-11</c:v>
                </c:pt>
                <c:pt idx="183">
                  <c:v>1.0901632165820347E-11</c:v>
                </c:pt>
                <c:pt idx="184">
                  <c:v>1.0901632165820347E-11</c:v>
                </c:pt>
                <c:pt idx="185">
                  <c:v>1.0901632165820347E-11</c:v>
                </c:pt>
                <c:pt idx="186">
                  <c:v>1.0901632165820347E-11</c:v>
                </c:pt>
                <c:pt idx="187">
                  <c:v>1.0901632165820347E-11</c:v>
                </c:pt>
                <c:pt idx="188">
                  <c:v>1.0901632165820347E-11</c:v>
                </c:pt>
                <c:pt idx="189">
                  <c:v>1.0901632165820347E-11</c:v>
                </c:pt>
                <c:pt idx="190">
                  <c:v>1.0901632165820347E-11</c:v>
                </c:pt>
                <c:pt idx="191">
                  <c:v>1.0901632165820347E-11</c:v>
                </c:pt>
                <c:pt idx="192">
                  <c:v>1.0901632165820347E-11</c:v>
                </c:pt>
                <c:pt idx="193">
                  <c:v>1.0901632165820347E-11</c:v>
                </c:pt>
                <c:pt idx="194">
                  <c:v>1.0901632165820347E-11</c:v>
                </c:pt>
                <c:pt idx="195">
                  <c:v>1.0901632165820347E-11</c:v>
                </c:pt>
                <c:pt idx="196">
                  <c:v>1.0901632165820347E-11</c:v>
                </c:pt>
                <c:pt idx="197">
                  <c:v>1.0901632165820347E-11</c:v>
                </c:pt>
                <c:pt idx="198">
                  <c:v>1.0901632165820347E-11</c:v>
                </c:pt>
                <c:pt idx="199">
                  <c:v>1.0901632165820347E-11</c:v>
                </c:pt>
                <c:pt idx="200">
                  <c:v>1.0901632165820347E-11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2.5731412025558917</c:v>
                </c:pt>
                <c:pt idx="2">
                  <c:v>3.1836717786006319</c:v>
                </c:pt>
                <c:pt idx="3">
                  <c:v>3.9396202175944257</c:v>
                </c:pt>
                <c:pt idx="4">
                  <c:v>4.8757476686657908</c:v>
                </c:pt>
                <c:pt idx="5">
                  <c:v>6.0351526975412817</c:v>
                </c:pt>
                <c:pt idx="6">
                  <c:v>7.4712772489068113</c:v>
                </c:pt>
                <c:pt idx="7">
                  <c:v>9.2503966260860722</c:v>
                </c:pt>
                <c:pt idx="8">
                  <c:v>11.454710583667994</c:v>
                </c:pt>
                <c:pt idx="9">
                  <c:v>14.186181024925141</c:v>
                </c:pt>
                <c:pt idx="10">
                  <c:v>17.571297093245025</c:v>
                </c:pt>
                <c:pt idx="11">
                  <c:v>21.766992325835631</c:v>
                </c:pt>
                <c:pt idx="12">
                  <c:v>26.967993089089273</c:v>
                </c:pt>
                <c:pt idx="13">
                  <c:v>33.415945338708219</c:v>
                </c:pt>
                <c:pt idx="14">
                  <c:v>41.410751079276658</c:v>
                </c:pt>
                <c:pt idx="15">
                  <c:v>51.324650762589215</c:v>
                </c:pt>
                <c:pt idx="16">
                  <c:v>63.61971826997469</c:v>
                </c:pt>
                <c:pt idx="17">
                  <c:v>78.869597302853919</c:v>
                </c:pt>
                <c:pt idx="18">
                  <c:v>97.786509712462092</c:v>
                </c:pt>
                <c:pt idx="19">
                  <c:v>121.2548171841604</c:v>
                </c:pt>
                <c:pt idx="20">
                  <c:v>150.37272976362621</c:v>
                </c:pt>
                <c:pt idx="21">
                  <c:v>130.92304770905511</c:v>
                </c:pt>
                <c:pt idx="22">
                  <c:v>143.30754256422119</c:v>
                </c:pt>
                <c:pt idx="23">
                  <c:v>155.66640500294662</c:v>
                </c:pt>
                <c:pt idx="24">
                  <c:v>168.00195858256848</c:v>
                </c:pt>
                <c:pt idx="25">
                  <c:v>180.31615722411632</c:v>
                </c:pt>
                <c:pt idx="26">
                  <c:v>192.61066580735999</c:v>
                </c:pt>
                <c:pt idx="27">
                  <c:v>204.88691905747837</c:v>
                </c:pt>
                <c:pt idx="28">
                  <c:v>217.14616554866123</c:v>
                </c:pt>
                <c:pt idx="29">
                  <c:v>229.38950123185143</c:v>
                </c:pt>
                <c:pt idx="30">
                  <c:v>241.61789541835174</c:v>
                </c:pt>
                <c:pt idx="31">
                  <c:v>208.74160315550134</c:v>
                </c:pt>
                <c:pt idx="32">
                  <c:v>221.34562173829318</c:v>
                </c:pt>
                <c:pt idx="33">
                  <c:v>233.93317222371613</c:v>
                </c:pt>
                <c:pt idx="34">
                  <c:v>246.50526598598449</c:v>
                </c:pt>
                <c:pt idx="35">
                  <c:v>259.06280274212457</c:v>
                </c:pt>
                <c:pt idx="36">
                  <c:v>271.60658781037904</c:v>
                </c:pt>
                <c:pt idx="37">
                  <c:v>284.13734601040034</c:v>
                </c:pt>
                <c:pt idx="38">
                  <c:v>296.65573298101759</c:v>
                </c:pt>
                <c:pt idx="39">
                  <c:v>309.16234448631593</c:v>
                </c:pt>
                <c:pt idx="40">
                  <c:v>321.65772413618168</c:v>
                </c:pt>
                <c:pt idx="41">
                  <c:v>279.9618322548356</c:v>
                </c:pt>
                <c:pt idx="42">
                  <c:v>292.13659270097298</c:v>
                </c:pt>
                <c:pt idx="43">
                  <c:v>304.30002571338775</c:v>
                </c:pt>
                <c:pt idx="44">
                  <c:v>316.45264802528953</c:v>
                </c:pt>
                <c:pt idx="45">
                  <c:v>328.5949334270008</c:v>
                </c:pt>
                <c:pt idx="46">
                  <c:v>340.72731782352452</c:v>
                </c:pt>
                <c:pt idx="47">
                  <c:v>352.85020353381998</c:v>
                </c:pt>
                <c:pt idx="48">
                  <c:v>364.96396296815789</c:v>
                </c:pt>
                <c:pt idx="49">
                  <c:v>377.06894179159917</c:v>
                </c:pt>
                <c:pt idx="50">
                  <c:v>389.16546165993594</c:v>
                </c:pt>
                <c:pt idx="51">
                  <c:v>341.42030636615885</c:v>
                </c:pt>
                <c:pt idx="52">
                  <c:v>352.5039637274528</c:v>
                </c:pt>
                <c:pt idx="53">
                  <c:v>363.5799840007133</c:v>
                </c:pt>
                <c:pt idx="54">
                  <c:v>374.64863271070755</c:v>
                </c:pt>
                <c:pt idx="55">
                  <c:v>385.71015840744514</c:v>
                </c:pt>
                <c:pt idx="56">
                  <c:v>396.76479421746416</c:v>
                </c:pt>
                <c:pt idx="57">
                  <c:v>407.81275921316882</c:v>
                </c:pt>
                <c:pt idx="58">
                  <c:v>418.85425962601227</c:v>
                </c:pt>
                <c:pt idx="59">
                  <c:v>429.8894899250642</c:v>
                </c:pt>
                <c:pt idx="60">
                  <c:v>440.91863377904156</c:v>
                </c:pt>
                <c:pt idx="61">
                  <c:v>392.4473828438467</c:v>
                </c:pt>
                <c:pt idx="62">
                  <c:v>402.63484282308474</c:v>
                </c:pt>
                <c:pt idx="63">
                  <c:v>412.81672812587334</c:v>
                </c:pt>
                <c:pt idx="64">
                  <c:v>422.9931956757834</c:v>
                </c:pt>
                <c:pt idx="65">
                  <c:v>433.164394227532</c:v>
                </c:pt>
                <c:pt idx="66">
                  <c:v>443.33046497817014</c:v>
                </c:pt>
                <c:pt idx="67">
                  <c:v>453.49154211928294</c:v>
                </c:pt>
                <c:pt idx="68">
                  <c:v>463.6477533371106</c:v>
                </c:pt>
                <c:pt idx="69">
                  <c:v>473.79922026656277</c:v>
                </c:pt>
                <c:pt idx="70">
                  <c:v>483.94605890429233</c:v>
                </c:pt>
                <c:pt idx="71">
                  <c:v>434.37080363760305</c:v>
                </c:pt>
                <c:pt idx="72">
                  <c:v>443.33046497816991</c:v>
                </c:pt>
                <c:pt idx="73">
                  <c:v>452.28624743531105</c:v>
                </c:pt>
                <c:pt idx="74">
                  <c:v>461.23823867299643</c:v>
                </c:pt>
                <c:pt idx="75">
                  <c:v>470.18652267359909</c:v>
                </c:pt>
                <c:pt idx="76">
                  <c:v>479.13117996114812</c:v>
                </c:pt>
                <c:pt idx="77">
                  <c:v>488.07228780704162</c:v>
                </c:pt>
                <c:pt idx="78">
                  <c:v>497.00992041989667</c:v>
                </c:pt>
                <c:pt idx="79">
                  <c:v>505.94414912103213</c:v>
                </c:pt>
                <c:pt idx="80">
                  <c:v>514.87504250690938</c:v>
                </c:pt>
                <c:pt idx="81">
                  <c:v>466.22907982813996</c:v>
                </c:pt>
                <c:pt idx="82">
                  <c:v>474.31527194246542</c:v>
                </c:pt>
                <c:pt idx="83">
                  <c:v>482.39853075250858</c:v>
                </c:pt>
                <c:pt idx="84">
                  <c:v>490.47891235987981</c:v>
                </c:pt>
                <c:pt idx="85">
                  <c:v>498.55647086626499</c:v>
                </c:pt>
                <c:pt idx="86">
                  <c:v>506.63125847667089</c:v>
                </c:pt>
                <c:pt idx="87">
                  <c:v>514.70332559574456</c:v>
                </c:pt>
                <c:pt idx="88">
                  <c:v>522.77272091773648</c:v>
                </c:pt>
                <c:pt idx="89">
                  <c:v>530.83949151061745</c:v>
                </c:pt>
                <c:pt idx="90">
                  <c:v>538.9036828948166</c:v>
                </c:pt>
                <c:pt idx="91">
                  <c:v>485.66541136738346</c:v>
                </c:pt>
                <c:pt idx="92">
                  <c:v>485.66541136738346</c:v>
                </c:pt>
                <c:pt idx="93">
                  <c:v>485.66541136738346</c:v>
                </c:pt>
                <c:pt idx="94">
                  <c:v>485.66541136738346</c:v>
                </c:pt>
                <c:pt idx="95">
                  <c:v>485.66541136738346</c:v>
                </c:pt>
                <c:pt idx="96">
                  <c:v>485.66541136738346</c:v>
                </c:pt>
                <c:pt idx="97">
                  <c:v>485.66541136738346</c:v>
                </c:pt>
                <c:pt idx="98">
                  <c:v>485.66541136738346</c:v>
                </c:pt>
                <c:pt idx="99">
                  <c:v>485.66541136738346</c:v>
                </c:pt>
                <c:pt idx="100">
                  <c:v>485.66541136738346</c:v>
                </c:pt>
                <c:pt idx="101">
                  <c:v>485.66541136738346</c:v>
                </c:pt>
                <c:pt idx="102">
                  <c:v>485.66541136738346</c:v>
                </c:pt>
                <c:pt idx="103">
                  <c:v>485.66541136738346</c:v>
                </c:pt>
                <c:pt idx="104">
                  <c:v>485.66541136738346</c:v>
                </c:pt>
                <c:pt idx="105">
                  <c:v>485.66541136738346</c:v>
                </c:pt>
                <c:pt idx="106">
                  <c:v>485.66541136738346</c:v>
                </c:pt>
                <c:pt idx="107">
                  <c:v>485.66541136738346</c:v>
                </c:pt>
                <c:pt idx="108">
                  <c:v>485.66541136738346</c:v>
                </c:pt>
                <c:pt idx="109">
                  <c:v>485.66541136738346</c:v>
                </c:pt>
                <c:pt idx="110">
                  <c:v>485.66541136738346</c:v>
                </c:pt>
                <c:pt idx="111">
                  <c:v>485.66541136738346</c:v>
                </c:pt>
                <c:pt idx="112">
                  <c:v>485.66541136738346</c:v>
                </c:pt>
                <c:pt idx="113">
                  <c:v>485.66541136738346</c:v>
                </c:pt>
                <c:pt idx="114">
                  <c:v>485.66541136738346</c:v>
                </c:pt>
                <c:pt idx="115">
                  <c:v>485.66541136738346</c:v>
                </c:pt>
                <c:pt idx="116">
                  <c:v>485.66541136738346</c:v>
                </c:pt>
                <c:pt idx="117">
                  <c:v>485.66541136738346</c:v>
                </c:pt>
                <c:pt idx="118">
                  <c:v>485.66541136738346</c:v>
                </c:pt>
                <c:pt idx="119">
                  <c:v>485.66541136738346</c:v>
                </c:pt>
                <c:pt idx="120">
                  <c:v>485.66541136738346</c:v>
                </c:pt>
                <c:pt idx="121">
                  <c:v>485.66541136738346</c:v>
                </c:pt>
                <c:pt idx="122">
                  <c:v>485.66541136738346</c:v>
                </c:pt>
                <c:pt idx="123">
                  <c:v>485.66541136738346</c:v>
                </c:pt>
                <c:pt idx="124">
                  <c:v>485.66541136738346</c:v>
                </c:pt>
                <c:pt idx="125">
                  <c:v>485.66541136738346</c:v>
                </c:pt>
                <c:pt idx="126">
                  <c:v>485.66541136738346</c:v>
                </c:pt>
                <c:pt idx="127">
                  <c:v>485.66541136738346</c:v>
                </c:pt>
                <c:pt idx="128">
                  <c:v>485.66541136738346</c:v>
                </c:pt>
                <c:pt idx="129">
                  <c:v>485.66541136738346</c:v>
                </c:pt>
                <c:pt idx="130">
                  <c:v>485.66541136738346</c:v>
                </c:pt>
                <c:pt idx="131">
                  <c:v>485.66541136738346</c:v>
                </c:pt>
                <c:pt idx="132">
                  <c:v>485.66541136738346</c:v>
                </c:pt>
                <c:pt idx="133">
                  <c:v>485.66541136738346</c:v>
                </c:pt>
                <c:pt idx="134">
                  <c:v>485.66541136738346</c:v>
                </c:pt>
                <c:pt idx="135">
                  <c:v>485.66541136738346</c:v>
                </c:pt>
                <c:pt idx="136">
                  <c:v>485.66541136738346</c:v>
                </c:pt>
                <c:pt idx="137">
                  <c:v>485.66541136738346</c:v>
                </c:pt>
                <c:pt idx="138">
                  <c:v>485.66541136738346</c:v>
                </c:pt>
                <c:pt idx="139">
                  <c:v>485.66541136738346</c:v>
                </c:pt>
                <c:pt idx="140">
                  <c:v>485.66541136738346</c:v>
                </c:pt>
                <c:pt idx="141">
                  <c:v>485.66541136738346</c:v>
                </c:pt>
                <c:pt idx="142">
                  <c:v>485.66541136738346</c:v>
                </c:pt>
                <c:pt idx="143">
                  <c:v>485.66541136738346</c:v>
                </c:pt>
                <c:pt idx="144">
                  <c:v>485.66541136738346</c:v>
                </c:pt>
                <c:pt idx="145">
                  <c:v>485.66541136738346</c:v>
                </c:pt>
                <c:pt idx="146">
                  <c:v>485.66541136738346</c:v>
                </c:pt>
                <c:pt idx="147">
                  <c:v>485.66541136738346</c:v>
                </c:pt>
                <c:pt idx="148">
                  <c:v>485.66541136738346</c:v>
                </c:pt>
                <c:pt idx="149">
                  <c:v>485.66541136738346</c:v>
                </c:pt>
                <c:pt idx="150">
                  <c:v>485.66541136738346</c:v>
                </c:pt>
                <c:pt idx="151">
                  <c:v>485.66541136738346</c:v>
                </c:pt>
                <c:pt idx="152">
                  <c:v>485.66541136738346</c:v>
                </c:pt>
                <c:pt idx="153">
                  <c:v>485.66541136738346</c:v>
                </c:pt>
                <c:pt idx="154">
                  <c:v>485.66541136738346</c:v>
                </c:pt>
                <c:pt idx="155">
                  <c:v>485.66541136738346</c:v>
                </c:pt>
                <c:pt idx="156">
                  <c:v>485.66541136738346</c:v>
                </c:pt>
                <c:pt idx="157">
                  <c:v>485.66541136738346</c:v>
                </c:pt>
                <c:pt idx="158">
                  <c:v>485.66541136738346</c:v>
                </c:pt>
                <c:pt idx="159">
                  <c:v>485.66541136738346</c:v>
                </c:pt>
                <c:pt idx="160">
                  <c:v>485.66541136738346</c:v>
                </c:pt>
                <c:pt idx="161">
                  <c:v>485.66541136738346</c:v>
                </c:pt>
                <c:pt idx="162">
                  <c:v>485.66541136738346</c:v>
                </c:pt>
                <c:pt idx="163">
                  <c:v>485.66541136738346</c:v>
                </c:pt>
                <c:pt idx="164">
                  <c:v>485.66541136738346</c:v>
                </c:pt>
                <c:pt idx="165">
                  <c:v>485.66541136738346</c:v>
                </c:pt>
                <c:pt idx="166">
                  <c:v>485.66541136738346</c:v>
                </c:pt>
                <c:pt idx="167">
                  <c:v>485.66541136738346</c:v>
                </c:pt>
                <c:pt idx="168">
                  <c:v>485.66541136738346</c:v>
                </c:pt>
                <c:pt idx="169">
                  <c:v>485.66541136738346</c:v>
                </c:pt>
                <c:pt idx="170">
                  <c:v>485.66541136738346</c:v>
                </c:pt>
                <c:pt idx="171">
                  <c:v>485.66541136738346</c:v>
                </c:pt>
                <c:pt idx="172">
                  <c:v>485.66541136738346</c:v>
                </c:pt>
                <c:pt idx="173">
                  <c:v>485.66541136738346</c:v>
                </c:pt>
                <c:pt idx="174">
                  <c:v>485.66541136738346</c:v>
                </c:pt>
                <c:pt idx="175">
                  <c:v>485.66541136738346</c:v>
                </c:pt>
                <c:pt idx="176">
                  <c:v>485.66541136738346</c:v>
                </c:pt>
                <c:pt idx="177">
                  <c:v>485.66541136738346</c:v>
                </c:pt>
                <c:pt idx="178">
                  <c:v>485.66541136738346</c:v>
                </c:pt>
                <c:pt idx="179">
                  <c:v>485.66541136738346</c:v>
                </c:pt>
                <c:pt idx="180">
                  <c:v>485.66541136738346</c:v>
                </c:pt>
                <c:pt idx="181">
                  <c:v>485.66541136738346</c:v>
                </c:pt>
                <c:pt idx="182">
                  <c:v>485.66541136738346</c:v>
                </c:pt>
                <c:pt idx="183">
                  <c:v>485.66541136738346</c:v>
                </c:pt>
                <c:pt idx="184">
                  <c:v>485.66541136738346</c:v>
                </c:pt>
                <c:pt idx="185">
                  <c:v>485.66541136738346</c:v>
                </c:pt>
                <c:pt idx="186">
                  <c:v>485.66541136738346</c:v>
                </c:pt>
                <c:pt idx="187">
                  <c:v>485.66541136738346</c:v>
                </c:pt>
                <c:pt idx="188">
                  <c:v>485.66541136738346</c:v>
                </c:pt>
                <c:pt idx="189">
                  <c:v>485.66541136738346</c:v>
                </c:pt>
                <c:pt idx="190">
                  <c:v>485.66541136738346</c:v>
                </c:pt>
                <c:pt idx="191">
                  <c:v>485.66541136738346</c:v>
                </c:pt>
                <c:pt idx="192">
                  <c:v>485.66541136738346</c:v>
                </c:pt>
                <c:pt idx="193">
                  <c:v>485.66541136738346</c:v>
                </c:pt>
                <c:pt idx="194">
                  <c:v>485.66541136738346</c:v>
                </c:pt>
                <c:pt idx="195">
                  <c:v>485.66541136738346</c:v>
                </c:pt>
                <c:pt idx="196">
                  <c:v>485.66541136738346</c:v>
                </c:pt>
                <c:pt idx="197">
                  <c:v>485.66541136738346</c:v>
                </c:pt>
                <c:pt idx="198">
                  <c:v>485.66541136738346</c:v>
                </c:pt>
                <c:pt idx="199">
                  <c:v>485.66541136738346</c:v>
                </c:pt>
                <c:pt idx="200">
                  <c:v>485.66541136738346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2.1820279828780054</c:v>
                </c:pt>
                <c:pt idx="2">
                  <c:v>2.7489287958390509</c:v>
                </c:pt>
                <c:pt idx="3">
                  <c:v>3.4636936546704455</c:v>
                </c:pt>
                <c:pt idx="4">
                  <c:v>4.3650326800554504</c:v>
                </c:pt>
                <c:pt idx="5">
                  <c:v>5.5018251647390555</c:v>
                </c:pt>
                <c:pt idx="6">
                  <c:v>6.9357995812068935</c:v>
                </c:pt>
                <c:pt idx="7">
                  <c:v>8.7449219687578292</c:v>
                </c:pt>
                <c:pt idx="8">
                  <c:v>11.027680444407844</c:v>
                </c:pt>
                <c:pt idx="9">
                  <c:v>13.908503463014158</c:v>
                </c:pt>
                <c:pt idx="10">
                  <c:v>17.544612615119544</c:v>
                </c:pt>
                <c:pt idx="11">
                  <c:v>36.331036561408958</c:v>
                </c:pt>
                <c:pt idx="12">
                  <c:v>54.840007625050731</c:v>
                </c:pt>
                <c:pt idx="13">
                  <c:v>73.182288487787176</c:v>
                </c:pt>
                <c:pt idx="14">
                  <c:v>91.40622373102336</c:v>
                </c:pt>
                <c:pt idx="15">
                  <c:v>109.53891756394223</c:v>
                </c:pt>
                <c:pt idx="16">
                  <c:v>127.59766496907207</c:v>
                </c:pt>
                <c:pt idx="17">
                  <c:v>145.59443058119251</c:v>
                </c:pt>
                <c:pt idx="18">
                  <c:v>163.5379655741686</c:v>
                </c:pt>
                <c:pt idx="19">
                  <c:v>181.43493765298726</c:v>
                </c:pt>
                <c:pt idx="20">
                  <c:v>199.29058865200216</c:v>
                </c:pt>
                <c:pt idx="21">
                  <c:v>122.75914555397303</c:v>
                </c:pt>
                <c:pt idx="22">
                  <c:v>143.987243321303</c:v>
                </c:pt>
                <c:pt idx="23">
                  <c:v>165.14031756750202</c:v>
                </c:pt>
                <c:pt idx="24">
                  <c:v>186.22934307037499</c:v>
                </c:pt>
                <c:pt idx="25">
                  <c:v>207.26259803384178</c:v>
                </c:pt>
                <c:pt idx="26">
                  <c:v>228.24653971138068</c:v>
                </c:pt>
                <c:pt idx="27">
                  <c:v>249.18633943133077</c:v>
                </c:pt>
                <c:pt idx="28">
                  <c:v>270.08622765058908</c:v>
                </c:pt>
                <c:pt idx="29">
                  <c:v>290.94972629449177</c:v>
                </c:pt>
                <c:pt idx="30">
                  <c:v>311.77981081702825</c:v>
                </c:pt>
                <c:pt idx="31">
                  <c:v>228.39109794958097</c:v>
                </c:pt>
                <c:pt idx="32">
                  <c:v>245.86761689093177</c:v>
                </c:pt>
                <c:pt idx="33">
                  <c:v>263.31592501165994</c:v>
                </c:pt>
                <c:pt idx="34">
                  <c:v>280.73815459645294</c:v>
                </c:pt>
                <c:pt idx="35">
                  <c:v>298.13615159385171</c:v>
                </c:pt>
                <c:pt idx="36">
                  <c:v>315.51152888688659</c:v>
                </c:pt>
                <c:pt idx="37">
                  <c:v>332.86570720430353</c:v>
                </c:pt>
                <c:pt idx="38">
                  <c:v>350.1999470478529</c:v>
                </c:pt>
                <c:pt idx="39">
                  <c:v>367.51537396448816</c:v>
                </c:pt>
                <c:pt idx="40">
                  <c:v>384.81299880518822</c:v>
                </c:pt>
                <c:pt idx="41">
                  <c:v>297.70507599289084</c:v>
                </c:pt>
                <c:pt idx="42">
                  <c:v>310.91850478314001</c:v>
                </c:pt>
                <c:pt idx="43">
                  <c:v>324.1194742654539</c:v>
                </c:pt>
                <c:pt idx="44">
                  <c:v>337.30856346736851</c:v>
                </c:pt>
                <c:pt idx="45">
                  <c:v>350.48630242966345</c:v>
                </c:pt>
                <c:pt idx="46">
                  <c:v>363.65317807573314</c:v>
                </c:pt>
                <c:pt idx="47">
                  <c:v>376.80963918625883</c:v>
                </c:pt>
                <c:pt idx="48">
                  <c:v>389.95610064267242</c:v>
                </c:pt>
                <c:pt idx="49">
                  <c:v>403.09294706842178</c:v>
                </c:pt>
                <c:pt idx="50">
                  <c:v>416.22053597073187</c:v>
                </c:pt>
                <c:pt idx="51">
                  <c:v>364.51152094505261</c:v>
                </c:pt>
                <c:pt idx="52">
                  <c:v>374.23634836554851</c:v>
                </c:pt>
                <c:pt idx="53">
                  <c:v>383.95567048788757</c:v>
                </c:pt>
                <c:pt idx="54">
                  <c:v>393.66964638244093</c:v>
                </c:pt>
                <c:pt idx="55">
                  <c:v>403.37842662539168</c:v>
                </c:pt>
                <c:pt idx="56">
                  <c:v>413.08215395025701</c:v>
                </c:pt>
                <c:pt idx="57">
                  <c:v>422.78096383498195</c:v>
                </c:pt>
                <c:pt idx="58">
                  <c:v>432.47498503233845</c:v>
                </c:pt>
                <c:pt idx="59">
                  <c:v>442.16434005027787</c:v>
                </c:pt>
                <c:pt idx="60">
                  <c:v>451.84914558797823</c:v>
                </c:pt>
                <c:pt idx="61">
                  <c:v>416.07789334479304</c:v>
                </c:pt>
                <c:pt idx="62">
                  <c:v>423.06614984150383</c:v>
                </c:pt>
                <c:pt idx="63">
                  <c:v>430.05192187030821</c:v>
                </c:pt>
                <c:pt idx="64">
                  <c:v>437.03525550874696</c:v>
                </c:pt>
                <c:pt idx="65">
                  <c:v>444.01619524073664</c:v>
                </c:pt>
                <c:pt idx="66">
                  <c:v>450.99478403642752</c:v>
                </c:pt>
                <c:pt idx="67">
                  <c:v>457.97106342685856</c:v>
                </c:pt>
                <c:pt idx="68">
                  <c:v>464.94507357382457</c:v>
                </c:pt>
                <c:pt idx="69">
                  <c:v>471.91685333533269</c:v>
                </c:pt>
                <c:pt idx="70">
                  <c:v>478.88644032698608</c:v>
                </c:pt>
                <c:pt idx="71">
                  <c:v>447.43457068363909</c:v>
                </c:pt>
                <c:pt idx="72">
                  <c:v>452.98824059157351</c:v>
                </c:pt>
                <c:pt idx="73">
                  <c:v>458.54045490538175</c:v>
                </c:pt>
                <c:pt idx="74">
                  <c:v>464.09123375012194</c:v>
                </c:pt>
                <c:pt idx="75">
                  <c:v>469.64059672980551</c:v>
                </c:pt>
                <c:pt idx="76">
                  <c:v>475.18856294702186</c:v>
                </c:pt>
                <c:pt idx="77">
                  <c:v>480.73515102159814</c:v>
                </c:pt>
                <c:pt idx="78">
                  <c:v>486.28037910835252</c:v>
                </c:pt>
                <c:pt idx="79">
                  <c:v>491.82426491399656</c:v>
                </c:pt>
                <c:pt idx="80">
                  <c:v>497.36682571323246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D8" sqref="D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16.2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0.34060000000000001</v>
      </c>
      <c r="D9" s="33">
        <f t="shared" ref="D9:D18" si="0">C9*$C$5</f>
        <v>5.5177199999999997</v>
      </c>
      <c r="E9" s="34">
        <v>54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164</v>
      </c>
      <c r="C10" s="32">
        <v>0.34079999999999999</v>
      </c>
      <c r="D10" s="33">
        <f t="shared" si="0"/>
        <v>5.5209599999999996</v>
      </c>
      <c r="E10" s="34">
        <v>105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35</v>
      </c>
      <c r="C11" s="32">
        <v>0.15959999999999999</v>
      </c>
      <c r="D11" s="33">
        <f t="shared" si="0"/>
        <v>2.5855199999999998</v>
      </c>
      <c r="E11" s="34">
        <v>90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23</v>
      </c>
      <c r="C12" s="32">
        <v>8.2100000000000006E-2</v>
      </c>
      <c r="D12" s="33">
        <f t="shared" si="0"/>
        <v>1.33002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12</v>
      </c>
      <c r="C13" s="32">
        <v>3.0800000000000001E-2</v>
      </c>
      <c r="D13" s="33">
        <f t="shared" si="0"/>
        <v>0.49896000000000001</v>
      </c>
      <c r="E13" s="34">
        <v>131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5</v>
      </c>
      <c r="C14" s="32">
        <v>2.5600000000000001E-2</v>
      </c>
      <c r="D14" s="33">
        <f t="shared" si="0"/>
        <v>0.41471999999999998</v>
      </c>
      <c r="E14" s="34">
        <v>90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50</v>
      </c>
      <c r="C15" s="32">
        <v>2.0500000000000001E-2</v>
      </c>
      <c r="D15" s="33">
        <f t="shared" si="0"/>
        <v>0.33210000000000001</v>
      </c>
      <c r="E15" s="34">
        <v>80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16.2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17</v>
      </c>
      <c r="B36" s="60">
        <f>207.67/1.3</f>
        <v>159.74615384615385</v>
      </c>
      <c r="C36" s="60"/>
      <c r="D36" s="60"/>
      <c r="E36" s="51"/>
      <c r="F36" s="51"/>
      <c r="G36" s="51"/>
      <c r="H36" s="51"/>
      <c r="I36" s="49">
        <f>IFERROR(B36/A36,"")</f>
        <v>9.3968325791855207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18</v>
      </c>
      <c r="B37" s="60">
        <f>237.76/1.3</f>
        <v>182.89230769230767</v>
      </c>
      <c r="C37" s="60">
        <v>1</v>
      </c>
      <c r="D37" s="60">
        <f>90.07/1.3</f>
        <v>69.284615384615378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23.146153846153823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24</v>
      </c>
      <c r="B38" s="60">
        <f>308.83/1.3</f>
        <v>237.56153846153845</v>
      </c>
      <c r="C38" s="60">
        <v>2</v>
      </c>
      <c r="D38" s="60">
        <f>55.46/1.3</f>
        <v>42.661538461538463</v>
      </c>
      <c r="E38" s="51">
        <v>0.2</v>
      </c>
      <c r="F38" s="51">
        <v>0.4</v>
      </c>
      <c r="G38" s="51">
        <v>0.4</v>
      </c>
      <c r="H38" s="51"/>
      <c r="I38" s="53">
        <f t="shared" si="1"/>
        <v>20.658974358974358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30</v>
      </c>
      <c r="B39" s="60">
        <f>431.43/1.3</f>
        <v>331.86923076923074</v>
      </c>
      <c r="C39" s="60">
        <v>3</v>
      </c>
      <c r="D39" s="60">
        <f>85.37/1.3</f>
        <v>65.669230769230765</v>
      </c>
      <c r="E39" s="51"/>
      <c r="F39" s="51"/>
      <c r="G39" s="51"/>
      <c r="H39" s="51"/>
      <c r="I39" s="49">
        <f t="shared" si="1"/>
        <v>22.828205128205127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36</v>
      </c>
      <c r="B40" s="60">
        <f>524.56/1.3</f>
        <v>403.50769230769225</v>
      </c>
      <c r="C40" s="60">
        <v>4</v>
      </c>
      <c r="D40" s="60">
        <f>90.09/1.3</f>
        <v>69.3</v>
      </c>
      <c r="E40" s="51"/>
      <c r="F40" s="51"/>
      <c r="G40" s="51"/>
      <c r="H40" s="51"/>
      <c r="I40" s="49">
        <f t="shared" si="1"/>
        <v>22.884615384615376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42</v>
      </c>
      <c r="B41" s="60">
        <f>609.34/1.3</f>
        <v>468.72307692307692</v>
      </c>
      <c r="C41" s="60">
        <v>5</v>
      </c>
      <c r="D41" s="60">
        <f>95.41/1.3</f>
        <v>73.392307692307682</v>
      </c>
      <c r="E41" s="51"/>
      <c r="F41" s="51"/>
      <c r="G41" s="51"/>
      <c r="H41" s="51"/>
      <c r="I41" s="53">
        <f t="shared" si="1"/>
        <v>22.419230769230779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48</v>
      </c>
      <c r="B42" s="60">
        <f>682.61/1.3</f>
        <v>525.0846153846154</v>
      </c>
      <c r="C42" s="60">
        <v>6</v>
      </c>
      <c r="D42" s="60">
        <f>105.73/1.3</f>
        <v>81.330769230769235</v>
      </c>
      <c r="E42" s="51"/>
      <c r="F42" s="51"/>
      <c r="G42" s="51"/>
      <c r="H42" s="51"/>
      <c r="I42" s="53">
        <f t="shared" si="1"/>
        <v>21.625641025641027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54</v>
      </c>
      <c r="B43" s="60">
        <f>736.84/1.3</f>
        <v>566.79999999999995</v>
      </c>
      <c r="C43" s="60">
        <v>7</v>
      </c>
      <c r="D43" s="60">
        <f>736.84/1.3</f>
        <v>566.79999999999995</v>
      </c>
      <c r="E43" s="51"/>
      <c r="F43" s="51"/>
      <c r="G43" s="51"/>
      <c r="H43" s="51"/>
      <c r="I43" s="49">
        <f t="shared" si="1"/>
        <v>20.507692307692299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Cèdre de l'Atlas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30</v>
      </c>
      <c r="B62" s="60">
        <f>281.83/1.3</f>
        <v>216.79230769230767</v>
      </c>
      <c r="C62" s="60"/>
      <c r="D62" s="60"/>
      <c r="E62" s="51"/>
      <c r="F62" s="51"/>
      <c r="G62" s="51"/>
      <c r="H62" s="51"/>
      <c r="I62" s="53">
        <f>IFERROR(B62/A62,"")</f>
        <v>7.2264102564102561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42</v>
      </c>
      <c r="B63" s="60">
        <f>533.48/1.3</f>
        <v>410.3692307692308</v>
      </c>
      <c r="C63" s="60">
        <v>1</v>
      </c>
      <c r="D63" s="60">
        <f>233.8/1.3</f>
        <v>179.84615384615384</v>
      </c>
      <c r="E63" s="51"/>
      <c r="F63" s="51"/>
      <c r="G63" s="51"/>
      <c r="H63" s="51"/>
      <c r="I63" s="49">
        <f>IF(A63&lt;&gt;0,(B63-(B62-D62))/(A63-A62),"")</f>
        <v>16.131410256410259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49</v>
      </c>
      <c r="B64" s="60">
        <f>441.81/1.3</f>
        <v>339.85384615384612</v>
      </c>
      <c r="C64" s="60">
        <v>2</v>
      </c>
      <c r="D64" s="60">
        <f>122.82/1.3</f>
        <v>94.476923076923072</v>
      </c>
      <c r="E64" s="51"/>
      <c r="F64" s="51"/>
      <c r="G64" s="51"/>
      <c r="H64" s="51"/>
      <c r="I64" s="49">
        <f>IF(A64&lt;&gt;0,(B64-(B63-D63))/(A64-A63),"")</f>
        <v>15.618681318681309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56</v>
      </c>
      <c r="B65" s="60">
        <f>452.47/1.3</f>
        <v>348.05384615384617</v>
      </c>
      <c r="C65" s="60">
        <v>3</v>
      </c>
      <c r="D65" s="60">
        <f>94.6/1.3</f>
        <v>72.769230769230759</v>
      </c>
      <c r="E65" s="51"/>
      <c r="F65" s="51"/>
      <c r="G65" s="51"/>
      <c r="H65" s="51"/>
      <c r="I65" s="49">
        <f>IF(A65&lt;&gt;0,(B65-(B64-D64))/(A65-A64),"")</f>
        <v>14.668131868131875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63</v>
      </c>
      <c r="B66" s="60">
        <f>487.73/1.3</f>
        <v>375.17692307692306</v>
      </c>
      <c r="C66" s="60">
        <v>4</v>
      </c>
      <c r="D66" s="60">
        <f>92.46/1.3</f>
        <v>71.123076923076923</v>
      </c>
      <c r="E66" s="51"/>
      <c r="F66" s="51"/>
      <c r="G66" s="51"/>
      <c r="H66" s="51"/>
      <c r="I66" s="49">
        <f t="shared" ref="I66:I81" si="2">IF(A66&lt;&gt;0,(B66-(B65-D65))/(A66-A65),"")</f>
        <v>14.270329670329668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71</v>
      </c>
      <c r="B67" s="60">
        <f>538.14/1.3</f>
        <v>413.95384615384614</v>
      </c>
      <c r="C67" s="60">
        <v>5</v>
      </c>
      <c r="D67" s="60">
        <f>104.52/1.3</f>
        <v>80.399999999999991</v>
      </c>
      <c r="E67" s="51"/>
      <c r="F67" s="51"/>
      <c r="G67" s="51"/>
      <c r="H67" s="51"/>
      <c r="I67" s="49">
        <f t="shared" si="2"/>
        <v>13.737499999999997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79</v>
      </c>
      <c r="B68" s="60">
        <f>567.92/1.3</f>
        <v>436.86153846153843</v>
      </c>
      <c r="C68" s="60">
        <v>6</v>
      </c>
      <c r="D68" s="60">
        <f>100.54/1.3</f>
        <v>77.338461538461544</v>
      </c>
      <c r="E68" s="51"/>
      <c r="F68" s="51"/>
      <c r="G68" s="51"/>
      <c r="H68" s="51"/>
      <c r="I68" s="49">
        <f t="shared" si="2"/>
        <v>12.913461538461533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87</v>
      </c>
      <c r="B69" s="50">
        <f>593.47/1.3</f>
        <v>456.51538461538462</v>
      </c>
      <c r="C69" s="50">
        <v>7</v>
      </c>
      <c r="D69" s="50">
        <f>100.53/1.3</f>
        <v>77.330769230769235</v>
      </c>
      <c r="E69" s="51"/>
      <c r="F69" s="51"/>
      <c r="G69" s="51"/>
      <c r="H69" s="51"/>
      <c r="I69" s="49">
        <f t="shared" si="2"/>
        <v>12.124038461538468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95</v>
      </c>
      <c r="B70" s="50">
        <f>609.86/1.3</f>
        <v>469.12307692307689</v>
      </c>
      <c r="C70" s="50">
        <v>8</v>
      </c>
      <c r="D70" s="50">
        <f>304.75/1.3</f>
        <v>234.42307692307691</v>
      </c>
      <c r="E70" s="51"/>
      <c r="F70" s="51"/>
      <c r="G70" s="51"/>
      <c r="H70" s="51"/>
      <c r="I70" s="49">
        <f t="shared" si="2"/>
        <v>11.242307692307691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105</v>
      </c>
      <c r="B71" s="50">
        <f>402.63/1.3</f>
        <v>309.71538461538461</v>
      </c>
      <c r="C71" s="50">
        <v>9</v>
      </c>
      <c r="D71" s="50">
        <f>402.63/1.3</f>
        <v>309.71538461538461</v>
      </c>
      <c r="E71" s="51"/>
      <c r="F71" s="51"/>
      <c r="G71" s="51"/>
      <c r="H71" s="51"/>
      <c r="I71" s="49">
        <f t="shared" si="2"/>
        <v>7.5015384615384617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laricio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f>77+29</f>
        <v>106</v>
      </c>
      <c r="C88" s="60">
        <v>1</v>
      </c>
      <c r="D88" s="60">
        <v>29</v>
      </c>
      <c r="E88" s="51"/>
      <c r="F88" s="51">
        <v>0.5</v>
      </c>
      <c r="G88" s="51">
        <v>0.5</v>
      </c>
      <c r="H88" s="87"/>
      <c r="I88" s="53">
        <f>IFERROR(B88/A88,"")</f>
        <v>5.3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f>159+71</f>
        <v>230</v>
      </c>
      <c r="C89" s="60">
        <v>2</v>
      </c>
      <c r="D89" s="60">
        <v>71</v>
      </c>
      <c r="E89" s="51">
        <v>0.1</v>
      </c>
      <c r="F89" s="51">
        <v>0.45</v>
      </c>
      <c r="G89" s="51">
        <v>0.45</v>
      </c>
      <c r="H89" s="87"/>
      <c r="I89" s="53">
        <f t="shared" ref="I89:I107" si="3">IF(A89&lt;&gt;0,(B89-(B88-D88))/(A89-A88),"")</f>
        <v>15.3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f>246+95</f>
        <v>341</v>
      </c>
      <c r="C90" s="60">
        <v>3</v>
      </c>
      <c r="D90" s="60">
        <v>95</v>
      </c>
      <c r="E90" s="87"/>
      <c r="F90" s="87"/>
      <c r="G90" s="87"/>
      <c r="H90" s="87"/>
      <c r="I90" s="53">
        <f t="shared" si="3"/>
        <v>18.2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f>328+107</f>
        <v>435</v>
      </c>
      <c r="C91" s="60">
        <v>4</v>
      </c>
      <c r="D91" s="60">
        <v>107</v>
      </c>
      <c r="E91" s="87"/>
      <c r="F91" s="87"/>
      <c r="G91" s="87"/>
      <c r="H91" s="87"/>
      <c r="I91" s="53">
        <f t="shared" si="3"/>
        <v>18.899999999999999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f>400+108</f>
        <v>508</v>
      </c>
      <c r="C92" s="60">
        <v>5</v>
      </c>
      <c r="D92" s="60">
        <v>108</v>
      </c>
      <c r="E92" s="87"/>
      <c r="F92" s="87"/>
      <c r="G92" s="87"/>
      <c r="H92" s="87"/>
      <c r="I92" s="53">
        <f t="shared" si="3"/>
        <v>18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f>461+103</f>
        <v>564</v>
      </c>
      <c r="C93" s="60">
        <v>6</v>
      </c>
      <c r="D93" s="60">
        <v>103</v>
      </c>
      <c r="E93" s="87"/>
      <c r="F93" s="87"/>
      <c r="G93" s="87"/>
      <c r="H93" s="87"/>
      <c r="I93" s="53">
        <f t="shared" si="3"/>
        <v>16.399999999999999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f>512+94</f>
        <v>606</v>
      </c>
      <c r="C94" s="60">
        <v>7</v>
      </c>
      <c r="D94" s="60">
        <v>94</v>
      </c>
      <c r="E94" s="87"/>
      <c r="F94" s="87"/>
      <c r="G94" s="87"/>
      <c r="H94" s="87"/>
      <c r="I94" s="53">
        <f t="shared" si="3"/>
        <v>14.5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f>554+83</f>
        <v>637</v>
      </c>
      <c r="C95" s="60">
        <v>8</v>
      </c>
      <c r="D95" s="60">
        <v>83</v>
      </c>
      <c r="E95" s="87"/>
      <c r="F95" s="87"/>
      <c r="G95" s="87"/>
      <c r="H95" s="87"/>
      <c r="I95" s="53">
        <f t="shared" si="3"/>
        <v>12.5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Erable sycomore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10</v>
      </c>
      <c r="B114" s="60">
        <v>11</v>
      </c>
      <c r="C114" s="50"/>
      <c r="D114" s="60"/>
      <c r="E114" s="51"/>
      <c r="F114" s="51">
        <v>0.25</v>
      </c>
      <c r="G114" s="51">
        <v>0.25</v>
      </c>
      <c r="H114" s="51">
        <v>0.5</v>
      </c>
      <c r="I114" s="53">
        <f>IFERROR(B114/A114,"")</f>
        <v>1.1000000000000001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20</v>
      </c>
      <c r="B115" s="60">
        <v>134</v>
      </c>
      <c r="C115" s="50">
        <v>1</v>
      </c>
      <c r="D115" s="60">
        <f>32+35</f>
        <v>67</v>
      </c>
      <c r="E115" s="51"/>
      <c r="F115" s="51">
        <v>0.25</v>
      </c>
      <c r="G115" s="51">
        <v>0.25</v>
      </c>
      <c r="H115" s="51">
        <v>0.5</v>
      </c>
      <c r="I115" s="53">
        <f t="shared" ref="I115:I133" si="4">IF(A115&lt;&gt;0,(B115-(B114-D114))/(A115-A114),"")</f>
        <v>12.3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30</v>
      </c>
      <c r="B116" s="60">
        <v>212</v>
      </c>
      <c r="C116" s="50">
        <v>2</v>
      </c>
      <c r="D116" s="60">
        <f>35+35</f>
        <v>70</v>
      </c>
      <c r="E116" s="51">
        <v>0.1</v>
      </c>
      <c r="F116" s="51">
        <v>0.45</v>
      </c>
      <c r="G116" s="51">
        <v>0.45</v>
      </c>
      <c r="H116" s="51"/>
      <c r="I116" s="53">
        <f t="shared" si="4"/>
        <v>14.5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40</v>
      </c>
      <c r="B117" s="60">
        <v>263</v>
      </c>
      <c r="C117" s="50">
        <v>3</v>
      </c>
      <c r="D117" s="60">
        <f>35+35</f>
        <v>70</v>
      </c>
      <c r="E117" s="51"/>
      <c r="F117" s="51"/>
      <c r="G117" s="51"/>
      <c r="H117" s="51"/>
      <c r="I117" s="53">
        <f t="shared" si="4"/>
        <v>12.1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50</v>
      </c>
      <c r="B118" s="60">
        <v>285</v>
      </c>
      <c r="C118" s="50">
        <v>4</v>
      </c>
      <c r="D118" s="60">
        <f>24+19</f>
        <v>43</v>
      </c>
      <c r="E118" s="51"/>
      <c r="F118" s="51"/>
      <c r="G118" s="51"/>
      <c r="H118" s="51"/>
      <c r="I118" s="53">
        <f t="shared" si="4"/>
        <v>9.1999999999999993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60</v>
      </c>
      <c r="B119" s="60">
        <v>310</v>
      </c>
      <c r="C119" s="50">
        <v>5</v>
      </c>
      <c r="D119" s="60">
        <f>16+14</f>
        <v>30</v>
      </c>
      <c r="E119" s="51"/>
      <c r="F119" s="51"/>
      <c r="G119" s="51"/>
      <c r="H119" s="51"/>
      <c r="I119" s="53">
        <f t="shared" si="4"/>
        <v>6.8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70</v>
      </c>
      <c r="B120" s="60">
        <v>329</v>
      </c>
      <c r="C120" s="60">
        <v>6</v>
      </c>
      <c r="D120" s="60">
        <f>13+13</f>
        <v>26</v>
      </c>
      <c r="E120" s="87"/>
      <c r="F120" s="87"/>
      <c r="G120" s="87"/>
      <c r="H120" s="87"/>
      <c r="I120" s="53">
        <f t="shared" si="4"/>
        <v>4.9000000000000004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80</v>
      </c>
      <c r="B121" s="60">
        <f>319+12+11</f>
        <v>342</v>
      </c>
      <c r="C121" s="60">
        <v>7</v>
      </c>
      <c r="D121" s="60">
        <f>B121</f>
        <v>342</v>
      </c>
      <c r="E121" s="87"/>
      <c r="F121" s="87"/>
      <c r="G121" s="87"/>
      <c r="H121" s="87"/>
      <c r="I121" s="53">
        <f t="shared" si="4"/>
        <v>3.9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pubescent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30</v>
      </c>
      <c r="B140" s="60">
        <f>190.14/1.56</f>
        <v>121.88461538461537</v>
      </c>
      <c r="C140" s="50"/>
      <c r="D140" s="60"/>
      <c r="E140" s="51"/>
      <c r="F140" s="51"/>
      <c r="G140" s="51"/>
      <c r="H140" s="51"/>
      <c r="I140" s="57">
        <f>IFERROR(B140/A140,"")</f>
        <v>4.0628205128205126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35</v>
      </c>
      <c r="B141" s="60">
        <f>252.98/1.56</f>
        <v>162.16666666666666</v>
      </c>
      <c r="C141" s="50">
        <v>1</v>
      </c>
      <c r="D141" s="60">
        <f>94.54/1.56</f>
        <v>60.602564102564102</v>
      </c>
      <c r="E141" s="51"/>
      <c r="F141" s="51"/>
      <c r="G141" s="51"/>
      <c r="H141" s="51"/>
      <c r="I141" s="57">
        <f t="shared" ref="I141:I159" si="5">IF(A141&lt;&gt;0,(B141-(B140-D140))/(A141-A140),"")</f>
        <v>8.0564102564102562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41</v>
      </c>
      <c r="B142" s="60">
        <f>245.62/1.56</f>
        <v>157.44871794871796</v>
      </c>
      <c r="C142" s="50">
        <v>2</v>
      </c>
      <c r="D142" s="60">
        <f>60.08/1.56</f>
        <v>38.512820512820511</v>
      </c>
      <c r="E142" s="51"/>
      <c r="F142" s="51"/>
      <c r="G142" s="51"/>
      <c r="H142" s="51"/>
      <c r="I142" s="57">
        <f t="shared" si="5"/>
        <v>9.3141025641025674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48</v>
      </c>
      <c r="B143" s="60">
        <f>287.59/1.56</f>
        <v>184.35256410256409</v>
      </c>
      <c r="C143" s="50">
        <v>3</v>
      </c>
      <c r="D143" s="60">
        <f>74.92/1.56</f>
        <v>48.025641025641022</v>
      </c>
      <c r="E143" s="51"/>
      <c r="F143" s="51"/>
      <c r="G143" s="51"/>
      <c r="H143" s="51"/>
      <c r="I143" s="57">
        <f t="shared" si="5"/>
        <v>9.3452380952380913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55</v>
      </c>
      <c r="B144" s="60">
        <f>309.57/1.56</f>
        <v>198.44230769230768</v>
      </c>
      <c r="C144" s="50">
        <v>4</v>
      </c>
      <c r="D144" s="60">
        <f>70.43/1.56</f>
        <v>45.147435897435898</v>
      </c>
      <c r="E144" s="51"/>
      <c r="F144" s="51"/>
      <c r="G144" s="51"/>
      <c r="H144" s="51"/>
      <c r="I144" s="57">
        <f t="shared" si="5"/>
        <v>8.8736263736263741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63</v>
      </c>
      <c r="B145" s="60">
        <f>343.65/1.56</f>
        <v>220.28846153846152</v>
      </c>
      <c r="C145" s="50">
        <v>5</v>
      </c>
      <c r="D145" s="60">
        <f>65.09/1.56</f>
        <v>41.724358974358978</v>
      </c>
      <c r="E145" s="51"/>
      <c r="F145" s="51"/>
      <c r="G145" s="51"/>
      <c r="H145" s="51"/>
      <c r="I145" s="57">
        <f t="shared" si="5"/>
        <v>8.374198717948719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71</v>
      </c>
      <c r="B146" s="60">
        <f>379.65/1.56</f>
        <v>243.36538461538458</v>
      </c>
      <c r="C146" s="50">
        <v>6</v>
      </c>
      <c r="D146" s="60">
        <f>62.3/1.56</f>
        <v>39.935897435897431</v>
      </c>
      <c r="E146" s="51"/>
      <c r="F146" s="51"/>
      <c r="G146" s="51"/>
      <c r="H146" s="51"/>
      <c r="I146" s="57">
        <f t="shared" si="5"/>
        <v>8.1001602564102555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80</v>
      </c>
      <c r="B147" s="60">
        <f>427.46/1.56</f>
        <v>274.0128205128205</v>
      </c>
      <c r="C147" s="50">
        <v>7</v>
      </c>
      <c r="D147" s="60">
        <f>71.15/1.56</f>
        <v>45.608974358974358</v>
      </c>
      <c r="E147" s="51"/>
      <c r="F147" s="51"/>
      <c r="G147" s="51"/>
      <c r="H147" s="51"/>
      <c r="I147" s="57">
        <f>IF(A147&lt;&gt;0,(B147-(B146-D146))/(A147-A146),"")</f>
        <v>7.8425925925925934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89</v>
      </c>
      <c r="B148" s="60">
        <f>461.54/1.56</f>
        <v>295.85897435897436</v>
      </c>
      <c r="C148" s="50">
        <v>8</v>
      </c>
      <c r="D148" s="60">
        <f>77.05/1.56</f>
        <v>49.391025641025635</v>
      </c>
      <c r="E148" s="51"/>
      <c r="F148" s="51"/>
      <c r="G148" s="51"/>
      <c r="H148" s="51"/>
      <c r="I148" s="57">
        <f t="shared" si="5"/>
        <v>7.4950142450142483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99</v>
      </c>
      <c r="B149" s="60">
        <f>496.47/1.56</f>
        <v>318.25</v>
      </c>
      <c r="C149" s="50">
        <v>9</v>
      </c>
      <c r="D149" s="60">
        <f>74.91/1.56</f>
        <v>48.019230769230766</v>
      </c>
      <c r="E149" s="51"/>
      <c r="F149" s="51"/>
      <c r="G149" s="51"/>
      <c r="H149" s="51"/>
      <c r="I149" s="57">
        <f t="shared" si="5"/>
        <v>7.1782051282051267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109</v>
      </c>
      <c r="B150" s="60">
        <f>530.66/1.56</f>
        <v>340.16666666666663</v>
      </c>
      <c r="C150" s="50">
        <v>10</v>
      </c>
      <c r="D150" s="60">
        <f>80.01/1.56</f>
        <v>51.28846153846154</v>
      </c>
      <c r="E150" s="51"/>
      <c r="F150" s="51"/>
      <c r="G150" s="51"/>
      <c r="H150" s="51"/>
      <c r="I150" s="57">
        <f t="shared" si="5"/>
        <v>6.9935897435897401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119</v>
      </c>
      <c r="B151" s="60">
        <f>557.45/1.56</f>
        <v>357.33974358974359</v>
      </c>
      <c r="C151" s="50">
        <v>11</v>
      </c>
      <c r="D151" s="60">
        <f>234.04/1.56</f>
        <v>150.02564102564102</v>
      </c>
      <c r="E151" s="51"/>
      <c r="F151" s="51"/>
      <c r="G151" s="51"/>
      <c r="H151" s="51"/>
      <c r="I151" s="57">
        <f t="shared" si="5"/>
        <v>6.8461538461538511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123</v>
      </c>
      <c r="B152" s="60">
        <f>347.31/1.56</f>
        <v>222.63461538461539</v>
      </c>
      <c r="C152" s="50">
        <v>12</v>
      </c>
      <c r="D152" s="60">
        <f>120.39/1.56</f>
        <v>77.17307692307692</v>
      </c>
      <c r="E152" s="54"/>
      <c r="F152" s="54"/>
      <c r="G152" s="54"/>
      <c r="H152" s="54"/>
      <c r="I152" s="57">
        <f t="shared" si="5"/>
        <v>3.8301282051282044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127</v>
      </c>
      <c r="B153" s="60">
        <f>241.49/1.56</f>
        <v>154.80128205128204</v>
      </c>
      <c r="C153" s="50">
        <v>13</v>
      </c>
      <c r="D153" s="60">
        <f>77.87/1.56</f>
        <v>49.916666666666671</v>
      </c>
      <c r="E153" s="54"/>
      <c r="F153" s="54"/>
      <c r="G153" s="54"/>
      <c r="H153" s="54"/>
      <c r="I153" s="57">
        <f t="shared" si="5"/>
        <v>2.3349358974358978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>
        <v>131</v>
      </c>
      <c r="B154" s="56">
        <f>173.02/1.56</f>
        <v>110.91025641025641</v>
      </c>
      <c r="C154" s="50">
        <v>14</v>
      </c>
      <c r="D154" s="50">
        <f>173.02/1.56</f>
        <v>110.91025641025641</v>
      </c>
      <c r="E154" s="54"/>
      <c r="F154" s="54"/>
      <c r="G154" s="54"/>
      <c r="H154" s="54"/>
      <c r="I154" s="57">
        <f t="shared" si="5"/>
        <v>1.5064102564102591</v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Bouleau verruqueux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f>65+18</f>
        <v>83</v>
      </c>
      <c r="C166" s="60">
        <v>1</v>
      </c>
      <c r="D166" s="60">
        <v>18</v>
      </c>
      <c r="E166" s="51"/>
      <c r="F166" s="51">
        <v>0.25</v>
      </c>
      <c r="G166" s="51">
        <v>0.25</v>
      </c>
      <c r="H166" s="51">
        <v>0.5</v>
      </c>
      <c r="I166" s="49">
        <f>IFERROR(B166/A166,"")</f>
        <v>4.1500000000000004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30</v>
      </c>
      <c r="B167" s="60">
        <f>109+26</f>
        <v>135</v>
      </c>
      <c r="C167" s="60">
        <v>2</v>
      </c>
      <c r="D167" s="60">
        <v>26</v>
      </c>
      <c r="E167" s="51">
        <v>0.1</v>
      </c>
      <c r="F167" s="51">
        <v>0.45</v>
      </c>
      <c r="G167" s="51">
        <v>0.45</v>
      </c>
      <c r="H167" s="51"/>
      <c r="I167" s="49">
        <f t="shared" ref="I167:I185" si="6">IF(A167&lt;&gt;0,(B167-(B166-D166))/(A167-A166),"")</f>
        <v>7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40</v>
      </c>
      <c r="B168" s="60">
        <f>150+31</f>
        <v>181</v>
      </c>
      <c r="C168" s="60">
        <v>3</v>
      </c>
      <c r="D168" s="60">
        <v>31</v>
      </c>
      <c r="E168" s="51"/>
      <c r="F168" s="51"/>
      <c r="G168" s="51"/>
      <c r="H168" s="51"/>
      <c r="I168" s="49">
        <f t="shared" si="6"/>
        <v>7.2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50</v>
      </c>
      <c r="B169" s="60">
        <f>186+34</f>
        <v>220</v>
      </c>
      <c r="C169" s="60">
        <v>4</v>
      </c>
      <c r="D169" s="60">
        <v>34</v>
      </c>
      <c r="E169" s="51"/>
      <c r="F169" s="51"/>
      <c r="G169" s="51"/>
      <c r="H169" s="51"/>
      <c r="I169" s="49">
        <f t="shared" si="6"/>
        <v>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60</v>
      </c>
      <c r="B170" s="60">
        <f>216+34</f>
        <v>250</v>
      </c>
      <c r="C170" s="60">
        <v>5</v>
      </c>
      <c r="D170" s="60">
        <v>34</v>
      </c>
      <c r="E170" s="51"/>
      <c r="F170" s="51"/>
      <c r="G170" s="51"/>
      <c r="H170" s="51"/>
      <c r="I170" s="49">
        <f t="shared" si="6"/>
        <v>6.4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70</v>
      </c>
      <c r="B171" s="60">
        <f>241+34</f>
        <v>275</v>
      </c>
      <c r="C171" s="60">
        <v>6</v>
      </c>
      <c r="D171" s="60">
        <v>34</v>
      </c>
      <c r="E171" s="51"/>
      <c r="F171" s="51"/>
      <c r="G171" s="51"/>
      <c r="H171" s="51"/>
      <c r="I171" s="49">
        <f t="shared" si="6"/>
        <v>5.9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80</v>
      </c>
      <c r="B172" s="60">
        <f>260+33</f>
        <v>293</v>
      </c>
      <c r="C172" s="60">
        <v>7</v>
      </c>
      <c r="D172" s="60">
        <v>33</v>
      </c>
      <c r="E172" s="51"/>
      <c r="F172" s="51"/>
      <c r="G172" s="51"/>
      <c r="H172" s="51"/>
      <c r="I172" s="49">
        <f t="shared" si="6"/>
        <v>5.2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90</v>
      </c>
      <c r="B173" s="50">
        <f>276+31</f>
        <v>307</v>
      </c>
      <c r="C173" s="50">
        <v>8</v>
      </c>
      <c r="D173" s="50">
        <v>31</v>
      </c>
      <c r="E173" s="51"/>
      <c r="F173" s="51"/>
      <c r="G173" s="51"/>
      <c r="H173" s="51"/>
      <c r="I173" s="49">
        <f t="shared" si="6"/>
        <v>4.7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Tilleul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>
        <v>10</v>
      </c>
      <c r="B192" s="60">
        <v>11</v>
      </c>
      <c r="C192" s="60"/>
      <c r="D192" s="60"/>
      <c r="E192" s="51"/>
      <c r="F192" s="51">
        <v>0.25</v>
      </c>
      <c r="G192" s="51">
        <v>0.25</v>
      </c>
      <c r="H192" s="51">
        <v>0.5</v>
      </c>
      <c r="I192" s="49">
        <f>IFERROR(B192/A192,"")</f>
        <v>1.1000000000000001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>
        <v>20</v>
      </c>
      <c r="B193" s="60">
        <v>134</v>
      </c>
      <c r="C193" s="60">
        <v>1</v>
      </c>
      <c r="D193" s="60">
        <f>32+35</f>
        <v>67</v>
      </c>
      <c r="E193" s="51"/>
      <c r="F193" s="51">
        <v>0.25</v>
      </c>
      <c r="G193" s="51">
        <v>0.25</v>
      </c>
      <c r="H193" s="51">
        <v>0.5</v>
      </c>
      <c r="I193" s="49">
        <f t="shared" ref="I193:I211" si="7">IF(A193&lt;&gt;0,(B193-(B192-D192))/(A193-A192),"")</f>
        <v>12.3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>
        <v>30</v>
      </c>
      <c r="B194" s="60">
        <v>212</v>
      </c>
      <c r="C194" s="60">
        <v>2</v>
      </c>
      <c r="D194" s="60">
        <f>35+35</f>
        <v>70</v>
      </c>
      <c r="E194" s="51">
        <v>0.1</v>
      </c>
      <c r="F194" s="51">
        <v>0.45</v>
      </c>
      <c r="G194" s="51">
        <v>0.45</v>
      </c>
      <c r="H194" s="51"/>
      <c r="I194" s="49">
        <f t="shared" si="7"/>
        <v>14.5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>
        <v>40</v>
      </c>
      <c r="B195" s="60">
        <v>263</v>
      </c>
      <c r="C195" s="60">
        <v>3</v>
      </c>
      <c r="D195" s="60">
        <f>35+35</f>
        <v>70</v>
      </c>
      <c r="E195" s="51"/>
      <c r="F195" s="51"/>
      <c r="G195" s="51"/>
      <c r="H195" s="51"/>
      <c r="I195" s="49">
        <f t="shared" si="7"/>
        <v>12.1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>
        <v>50</v>
      </c>
      <c r="B196" s="60">
        <v>285</v>
      </c>
      <c r="C196" s="60">
        <v>4</v>
      </c>
      <c r="D196" s="60">
        <f>24+19</f>
        <v>43</v>
      </c>
      <c r="E196" s="51"/>
      <c r="F196" s="51"/>
      <c r="G196" s="51"/>
      <c r="H196" s="51"/>
      <c r="I196" s="49">
        <f t="shared" si="7"/>
        <v>9.1999999999999993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>
        <v>60</v>
      </c>
      <c r="B197" s="60">
        <v>310</v>
      </c>
      <c r="C197" s="60">
        <v>5</v>
      </c>
      <c r="D197" s="60">
        <f>16+14</f>
        <v>30</v>
      </c>
      <c r="E197" s="51"/>
      <c r="F197" s="51"/>
      <c r="G197" s="51"/>
      <c r="H197" s="51"/>
      <c r="I197" s="49">
        <f t="shared" si="7"/>
        <v>6.8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>
        <v>70</v>
      </c>
      <c r="B198" s="60">
        <v>329</v>
      </c>
      <c r="C198" s="60">
        <v>6</v>
      </c>
      <c r="D198" s="60">
        <f>13+13</f>
        <v>26</v>
      </c>
      <c r="E198" s="51"/>
      <c r="F198" s="51"/>
      <c r="G198" s="51"/>
      <c r="H198" s="51"/>
      <c r="I198" s="49">
        <f t="shared" si="7"/>
        <v>4.9000000000000004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>
        <v>80</v>
      </c>
      <c r="B199" s="50">
        <f>319+12+11</f>
        <v>342</v>
      </c>
      <c r="C199" s="50">
        <v>7</v>
      </c>
      <c r="D199" s="50">
        <f>B199</f>
        <v>342</v>
      </c>
      <c r="E199" s="51"/>
      <c r="F199" s="51"/>
      <c r="G199" s="51"/>
      <c r="H199" s="51"/>
      <c r="I199" s="49">
        <f t="shared" si="7"/>
        <v>3.9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1" sqref="G21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Cèdre de l'Atlas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laricio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sycomore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Chêne pubescent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>Bouleau verruqueux</v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>Tilleul</v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255.5374979188561</v>
      </c>
      <c r="T3" s="59">
        <f>IF('Données projet'!E9&gt;30,$R$33-$H$33,LOOKUP('Données projet'!$E$9,$A$3:$A$203,R3:R203)-LOOKUP('Données projet'!$E$9,$A$3:$A$203,$H$3:$H$203))</f>
        <v>343.10418468620901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158.58786357608489</v>
      </c>
      <c r="AO3" s="59">
        <f>IF('Données projet'!E10&gt;30,$AM$33-$H$33,LOOKUP('Données projet'!$E$10,$A$3:$A$203,AM3:AM203)-LOOKUP('Données projet'!$E$10,$A$3:$A$203,$H$3:$H$203))</f>
        <v>163.20074068819849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316.58509520829671</v>
      </c>
      <c r="BJ3" s="59">
        <f>IF('Données projet'!E11&gt;30,$BH$33-$H$33,LOOKUP('Données projet'!$E$11,$A$3:$A$203,BH3:BH203)-LOOKUP('Données projet'!$E$11,$A$3:$A$203,$H$3:$H$203))</f>
        <v>240.71332110643596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260.20517190557814</v>
      </c>
      <c r="CE3" s="59">
        <f>IF('Données projet'!E12&gt;30,$CC$33-$H$33,LOOKUP('Données projet'!$E$12,$A$3:$A$203,CC3:CC203)-LOOKUP('Données projet'!$E$12,$A$3:$A$203,$H$3:$H$203))</f>
        <v>307.22009971147133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263.15518481854753</v>
      </c>
      <c r="CZ3" s="59">
        <f>IF('Données projet'!E13&gt;30,$CX$33-$H$33,LOOKUP('Données projet'!$E$13,$A$3:$A$203,CX3:CX203)-LOOKUP('Données projet'!$E$13,$A$3:$A$203,$H$3:$H$203))</f>
        <v>210.80755370263819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203.21935660591021</v>
      </c>
      <c r="DU3" s="59">
        <f>IF('Données projet'!E14&gt;30,$DS$33-$H$33,LOOKUP('Données projet'!$E$14,$A$3:$A$203,DS3:DS203)-LOOKUP('Données projet'!$E$14,$A$3:$A$203,$H$3:$H$203))</f>
        <v>180.54762778843178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207.93042467236967</v>
      </c>
      <c r="EP3" s="59">
        <f>IF('Données projet'!E15&gt;30,$EN$33-$H$33,LOOKUP('Données projet'!$E$15,$A$3:$A$203,EN3:EN203)-LOOKUP('Données projet'!$E$15,$A$3:$A$203,$H$3:$H$203))</f>
        <v>250.70954318710835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9.3968325791855207</v>
      </c>
      <c r="N4" s="13">
        <f>IF('Données projet'!$A$36&gt;35,N3+M4-V3,IF(A4&lt;'Données projet'!$A$36,$K$205^A4,IF(A4='Données projet'!$A$36,'Données projet'!$B$36,N3+M4-V3)))</f>
        <v>1.3477630745024085</v>
      </c>
      <c r="O4" s="13">
        <f>N4*VLOOKUP('Données projet'!$B$9,Paramètres!$A$1:$I$89,3,0)*VLOOKUP('Données projet'!$B$9,Paramètres!$A$1:$I$89,5,0)</f>
        <v>0.75339955864684627</v>
      </c>
      <c r="P4" s="13">
        <f>EXP(-1.0587+0.8836*LN(O4)+0.284)</f>
        <v>0.3588324201756754</v>
      </c>
      <c r="Q4" s="20">
        <f t="shared" ref="Q4:Q34" si="2">(O4+P4)*0.475*44/12</f>
        <v>1.9371373631158919</v>
      </c>
      <c r="R4" s="59">
        <f t="shared" si="0"/>
        <v>295.27047069644919</v>
      </c>
      <c r="S4" s="59">
        <f ca="1">AVERAGE(OFFSET($R$3,0,0,'Données projet'!$E$9+1,1))-AVERAGE(OFFSET($H$3,0,0,'Données projet'!$E$9+1,1))</f>
        <v>255.5374979188561</v>
      </c>
      <c r="T4" s="59">
        <f>$T$3</f>
        <v>343.10418468620901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7.2264102564102561</v>
      </c>
      <c r="AI4" s="13">
        <f>IF('Données projet'!$A$62&gt;35,AI3+AH4-AQ3,IF(A4&lt;'Données projet'!$A$62,$AF$205^A4,IF(A4='Données projet'!$A$62,'Données projet'!$B$62,AI3+AH4-AQ3)))</f>
        <v>1.1963772029987372</v>
      </c>
      <c r="AJ4" s="13">
        <f>AI4*VLOOKUP('Données projet'!$B$10,Paramètres!$A$1:$I$89,3,0)*VLOOKUP('Données projet'!$B$10,Paramètres!$A$1:$I$89,5,0)</f>
        <v>0.55990453100340898</v>
      </c>
      <c r="AK4" s="13">
        <f>EXP(-1.0587+0.8836*LN(AJ4)+0.284)</f>
        <v>0.2760486193577778</v>
      </c>
      <c r="AL4" s="20">
        <f t="shared" ref="AL4:AL67" si="4">(AJ4+AK4)*0.475*44/12</f>
        <v>1.4559517368790669</v>
      </c>
      <c r="AM4" s="59">
        <f t="shared" ref="AM4:AM67" si="5">AL4+(AD4+AE4)*44/12</f>
        <v>294.78928507021237</v>
      </c>
      <c r="AN4" s="59">
        <f ca="1">AVERAGE(OFFSET($AM$3,0,0,'Données projet'!$E$10+1,1))-AVERAGE(OFFSET($H$3,0,0,'Données projet'!$E$10+1,1))</f>
        <v>158.58786357608489</v>
      </c>
      <c r="AO4" s="59">
        <f>$AO$3</f>
        <v>163.20074068819849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5.3</v>
      </c>
      <c r="BD4" s="12">
        <f>IF('Données projet'!$A$88&gt;35,BD3+BC4-BL3,IF(A4&lt;'Données projet'!$A$88,$BA$205^A4,IF(A4='Données projet'!$A$88,'Données projet'!$B$88,BD3+BC4-BL3)))</f>
        <v>1.2625985704272813</v>
      </c>
      <c r="BE4" s="13">
        <f>BD4*VLOOKUP('Données projet'!$B$11,Paramètres!$A$1:$I$89,3,0)*VLOOKUP('Données projet'!$B$11,Paramètres!$A$1:$I$89,5,0)</f>
        <v>0.75503394511551425</v>
      </c>
      <c r="BF4" s="13">
        <f>EXP(-1.0587+0.8836*LN(BE4)+0.284)</f>
        <v>0.35952015653689401</v>
      </c>
      <c r="BG4" s="20">
        <f t="shared" ref="BG4:BG67" si="7">(BE4+BF4)*0.475*44/12</f>
        <v>1.9411817270446112</v>
      </c>
      <c r="BH4" s="59">
        <f t="shared" ref="BH4:BH67" si="8">BG4+(AY4+AZ4)*44/12</f>
        <v>295.27451506037795</v>
      </c>
      <c r="BI4" s="59">
        <f ca="1">AVERAGE(OFFSET($BH$3,0,0,'Données projet'!$E$11+1,1))-AVERAGE(OFFSET($H$3,0,0,'Données projet'!$E$11+1,1))</f>
        <v>316.58509520829671</v>
      </c>
      <c r="BJ4" s="59">
        <f>$BJ$3</f>
        <v>240.71332110643596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1.1000000000000001</v>
      </c>
      <c r="BY4" s="12">
        <f>IF('Données projet'!$A$114&gt;35,BY3+BX4-CG3,IF(A4&lt;'Données projet'!$A$114,$BV$205^A4,IF(A4='Données projet'!$A$114,'Données projet'!$B$114,BY3+BX4-CG3)))</f>
        <v>1.2709816152101407</v>
      </c>
      <c r="BZ4" s="13">
        <f>BY4*VLOOKUP('Données projet'!$B$12,Paramètres!$A$1:$I$89,3,0)*VLOOKUP('Données projet'!$B$12,Paramètres!$A$1:$I$89,5,0)</f>
        <v>1.0111929730611879</v>
      </c>
      <c r="CA4" s="13">
        <f>EXP(-1.0587+0.8836*LN(BZ4)+0.284)</f>
        <v>0.46539683474213156</v>
      </c>
      <c r="CB4" s="20">
        <f t="shared" ref="CB4:CB67" si="10">(BZ4+CA4)*0.475*44/12</f>
        <v>2.5717272485907814</v>
      </c>
      <c r="CC4" s="59">
        <f t="shared" ref="CC4:CC67" si="11">CB4+(BT4+BU4)*44/12</f>
        <v>295.90506058192409</v>
      </c>
      <c r="CD4" s="59">
        <f ca="1">AVERAGE(OFFSET($CC$3,0,0,'Données projet'!$E$12+1,1))-AVERAGE(OFFSET($H$3,0,0,'Données projet'!$E$12+1,1))</f>
        <v>260.20517190557814</v>
      </c>
      <c r="CE4" s="59">
        <f>$CE$3</f>
        <v>307.22009971147133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4.0628205128205126</v>
      </c>
      <c r="CT4" s="12">
        <f>IF('Données projet'!$A$140&gt;35,CT3+CS4-DB3,IF(A4&lt;'Données projet'!$A$140,$CQ$205^A4,IF(A4='Données projet'!$A$140,'Données projet'!$B$140,CT3+CS4-DB3)))</f>
        <v>1.1736311550444201</v>
      </c>
      <c r="CU4" s="17">
        <f>CT4*VLOOKUP('Données projet'!$B$13,Paramètres!$A$1:$I$89,3,0)*VLOOKUP('Données projet'!$B$13,Paramètres!$A$1:$I$89,5,0)</f>
        <v>1.1900619912150421</v>
      </c>
      <c r="CV4" s="13">
        <f>EXP(-1.0587+0.8836*LN(CU4)+0.284)</f>
        <v>0.53743426225295832</v>
      </c>
      <c r="CW4" s="20">
        <f t="shared" ref="CW4:CW67" si="13">(CU4+CV4)*0.475*44/12</f>
        <v>3.0087226414567669</v>
      </c>
      <c r="CX4" s="59">
        <f t="shared" ref="CX4:CX67" si="14">CW4+(CO4+CP4)*44/12</f>
        <v>296.34205597479007</v>
      </c>
      <c r="CY4" s="59">
        <f ca="1">AVERAGE(OFFSET($CX$3,0,0,'Données projet'!$E$13+1,1))-AVERAGE(OFFSET($H$3,0,0,'Données projet'!$E$13+1,1))</f>
        <v>263.15518481854753</v>
      </c>
      <c r="CZ4" s="59">
        <f>$CZ$3</f>
        <v>210.80755370263819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4.1500000000000004</v>
      </c>
      <c r="DO4" s="12">
        <f>IF('Données projet'!$A$166&gt;35,DO3+DN4-DW3,IF(A4&lt;'Données projet'!$A$166,$DL$205^A4,IF(A4='Données projet'!$A$166,'Données projet'!$B$166,DO3+DN4-DW3)))</f>
        <v>1.2472511258067986</v>
      </c>
      <c r="DP4" s="17">
        <f>DO4*VLOOKUP('Données projet'!$B$14,Paramètres!$A$1:$I$89,3,0)*VLOOKUP('Données projet'!$B$14,Paramètres!$A$1:$I$89,5,0)</f>
        <v>1.011770113254475</v>
      </c>
      <c r="DQ4" s="13">
        <f>EXP(-1.0587+0.8836*LN(DP4)+0.284)</f>
        <v>0.46563153414603703</v>
      </c>
      <c r="DR4" s="20">
        <f t="shared" ref="DR4:DR67" si="16">(DP4+DQ4)*0.475*44/12</f>
        <v>2.5731412025558917</v>
      </c>
      <c r="DS4" s="59">
        <f t="shared" ref="DS4:DS67" si="17">DR4+(DJ4+DK4)*44/12</f>
        <v>295.90647453588923</v>
      </c>
      <c r="DT4" s="59">
        <f ca="1">AVERAGE(OFFSET($DS$3,0,0,'Données projet'!$E$14+1,1))-AVERAGE(OFFSET($H$3,0,0,'Données projet'!$E$14+1,1))</f>
        <v>203.21935660591021</v>
      </c>
      <c r="DU4" s="59">
        <f>$DU$3</f>
        <v>180.54762778843178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1.1000000000000001</v>
      </c>
      <c r="EJ4" s="12">
        <f>IF('Données projet'!$A$192&gt;35,EJ3+EI4-ER3,IF(A4&lt;'Données projet'!$A$192,$EG$205^A4,IF(A4='Données projet'!$A$192,'Données projet'!$B$192,EJ3+EI4-ER3)))</f>
        <v>1.2709816152101407</v>
      </c>
      <c r="EK4" s="17">
        <f>EJ4*VLOOKUP('Données projet'!$B$15,Paramètres!$A$1:$I$89,3,0)*VLOOKUP('Données projet'!$B$15,Paramètres!$A$1:$I$89,5,0)</f>
        <v>0.85257446748296239</v>
      </c>
      <c r="EL4" s="13">
        <f>EXP(-1.0587+0.8836*LN(EK4)+0.284)</f>
        <v>0.40026456574842817</v>
      </c>
      <c r="EM4" s="20">
        <f t="shared" ref="EM4:EM67" si="19">(EK4+EL4)*0.475*44/12</f>
        <v>2.1820279828780054</v>
      </c>
      <c r="EN4" s="59">
        <f t="shared" ref="EN4:EN67" si="20">EM4+(EE4+EF4)*44/12</f>
        <v>295.51536131621134</v>
      </c>
      <c r="EO4" s="59">
        <f ca="1">AVERAGE(OFFSET($EN$3,0,0,'Données projet'!$E$15+1,1))-AVERAGE(OFFSET($H$3,0,0,'Données projet'!$E$15+1,1))</f>
        <v>207.93042467236967</v>
      </c>
      <c r="EP4" s="59">
        <f>$EP$3</f>
        <v>250.70954318710835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9.3968325791855207</v>
      </c>
      <c r="N5" s="13">
        <f>IF('Données projet'!$A$36&gt;35,N4+M5-V4,IF(A5&lt;'Données projet'!$A$36,$K$205^A5,IF(A5='Données projet'!$A$36,'Données projet'!$B$36,N4+M5-V4)))</f>
        <v>1.8164653049921848</v>
      </c>
      <c r="O5" s="13">
        <f>N5*VLOOKUP('Données projet'!$B$9,Paramètres!$A$1:$I$89,3,0)*VLOOKUP('Données projet'!$B$9,Paramètres!$A$1:$I$89,5,0)</f>
        <v>1.0154041054906313</v>
      </c>
      <c r="P5" s="13">
        <f t="shared" ref="P5:P68" si="33">EXP(-1.0587+0.8836*LN(O5)+0.284)</f>
        <v>0.46710897317647637</v>
      </c>
      <c r="Q5" s="20">
        <f t="shared" si="2"/>
        <v>2.582043612011879</v>
      </c>
      <c r="R5" s="59">
        <f t="shared" si="0"/>
        <v>295.9153769453452</v>
      </c>
      <c r="S5" s="59">
        <f ca="1">AVERAGE(OFFSET($R$3,0,0,'Données projet'!$E$9+1,1))-AVERAGE(OFFSET($H$3,0,0,'Données projet'!$E$9+1,1))</f>
        <v>255.5374979188561</v>
      </c>
      <c r="T5" s="59">
        <f t="shared" ref="T5:T68" si="34">$T$3</f>
        <v>343.10418468620901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7.2264102564102561</v>
      </c>
      <c r="AI5" s="13">
        <f>IF('Données projet'!$A$62&gt;35,AI4+AH5-AQ4,IF(A5&lt;'Données projet'!$A$62,$AF$205^A5,IF(A5='Données projet'!$A$62,'Données projet'!$B$62,AI4+AH5-AQ4)))</f>
        <v>1.4313184118550817</v>
      </c>
      <c r="AJ5" s="13">
        <f>AI5*VLOOKUP('Données projet'!$B$10,Paramètres!$A$1:$I$89,3,0)*VLOOKUP('Données projet'!$B$10,Paramètres!$A$1:$I$89,5,0)</f>
        <v>0.66985701674817832</v>
      </c>
      <c r="AK5" s="13">
        <f t="shared" ref="AK5:AK68" si="35">EXP(-1.0587+0.8836*LN(AJ5)+0.284)</f>
        <v>0.32343711768198868</v>
      </c>
      <c r="AL5" s="20">
        <f t="shared" si="4"/>
        <v>1.729987284132541</v>
      </c>
      <c r="AM5" s="59">
        <f t="shared" si="5"/>
        <v>295.06332061746588</v>
      </c>
      <c r="AN5" s="59">
        <f ca="1">AVERAGE(OFFSET($AM$3,0,0,'Données projet'!$E$10+1,1))-AVERAGE(OFFSET($H$3,0,0,'Données projet'!$E$10+1,1))</f>
        <v>158.58786357608489</v>
      </c>
      <c r="AO5" s="59">
        <f t="shared" ref="AO5:AO68" si="36">$AO$3</f>
        <v>163.20074068819849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5.3</v>
      </c>
      <c r="BD5" s="12">
        <f>IF('Données projet'!$A$88&gt;35,BD4+BC5-BL4,IF(A5&lt;'Données projet'!$A$88,$BA$205^A5,IF(A5='Données projet'!$A$88,'Données projet'!$B$88,BD4+BC5-BL4)))</f>
        <v>1.5941551500450144</v>
      </c>
      <c r="BE5" s="13">
        <f>BD5*VLOOKUP('Données projet'!$B$11,Paramètres!$A$1:$I$89,3,0)*VLOOKUP('Données projet'!$B$11,Paramètres!$A$1:$I$89,5,0)</f>
        <v>0.95330477972691874</v>
      </c>
      <c r="BF5" s="13">
        <f t="shared" ref="BF5:BF68" si="37">EXP(-1.0587+0.8836*LN(BE5)+0.284)</f>
        <v>0.44177512384100159</v>
      </c>
      <c r="BG5" s="20">
        <f t="shared" si="7"/>
        <v>2.4297641653807944</v>
      </c>
      <c r="BH5" s="59">
        <f t="shared" si="8"/>
        <v>295.7630974987141</v>
      </c>
      <c r="BI5" s="59">
        <f ca="1">AVERAGE(OFFSET($BH$3,0,0,'Données projet'!$E$11+1,1))-AVERAGE(OFFSET($H$3,0,0,'Données projet'!$E$11+1,1))</f>
        <v>316.58509520829671</v>
      </c>
      <c r="BJ5" s="59">
        <f t="shared" ref="BJ5:BJ68" si="38">$BJ$3</f>
        <v>240.71332110643596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1.1000000000000001</v>
      </c>
      <c r="BY5" s="12">
        <f>IF('Données projet'!$A$114&gt;35,BY4+BX5-CG4,IF(A5&lt;'Données projet'!$A$114,$BV$205^A5,IF(A5='Données projet'!$A$114,'Données projet'!$B$114,BY4+BX5-CG4)))</f>
        <v>1.6153942662021783</v>
      </c>
      <c r="BZ5" s="13">
        <f>BY5*VLOOKUP('Données projet'!$B$12,Paramètres!$A$1:$I$89,3,0)*VLOOKUP('Données projet'!$B$12,Paramètres!$A$1:$I$89,5,0)</f>
        <v>1.2852076781904531</v>
      </c>
      <c r="CA5" s="13">
        <f t="shared" ref="CA5:CA68" si="39">EXP(-1.0587+0.8836*LN(BZ5)+0.284)</f>
        <v>0.57522914588482876</v>
      </c>
      <c r="CB5" s="20">
        <f t="shared" si="10"/>
        <v>3.2402608019311159</v>
      </c>
      <c r="CC5" s="59">
        <f t="shared" si="11"/>
        <v>296.57359413526444</v>
      </c>
      <c r="CD5" s="59">
        <f ca="1">AVERAGE(OFFSET($CC$3,0,0,'Données projet'!$E$12+1,1))-AVERAGE(OFFSET($H$3,0,0,'Données projet'!$E$12+1,1))</f>
        <v>260.20517190557814</v>
      </c>
      <c r="CE5" s="59">
        <f t="shared" ref="CE5:CE68" si="40">$CE$3</f>
        <v>307.22009971147133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4.0628205128205126</v>
      </c>
      <c r="CT5" s="12">
        <f>IF('Données projet'!$A$140&gt;35,CT4+CS5-DB4,IF(A5&lt;'Données projet'!$A$140,$CQ$205^A5,IF(A5='Données projet'!$A$140,'Données projet'!$B$140,CT4+CS5-DB4)))</f>
        <v>1.3774100880908995</v>
      </c>
      <c r="CU5" s="17">
        <f>CT5*VLOOKUP('Données projet'!$B$13,Paramètres!$A$1:$I$89,3,0)*VLOOKUP('Données projet'!$B$13,Paramètres!$A$1:$I$89,5,0)</f>
        <v>1.3966938293241722</v>
      </c>
      <c r="CV5" s="13">
        <f t="shared" ref="CV5:CV68" si="41">EXP(-1.0587+0.8836*LN(CU5)+0.284)</f>
        <v>0.61910384026408283</v>
      </c>
      <c r="CW5" s="20">
        <f t="shared" si="13"/>
        <v>3.5108476078662108</v>
      </c>
      <c r="CX5" s="59">
        <f t="shared" si="14"/>
        <v>296.84418094119951</v>
      </c>
      <c r="CY5" s="59">
        <f ca="1">AVERAGE(OFFSET($CX$3,0,0,'Données projet'!$E$13+1,1))-AVERAGE(OFFSET($H$3,0,0,'Données projet'!$E$13+1,1))</f>
        <v>263.15518481854753</v>
      </c>
      <c r="CZ5" s="59">
        <f t="shared" ref="CZ5:CZ68" si="42">$CZ$3</f>
        <v>210.80755370263819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4.1500000000000004</v>
      </c>
      <c r="DO5" s="12">
        <f>IF('Données projet'!$A$166&gt;35,DO4+DN5-DW4,IF(A5&lt;'Données projet'!$A$166,$DL$205^A5,IF(A5='Données projet'!$A$166,'Données projet'!$B$166,DO4+DN5-DW4)))</f>
        <v>1.5556353708263266</v>
      </c>
      <c r="DP5" s="17">
        <f>DO5*VLOOKUP('Données projet'!$B$14,Paramètres!$A$1:$I$89,3,0)*VLOOKUP('Données projet'!$B$14,Paramètres!$A$1:$I$89,5,0)</f>
        <v>1.2619314128143164</v>
      </c>
      <c r="DQ5" s="13">
        <f t="shared" ref="DQ5:DQ68" si="43">EXP(-1.0587+0.8836*LN(DP5)+0.284)</f>
        <v>0.56601410599944368</v>
      </c>
      <c r="DR5" s="20">
        <f t="shared" si="16"/>
        <v>3.1836717786006319</v>
      </c>
      <c r="DS5" s="59">
        <f t="shared" si="17"/>
        <v>296.51700511193394</v>
      </c>
      <c r="DT5" s="59">
        <f ca="1">AVERAGE(OFFSET($DS$3,0,0,'Données projet'!$E$14+1,1))-AVERAGE(OFFSET($H$3,0,0,'Données projet'!$E$14+1,1))</f>
        <v>203.21935660591021</v>
      </c>
      <c r="DU5" s="59">
        <f t="shared" ref="DU5:DU68" si="44">$DU$3</f>
        <v>180.54762778843178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1.1000000000000001</v>
      </c>
      <c r="EJ5" s="12">
        <f>IF('Données projet'!$A$192&gt;35,EJ4+EI5-ER4,IF(A5&lt;'Données projet'!$A$192,$EG$205^A5,IF(A5='Données projet'!$A$192,'Données projet'!$B$192,EJ4+EI5-ER4)))</f>
        <v>1.6153942662021783</v>
      </c>
      <c r="EK5" s="17">
        <f>EJ5*VLOOKUP('Données projet'!$B$15,Paramètres!$A$1:$I$89,3,0)*VLOOKUP('Données projet'!$B$15,Paramètres!$A$1:$I$89,5,0)</f>
        <v>1.0836064737684212</v>
      </c>
      <c r="EL5" s="13">
        <f t="shared" ref="EL5:EL68" si="45">EXP(-1.0587+0.8836*LN(EK5)+0.284)</f>
        <v>0.49472584920136886</v>
      </c>
      <c r="EM5" s="20">
        <f t="shared" si="19"/>
        <v>2.7489287958390509</v>
      </c>
      <c r="EN5" s="59">
        <f t="shared" si="20"/>
        <v>296.08226212917236</v>
      </c>
      <c r="EO5" s="59">
        <f ca="1">AVERAGE(OFFSET($EN$3,0,0,'Données projet'!$E$15+1,1))-AVERAGE(OFFSET($H$3,0,0,'Données projet'!$E$15+1,1))</f>
        <v>207.93042467236967</v>
      </c>
      <c r="EP5" s="59">
        <f t="shared" ref="EP5:EP68" si="46">$EP$3</f>
        <v>250.70954318710835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9.3968325791855207</v>
      </c>
      <c r="N6" s="13">
        <f>IF('Données projet'!$A$36&gt;35,N5+M6-V5,IF(A6&lt;'Données projet'!$A$36,$K$205^A6,IF(A6='Données projet'!$A$36,'Données projet'!$B$36,N5+M6-V5)))</f>
        <v>2.4481648641832221</v>
      </c>
      <c r="O6" s="13">
        <f>N6*VLOOKUP('Données projet'!$B$9,Paramètres!$A$1:$I$89,3,0)*VLOOKUP('Données projet'!$B$9,Paramètres!$A$1:$I$89,5,0)</f>
        <v>1.3685241590784212</v>
      </c>
      <c r="P6" s="13">
        <f t="shared" si="33"/>
        <v>0.60805763513553568</v>
      </c>
      <c r="Q6" s="20">
        <f t="shared" si="2"/>
        <v>3.4425466249226413</v>
      </c>
      <c r="R6" s="59">
        <f t="shared" si="0"/>
        <v>296.77587995825593</v>
      </c>
      <c r="S6" s="59">
        <f ca="1">AVERAGE(OFFSET($R$3,0,0,'Données projet'!$E$9+1,1))-AVERAGE(OFFSET($H$3,0,0,'Données projet'!$E$9+1,1))</f>
        <v>255.5374979188561</v>
      </c>
      <c r="T6" s="59">
        <f t="shared" si="34"/>
        <v>343.10418468620901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7.2264102564102561</v>
      </c>
      <c r="AI6" s="13">
        <f>IF('Données projet'!$A$62&gt;35,AI5+AH6-AQ5,IF(A6&lt;'Données projet'!$A$62,$AF$205^A6,IF(A6='Données projet'!$A$62,'Données projet'!$B$62,AI5+AH6-AQ5)))</f>
        <v>1.7123967181757771</v>
      </c>
      <c r="AJ6" s="13">
        <f>AI6*VLOOKUP('Données projet'!$B$10,Paramètres!$A$1:$I$89,3,0)*VLOOKUP('Données projet'!$B$10,Paramètres!$A$1:$I$89,5,0)</f>
        <v>0.80140166410626379</v>
      </c>
      <c r="AK6" s="13">
        <f t="shared" si="35"/>
        <v>0.37896066764546593</v>
      </c>
      <c r="AL6" s="20">
        <f t="shared" si="4"/>
        <v>2.0557977278009294</v>
      </c>
      <c r="AM6" s="59">
        <f t="shared" si="5"/>
        <v>295.38913106113426</v>
      </c>
      <c r="AN6" s="59">
        <f ca="1">AVERAGE(OFFSET($AM$3,0,0,'Données projet'!$E$10+1,1))-AVERAGE(OFFSET($H$3,0,0,'Données projet'!$E$10+1,1))</f>
        <v>158.58786357608489</v>
      </c>
      <c r="AO6" s="59">
        <f t="shared" si="36"/>
        <v>163.20074068819849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5.3</v>
      </c>
      <c r="BD6" s="12">
        <f>IF('Données projet'!$A$88&gt;35,BD5+BC6-BL5,IF(A6&lt;'Données projet'!$A$88,$BA$205^A6,IF(A6='Données projet'!$A$88,'Données projet'!$B$88,BD5+BC6-BL5)))</f>
        <v>2.0127780134861233</v>
      </c>
      <c r="BE6" s="13">
        <f>BD6*VLOOKUP('Données projet'!$B$11,Paramètres!$A$1:$I$89,3,0)*VLOOKUP('Données projet'!$B$11,Paramètres!$A$1:$I$89,5,0)</f>
        <v>1.2036412520647017</v>
      </c>
      <c r="BF6" s="13">
        <f t="shared" si="37"/>
        <v>0.54284928534933019</v>
      </c>
      <c r="BG6" s="20">
        <f t="shared" si="7"/>
        <v>3.0418043526627723</v>
      </c>
      <c r="BH6" s="59">
        <f t="shared" si="8"/>
        <v>296.37513768599609</v>
      </c>
      <c r="BI6" s="59">
        <f ca="1">AVERAGE(OFFSET($BH$3,0,0,'Données projet'!$E$11+1,1))-AVERAGE(OFFSET($H$3,0,0,'Données projet'!$E$11+1,1))</f>
        <v>316.58509520829671</v>
      </c>
      <c r="BJ6" s="59">
        <f t="shared" si="38"/>
        <v>240.71332110643596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1.1000000000000001</v>
      </c>
      <c r="BY6" s="12">
        <f>IF('Données projet'!$A$114&gt;35,BY5+BX6-CG5,IF(A6&lt;'Données projet'!$A$114,$BV$205^A6,IF(A6='Données projet'!$A$114,'Données projet'!$B$114,BY5+BX6-CG5)))</f>
        <v>2.0531364136588448</v>
      </c>
      <c r="BZ6" s="13">
        <f>BY6*VLOOKUP('Données projet'!$B$12,Paramètres!$A$1:$I$89,3,0)*VLOOKUP('Données projet'!$B$12,Paramètres!$A$1:$I$89,5,0)</f>
        <v>1.6334753307069771</v>
      </c>
      <c r="CA6" s="13">
        <f t="shared" si="39"/>
        <v>0.71098156578295024</v>
      </c>
      <c r="CB6" s="20">
        <f t="shared" si="10"/>
        <v>4.0832624280532892</v>
      </c>
      <c r="CC6" s="59">
        <f t="shared" si="11"/>
        <v>297.41659576138659</v>
      </c>
      <c r="CD6" s="59">
        <f ca="1">AVERAGE(OFFSET($CC$3,0,0,'Données projet'!$E$12+1,1))-AVERAGE(OFFSET($H$3,0,0,'Données projet'!$E$12+1,1))</f>
        <v>260.20517190557814</v>
      </c>
      <c r="CE6" s="59">
        <f t="shared" si="40"/>
        <v>307.22009971147133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4.0628205128205126</v>
      </c>
      <c r="CT6" s="12">
        <f>IF('Données projet'!$A$140&gt;35,CT5+CS6-DB5,IF(A6&lt;'Données projet'!$A$140,$CQ$205^A6,IF(A6='Données projet'!$A$140,'Données projet'!$B$140,CT5+CS6-DB5)))</f>
        <v>1.6165713926559588</v>
      </c>
      <c r="CU6" s="17">
        <f>CT6*VLOOKUP('Données projet'!$B$13,Paramètres!$A$1:$I$89,3,0)*VLOOKUP('Données projet'!$B$13,Paramètres!$A$1:$I$89,5,0)</f>
        <v>1.6392033921531424</v>
      </c>
      <c r="CV6" s="13">
        <f t="shared" si="41"/>
        <v>0.71318408957211055</v>
      </c>
      <c r="CW6" s="20">
        <f t="shared" si="13"/>
        <v>4.0970748640048145</v>
      </c>
      <c r="CX6" s="59">
        <f t="shared" si="14"/>
        <v>297.43040819733812</v>
      </c>
      <c r="CY6" s="59">
        <f ca="1">AVERAGE(OFFSET($CX$3,0,0,'Données projet'!$E$13+1,1))-AVERAGE(OFFSET($H$3,0,0,'Données projet'!$E$13+1,1))</f>
        <v>263.15518481854753</v>
      </c>
      <c r="CZ6" s="59">
        <f t="shared" si="42"/>
        <v>210.80755370263819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4.1500000000000004</v>
      </c>
      <c r="DO6" s="12">
        <f>IF('Données projet'!$A$166&gt;35,DO5+DN6-DW5,IF(A6&lt;'Données projet'!$A$166,$DL$205^A6,IF(A6='Données projet'!$A$166,'Données projet'!$B$166,DO5+DN6-DW5)))</f>
        <v>1.9402679676080126</v>
      </c>
      <c r="DP6" s="17">
        <f>DO6*VLOOKUP('Données projet'!$B$14,Paramètres!$A$1:$I$89,3,0)*VLOOKUP('Données projet'!$B$14,Paramètres!$A$1:$I$89,5,0)</f>
        <v>1.5739453753236199</v>
      </c>
      <c r="DQ6" s="13">
        <f t="shared" si="43"/>
        <v>0.6880375247305961</v>
      </c>
      <c r="DR6" s="20">
        <f t="shared" si="16"/>
        <v>3.9396202175944257</v>
      </c>
      <c r="DS6" s="59">
        <f t="shared" si="17"/>
        <v>297.27295355092775</v>
      </c>
      <c r="DT6" s="59">
        <f ca="1">AVERAGE(OFFSET($DS$3,0,0,'Données projet'!$E$14+1,1))-AVERAGE(OFFSET($H$3,0,0,'Données projet'!$E$14+1,1))</f>
        <v>203.21935660591021</v>
      </c>
      <c r="DU6" s="59">
        <f t="shared" si="44"/>
        <v>180.54762778843178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1.1000000000000001</v>
      </c>
      <c r="EJ6" s="12">
        <f>IF('Données projet'!$A$192&gt;35,EJ5+EI6-ER5,IF(A6&lt;'Données projet'!$A$192,$EG$205^A6,IF(A6='Données projet'!$A$192,'Données projet'!$B$192,EJ5+EI6-ER5)))</f>
        <v>2.0531364136588448</v>
      </c>
      <c r="EK6" s="17">
        <f>EJ6*VLOOKUP('Données projet'!$B$15,Paramètres!$A$1:$I$89,3,0)*VLOOKUP('Données projet'!$B$15,Paramètres!$A$1:$I$89,5,0)</f>
        <v>1.3772439062823532</v>
      </c>
      <c r="EL6" s="13">
        <f t="shared" si="45"/>
        <v>0.61147972319350075</v>
      </c>
      <c r="EM6" s="20">
        <f t="shared" si="19"/>
        <v>3.4636936546704455</v>
      </c>
      <c r="EN6" s="59">
        <f t="shared" si="20"/>
        <v>296.79702698800378</v>
      </c>
      <c r="EO6" s="59">
        <f ca="1">AVERAGE(OFFSET($EN$3,0,0,'Données projet'!$E$15+1,1))-AVERAGE(OFFSET($H$3,0,0,'Données projet'!$E$15+1,1))</f>
        <v>207.93042467236967</v>
      </c>
      <c r="EP6" s="59">
        <f t="shared" si="46"/>
        <v>250.70954318710835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9.3968325791855207</v>
      </c>
      <c r="N7" s="13">
        <f>IF('Données projet'!$A$36&gt;35,N6+M7-V6,IF(A7&lt;'Données projet'!$A$36,$K$205^A7,IF(A7='Données projet'!$A$36,'Données projet'!$B$36,N6+M7-V6)))</f>
        <v>3.2995462042403512</v>
      </c>
      <c r="O7" s="13">
        <f>N7*VLOOKUP('Données projet'!$B$9,Paramètres!$A$1:$I$89,3,0)*VLOOKUP('Données projet'!$B$9,Paramètres!$A$1:$I$89,5,0)</f>
        <v>1.8444463281703563</v>
      </c>
      <c r="P7" s="13">
        <f t="shared" si="33"/>
        <v>0.79153711206256949</v>
      </c>
      <c r="Q7" s="20">
        <f t="shared" si="2"/>
        <v>4.591004491739012</v>
      </c>
      <c r="R7" s="59">
        <f t="shared" si="0"/>
        <v>297.92433782507231</v>
      </c>
      <c r="S7" s="59">
        <f ca="1">AVERAGE(OFFSET($R$3,0,0,'Données projet'!$E$9+1,1))-AVERAGE(OFFSET($H$3,0,0,'Données projet'!$E$9+1,1))</f>
        <v>255.5374979188561</v>
      </c>
      <c r="T7" s="59">
        <f t="shared" si="34"/>
        <v>343.10418468620901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7.2264102564102561</v>
      </c>
      <c r="AI7" s="13">
        <f>IF('Données projet'!$A$62&gt;35,AI6+AH7-AQ6,IF(A7&lt;'Données projet'!$A$62,$AF$205^A7,IF(A7='Données projet'!$A$62,'Données projet'!$B$62,AI6+AH7-AQ6)))</f>
        <v>2.0486723961153532</v>
      </c>
      <c r="AJ7" s="13">
        <f>AI7*VLOOKUP('Données projet'!$B$10,Paramètres!$A$1:$I$89,3,0)*VLOOKUP('Données projet'!$B$10,Paramètres!$A$1:$I$89,5,0)</f>
        <v>0.95877868138198519</v>
      </c>
      <c r="AK7" s="13">
        <f t="shared" si="35"/>
        <v>0.44401579092570115</v>
      </c>
      <c r="AL7" s="20">
        <f t="shared" si="4"/>
        <v>2.4432003726025537</v>
      </c>
      <c r="AM7" s="59">
        <f t="shared" si="5"/>
        <v>295.77653370593589</v>
      </c>
      <c r="AN7" s="59">
        <f ca="1">AVERAGE(OFFSET($AM$3,0,0,'Données projet'!$E$10+1,1))-AVERAGE(OFFSET($H$3,0,0,'Données projet'!$E$10+1,1))</f>
        <v>158.58786357608489</v>
      </c>
      <c r="AO7" s="59">
        <f t="shared" si="36"/>
        <v>163.20074068819849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5.3</v>
      </c>
      <c r="BD7" s="12">
        <f>IF('Données projet'!$A$88&gt;35,BD6+BC7-BL6,IF(A7&lt;'Données projet'!$A$88,$BA$205^A7,IF(A7='Données projet'!$A$88,'Données projet'!$B$88,BD6+BC7-BL6)))</f>
        <v>2.5413306424150424</v>
      </c>
      <c r="BE7" s="13">
        <f>BD7*VLOOKUP('Données projet'!$B$11,Paramètres!$A$1:$I$89,3,0)*VLOOKUP('Données projet'!$B$11,Paramètres!$A$1:$I$89,5,0)</f>
        <v>1.5197157241641954</v>
      </c>
      <c r="BF7" s="13">
        <f t="shared" si="37"/>
        <v>0.66704830286084227</v>
      </c>
      <c r="BG7" s="20">
        <f t="shared" si="7"/>
        <v>3.8086140137352733</v>
      </c>
      <c r="BH7" s="59">
        <f t="shared" si="8"/>
        <v>297.14194734706859</v>
      </c>
      <c r="BI7" s="59">
        <f ca="1">AVERAGE(OFFSET($BH$3,0,0,'Données projet'!$E$11+1,1))-AVERAGE(OFFSET($H$3,0,0,'Données projet'!$E$11+1,1))</f>
        <v>316.58509520829671</v>
      </c>
      <c r="BJ7" s="59">
        <f t="shared" si="38"/>
        <v>240.71332110643596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1.1000000000000001</v>
      </c>
      <c r="BY7" s="12">
        <f>IF('Données projet'!$A$114&gt;35,BY6+BX7-CG6,IF(A7&lt;'Données projet'!$A$114,$BV$205^A7,IF(A7='Données projet'!$A$114,'Données projet'!$B$114,BY6+BX7-CG6)))</f>
        <v>2.6094986352788743</v>
      </c>
      <c r="BZ7" s="13">
        <f>BY7*VLOOKUP('Données projet'!$B$12,Paramètres!$A$1:$I$89,3,0)*VLOOKUP('Données projet'!$B$12,Paramètres!$A$1:$I$89,5,0)</f>
        <v>2.0761171142278725</v>
      </c>
      <c r="CA7" s="13">
        <f t="shared" si="39"/>
        <v>0.87877116536856548</v>
      </c>
      <c r="CB7" s="20">
        <f t="shared" si="10"/>
        <v>5.14643042029713</v>
      </c>
      <c r="CC7" s="59">
        <f t="shared" si="11"/>
        <v>298.47976375363044</v>
      </c>
      <c r="CD7" s="59">
        <f ca="1">AVERAGE(OFFSET($CC$3,0,0,'Données projet'!$E$12+1,1))-AVERAGE(OFFSET($H$3,0,0,'Données projet'!$E$12+1,1))</f>
        <v>260.20517190557814</v>
      </c>
      <c r="CE7" s="59">
        <f t="shared" si="40"/>
        <v>307.22009971147133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4.0628205128205126</v>
      </c>
      <c r="CT7" s="12">
        <f>IF('Données projet'!$A$140&gt;35,CT6+CS7-DB6,IF(A7&lt;'Données projet'!$A$140,$CQ$205^A7,IF(A7='Données projet'!$A$140,'Données projet'!$B$140,CT6+CS7-DB6)))</f>
        <v>1.8972585507745794</v>
      </c>
      <c r="CU7" s="17">
        <f>CT7*VLOOKUP('Données projet'!$B$13,Paramètres!$A$1:$I$89,3,0)*VLOOKUP('Données projet'!$B$13,Paramètres!$A$1:$I$89,5,0)</f>
        <v>1.9238201704854236</v>
      </c>
      <c r="CV7" s="13">
        <f t="shared" si="41"/>
        <v>0.82156096043894689</v>
      </c>
      <c r="CW7" s="20">
        <f t="shared" si="13"/>
        <v>4.7815388030266117</v>
      </c>
      <c r="CX7" s="59">
        <f t="shared" si="14"/>
        <v>298.11487213635991</v>
      </c>
      <c r="CY7" s="59">
        <f ca="1">AVERAGE(OFFSET($CX$3,0,0,'Données projet'!$E$13+1,1))-AVERAGE(OFFSET($H$3,0,0,'Données projet'!$E$13+1,1))</f>
        <v>263.15518481854753</v>
      </c>
      <c r="CZ7" s="59">
        <f t="shared" si="42"/>
        <v>210.80755370263819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4.1500000000000004</v>
      </c>
      <c r="DO7" s="12">
        <f>IF('Données projet'!$A$166&gt;35,DO6+DN7-DW6,IF(A7&lt;'Données projet'!$A$166,$DL$205^A7,IF(A7='Données projet'!$A$166,'Données projet'!$B$166,DO6+DN7-DW6)))</f>
        <v>2.4200014069659628</v>
      </c>
      <c r="DP7" s="17">
        <f>DO7*VLOOKUP('Données projet'!$B$14,Paramètres!$A$1:$I$89,3,0)*VLOOKUP('Données projet'!$B$14,Paramètres!$A$1:$I$89,5,0)</f>
        <v>1.9631051413307892</v>
      </c>
      <c r="DQ7" s="13">
        <f t="shared" si="43"/>
        <v>0.83636720431464129</v>
      </c>
      <c r="DR7" s="20">
        <f t="shared" si="16"/>
        <v>4.8757476686657908</v>
      </c>
      <c r="DS7" s="59">
        <f t="shared" si="17"/>
        <v>298.2090810019991</v>
      </c>
      <c r="DT7" s="59">
        <f ca="1">AVERAGE(OFFSET($DS$3,0,0,'Données projet'!$E$14+1,1))-AVERAGE(OFFSET($H$3,0,0,'Données projet'!$E$14+1,1))</f>
        <v>203.21935660591021</v>
      </c>
      <c r="DU7" s="59">
        <f t="shared" si="44"/>
        <v>180.54762778843178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1.1000000000000001</v>
      </c>
      <c r="EJ7" s="12">
        <f>IF('Données projet'!$A$192&gt;35,EJ6+EI7-ER6,IF(A7&lt;'Données projet'!$A$192,$EG$205^A7,IF(A7='Données projet'!$A$192,'Données projet'!$B$192,EJ6+EI7-ER6)))</f>
        <v>2.6094986352788743</v>
      </c>
      <c r="EK7" s="17">
        <f>EJ7*VLOOKUP('Données projet'!$B$15,Paramètres!$A$1:$I$89,3,0)*VLOOKUP('Données projet'!$B$15,Paramètres!$A$1:$I$89,5,0)</f>
        <v>1.7504516845450688</v>
      </c>
      <c r="EL7" s="13">
        <f t="shared" si="45"/>
        <v>0.75578717481691204</v>
      </c>
      <c r="EM7" s="20">
        <f t="shared" si="19"/>
        <v>4.3650326800554504</v>
      </c>
      <c r="EN7" s="59">
        <f t="shared" si="20"/>
        <v>297.69836601338875</v>
      </c>
      <c r="EO7" s="59">
        <f ca="1">AVERAGE(OFFSET($EN$3,0,0,'Données projet'!$E$15+1,1))-AVERAGE(OFFSET($H$3,0,0,'Données projet'!$E$15+1,1))</f>
        <v>207.93042467236967</v>
      </c>
      <c r="EP7" s="59">
        <f t="shared" si="46"/>
        <v>250.70954318710835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9.3968325791855207</v>
      </c>
      <c r="N8" s="13">
        <f>IF('Données projet'!$A$36&gt;35,N7+M8-V7,IF(A8&lt;'Données projet'!$A$36,$K$205^A8,IF(A8='Données projet'!$A$36,'Données projet'!$B$36,N7+M8-V7)))</f>
        <v>4.4470065366897273</v>
      </c>
      <c r="O8" s="13">
        <f>N8*VLOOKUP('Données projet'!$B$9,Paramètres!$A$1:$I$89,3,0)*VLOOKUP('Données projet'!$B$9,Paramètres!$A$1:$I$89,5,0)</f>
        <v>2.4858766540095578</v>
      </c>
      <c r="P8" s="13">
        <f t="shared" si="33"/>
        <v>1.0303809434654976</v>
      </c>
      <c r="Q8" s="20">
        <f t="shared" si="2"/>
        <v>6.124148648935722</v>
      </c>
      <c r="R8" s="59">
        <f t="shared" si="0"/>
        <v>299.45748198226903</v>
      </c>
      <c r="S8" s="59">
        <f ca="1">AVERAGE(OFFSET($R$3,0,0,'Données projet'!$E$9+1,1))-AVERAGE(OFFSET($H$3,0,0,'Données projet'!$E$9+1,1))</f>
        <v>255.5374979188561</v>
      </c>
      <c r="T8" s="59">
        <f t="shared" si="34"/>
        <v>343.10418468620901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7.2264102564102561</v>
      </c>
      <c r="AI8" s="13">
        <f>IF('Données projet'!$A$62&gt;35,AI7+AH8-AQ7,IF(A8&lt;'Données projet'!$A$62,$AF$205^A8,IF(A8='Données projet'!$A$62,'Données projet'!$B$62,AI7+AH8-AQ7)))</f>
        <v>2.4509849511252071</v>
      </c>
      <c r="AJ8" s="13">
        <f>AI8*VLOOKUP('Données projet'!$B$10,Paramètres!$A$1:$I$89,3,0)*VLOOKUP('Données projet'!$B$10,Paramètres!$A$1:$I$89,5,0)</f>
        <v>1.1470609571265968</v>
      </c>
      <c r="AK8" s="13">
        <f t="shared" si="35"/>
        <v>0.52023874619045773</v>
      </c>
      <c r="AL8" s="20">
        <f t="shared" si="4"/>
        <v>2.9038803166105365</v>
      </c>
      <c r="AM8" s="59">
        <f t="shared" si="5"/>
        <v>296.23721364994384</v>
      </c>
      <c r="AN8" s="59">
        <f ca="1">AVERAGE(OFFSET($AM$3,0,0,'Données projet'!$E$10+1,1))-AVERAGE(OFFSET($H$3,0,0,'Données projet'!$E$10+1,1))</f>
        <v>158.58786357608489</v>
      </c>
      <c r="AO8" s="59">
        <f t="shared" si="36"/>
        <v>163.20074068819849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5.3</v>
      </c>
      <c r="BD8" s="12">
        <f>IF('Données projet'!$A$88&gt;35,BD7+BC8-BL7,IF(A8&lt;'Données projet'!$A$88,$BA$205^A8,IF(A8='Données projet'!$A$88,'Données projet'!$B$88,BD7+BC8-BL7)))</f>
        <v>3.2086804360962771</v>
      </c>
      <c r="BE8" s="13">
        <f>BD8*VLOOKUP('Données projet'!$B$11,Paramètres!$A$1:$I$89,3,0)*VLOOKUP('Données projet'!$B$11,Paramètres!$A$1:$I$89,5,0)</f>
        <v>1.9187909007855739</v>
      </c>
      <c r="BF8" s="13">
        <f t="shared" si="37"/>
        <v>0.81966293473739582</v>
      </c>
      <c r="BG8" s="20">
        <f t="shared" si="7"/>
        <v>4.7694737635358386</v>
      </c>
      <c r="BH8" s="59">
        <f t="shared" si="8"/>
        <v>298.10280709686913</v>
      </c>
      <c r="BI8" s="59">
        <f ca="1">AVERAGE(OFFSET($BH$3,0,0,'Données projet'!$E$11+1,1))-AVERAGE(OFFSET($H$3,0,0,'Données projet'!$E$11+1,1))</f>
        <v>316.58509520829671</v>
      </c>
      <c r="BJ8" s="59">
        <f t="shared" si="38"/>
        <v>240.71332110643596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1.1000000000000001</v>
      </c>
      <c r="BY8" s="12">
        <f>IF('Données projet'!$A$114&gt;35,BY7+BX8-CG7,IF(A8&lt;'Données projet'!$A$114,$BV$205^A8,IF(A8='Données projet'!$A$114,'Données projet'!$B$114,BY7+BX8-CG7)))</f>
        <v>3.3166247903554016</v>
      </c>
      <c r="BZ8" s="13">
        <f>BY8*VLOOKUP('Données projet'!$B$12,Paramètres!$A$1:$I$89,3,0)*VLOOKUP('Données projet'!$B$12,Paramètres!$A$1:$I$89,5,0)</f>
        <v>2.6387066832067574</v>
      </c>
      <c r="CA8" s="13">
        <f t="shared" si="39"/>
        <v>1.0861586266766543</v>
      </c>
      <c r="CB8" s="20">
        <f t="shared" si="10"/>
        <v>6.4874737480469413</v>
      </c>
      <c r="CC8" s="59">
        <f t="shared" si="11"/>
        <v>299.82080708138028</v>
      </c>
      <c r="CD8" s="59">
        <f ca="1">AVERAGE(OFFSET($CC$3,0,0,'Données projet'!$E$12+1,1))-AVERAGE(OFFSET($H$3,0,0,'Données projet'!$E$12+1,1))</f>
        <v>260.20517190557814</v>
      </c>
      <c r="CE8" s="59">
        <f t="shared" si="40"/>
        <v>307.22009971147133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4.0628205128205126</v>
      </c>
      <c r="CT8" s="12">
        <f>IF('Données projet'!$A$140&gt;35,CT7+CS8-DB7,IF(A8&lt;'Données projet'!$A$140,$CQ$205^A8,IF(A8='Données projet'!$A$140,'Données projet'!$B$140,CT7+CS8-DB7)))</f>
        <v>2.2266817443634719</v>
      </c>
      <c r="CU8" s="17">
        <f>CT8*VLOOKUP('Données projet'!$B$13,Paramètres!$A$1:$I$89,3,0)*VLOOKUP('Données projet'!$B$13,Paramètres!$A$1:$I$89,5,0)</f>
        <v>2.2578552887845609</v>
      </c>
      <c r="CV8" s="13">
        <f t="shared" si="41"/>
        <v>0.94640699587440658</v>
      </c>
      <c r="CW8" s="20">
        <f t="shared" si="13"/>
        <v>5.5807568124477021</v>
      </c>
      <c r="CX8" s="59">
        <f t="shared" si="14"/>
        <v>298.91409014578102</v>
      </c>
      <c r="CY8" s="59">
        <f ca="1">AVERAGE(OFFSET($CX$3,0,0,'Données projet'!$E$13+1,1))-AVERAGE(OFFSET($H$3,0,0,'Données projet'!$E$13+1,1))</f>
        <v>263.15518481854753</v>
      </c>
      <c r="CZ8" s="59">
        <f t="shared" si="42"/>
        <v>210.80755370263819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4.1500000000000004</v>
      </c>
      <c r="DO8" s="12">
        <f>IF('Données projet'!$A$166&gt;35,DO7+DN8-DW7,IF(A8&lt;'Données projet'!$A$166,$DL$205^A8,IF(A8='Données projet'!$A$166,'Données projet'!$B$166,DO7+DN8-DW7)))</f>
        <v>3.0183494792923335</v>
      </c>
      <c r="DP8" s="17">
        <f>DO8*VLOOKUP('Données projet'!$B$14,Paramètres!$A$1:$I$89,3,0)*VLOOKUP('Données projet'!$B$14,Paramètres!$A$1:$I$89,5,0)</f>
        <v>2.448485097601941</v>
      </c>
      <c r="DQ8" s="13">
        <f t="shared" si="43"/>
        <v>1.0166743459624312</v>
      </c>
      <c r="DR8" s="20">
        <f t="shared" si="16"/>
        <v>6.0351526975412817</v>
      </c>
      <c r="DS8" s="59">
        <f t="shared" si="17"/>
        <v>299.36848603087458</v>
      </c>
      <c r="DT8" s="59">
        <f ca="1">AVERAGE(OFFSET($DS$3,0,0,'Données projet'!$E$14+1,1))-AVERAGE(OFFSET($H$3,0,0,'Données projet'!$E$14+1,1))</f>
        <v>203.21935660591021</v>
      </c>
      <c r="DU8" s="59">
        <f t="shared" si="44"/>
        <v>180.54762778843178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1.1000000000000001</v>
      </c>
      <c r="EJ8" s="12">
        <f>IF('Données projet'!$A$192&gt;35,EJ7+EI8-ER7,IF(A8&lt;'Données projet'!$A$192,$EG$205^A8,IF(A8='Données projet'!$A$192,'Données projet'!$B$192,EJ7+EI8-ER7)))</f>
        <v>3.3166247903554016</v>
      </c>
      <c r="EK8" s="17">
        <f>EJ8*VLOOKUP('Données projet'!$B$15,Paramètres!$A$1:$I$89,3,0)*VLOOKUP('Données projet'!$B$15,Paramètres!$A$1:$I$89,5,0)</f>
        <v>2.2247919093704032</v>
      </c>
      <c r="EL8" s="13">
        <f t="shared" si="45"/>
        <v>0.93415076894867155</v>
      </c>
      <c r="EM8" s="20">
        <f t="shared" si="19"/>
        <v>5.5018251647390555</v>
      </c>
      <c r="EN8" s="59">
        <f t="shared" si="20"/>
        <v>298.83515849807236</v>
      </c>
      <c r="EO8" s="59">
        <f ca="1">AVERAGE(OFFSET($EN$3,0,0,'Données projet'!$E$15+1,1))-AVERAGE(OFFSET($H$3,0,0,'Données projet'!$E$15+1,1))</f>
        <v>207.93042467236967</v>
      </c>
      <c r="EP8" s="59">
        <f t="shared" si="46"/>
        <v>250.70954318710835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9.3968325791855207</v>
      </c>
      <c r="N9" s="13">
        <f>IF('Données projet'!$A$36&gt;35,N8+M9-V8,IF(A9&lt;'Données projet'!$A$36,$K$205^A9,IF(A9='Données projet'!$A$36,'Données projet'!$B$36,N8+M9-V8)))</f>
        <v>5.9935112022212556</v>
      </c>
      <c r="O9" s="13">
        <f>N9*VLOOKUP('Données projet'!$B$9,Paramètres!$A$1:$I$89,3,0)*VLOOKUP('Données projet'!$B$9,Paramètres!$A$1:$I$89,5,0)</f>
        <v>3.3503727620416819</v>
      </c>
      <c r="P9" s="13">
        <f t="shared" si="33"/>
        <v>1.3412951489922369</v>
      </c>
      <c r="Q9" s="20">
        <f t="shared" si="2"/>
        <v>8.1713216117174081</v>
      </c>
      <c r="R9" s="59">
        <f t="shared" si="0"/>
        <v>301.50465494505073</v>
      </c>
      <c r="S9" s="59">
        <f ca="1">AVERAGE(OFFSET($R$3,0,0,'Données projet'!$E$9+1,1))-AVERAGE(OFFSET($H$3,0,0,'Données projet'!$E$9+1,1))</f>
        <v>255.5374979188561</v>
      </c>
      <c r="T9" s="59">
        <f t="shared" si="34"/>
        <v>343.10418468620901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7.2264102564102561</v>
      </c>
      <c r="AI9" s="13">
        <f>IF('Données projet'!$A$62&gt;35,AI8+AH9-AQ8,IF(A9&lt;'Données projet'!$A$62,$AF$205^A9,IF(A9='Données projet'!$A$62,'Données projet'!$B$62,AI8+AH9-AQ8)))</f>
        <v>2.9323025204191722</v>
      </c>
      <c r="AJ9" s="13">
        <f>AI9*VLOOKUP('Données projet'!$B$10,Paramètres!$A$1:$I$89,3,0)*VLOOKUP('Données projet'!$B$10,Paramètres!$A$1:$I$89,5,0)</f>
        <v>1.3723175795561726</v>
      </c>
      <c r="AK9" s="13">
        <f t="shared" si="35"/>
        <v>0.60954668407977464</v>
      </c>
      <c r="AL9" s="20">
        <f t="shared" si="4"/>
        <v>3.4517469258326074</v>
      </c>
      <c r="AM9" s="59">
        <f t="shared" si="5"/>
        <v>296.78508025916591</v>
      </c>
      <c r="AN9" s="59">
        <f ca="1">AVERAGE(OFFSET($AM$3,0,0,'Données projet'!$E$10+1,1))-AVERAGE(OFFSET($H$3,0,0,'Données projet'!$E$10+1,1))</f>
        <v>158.58786357608489</v>
      </c>
      <c r="AO9" s="59">
        <f t="shared" si="36"/>
        <v>163.20074068819849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5.3</v>
      </c>
      <c r="BD9" s="12">
        <f>IF('Données projet'!$A$88&gt;35,BD8+BC9-BL8,IF(A9&lt;'Données projet'!$A$88,$BA$205^A9,IF(A9='Données projet'!$A$88,'Données projet'!$B$88,BD8+BC9-BL8)))</f>
        <v>4.0512753315731445</v>
      </c>
      <c r="BE9" s="13">
        <f>BD9*VLOOKUP('Données projet'!$B$11,Paramètres!$A$1:$I$89,3,0)*VLOOKUP('Données projet'!$B$11,Paramètres!$A$1:$I$89,5,0)</f>
        <v>2.4226626482807405</v>
      </c>
      <c r="BF9" s="13">
        <f t="shared" si="37"/>
        <v>1.0071944171072709</v>
      </c>
      <c r="BG9" s="20">
        <f t="shared" si="7"/>
        <v>5.9736677222174537</v>
      </c>
      <c r="BH9" s="59">
        <f t="shared" si="8"/>
        <v>299.30700105555076</v>
      </c>
      <c r="BI9" s="59">
        <f ca="1">AVERAGE(OFFSET($BH$3,0,0,'Données projet'!$E$11+1,1))-AVERAGE(OFFSET($H$3,0,0,'Données projet'!$E$11+1,1))</f>
        <v>316.58509520829671</v>
      </c>
      <c r="BJ9" s="59">
        <f t="shared" si="38"/>
        <v>240.71332110643596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1.1000000000000001</v>
      </c>
      <c r="BY9" s="12">
        <f>IF('Données projet'!$A$114&gt;35,BY8+BX9-CG8,IF(A9&lt;'Données projet'!$A$114,$BV$205^A9,IF(A9='Données projet'!$A$114,'Données projet'!$B$114,BY8+BX9-CG8)))</f>
        <v>4.2153691330919028</v>
      </c>
      <c r="BZ9" s="13">
        <f>BY9*VLOOKUP('Données projet'!$B$12,Paramètres!$A$1:$I$89,3,0)*VLOOKUP('Données projet'!$B$12,Paramètres!$A$1:$I$89,5,0)</f>
        <v>3.353747682287918</v>
      </c>
      <c r="CA9" s="13">
        <f t="shared" si="39"/>
        <v>1.3424889309030987</v>
      </c>
      <c r="CB9" s="20">
        <f t="shared" si="10"/>
        <v>8.1792787679743544</v>
      </c>
      <c r="CC9" s="59">
        <f t="shared" si="11"/>
        <v>301.5126121013077</v>
      </c>
      <c r="CD9" s="59">
        <f ca="1">AVERAGE(OFFSET($CC$3,0,0,'Données projet'!$E$12+1,1))-AVERAGE(OFFSET($H$3,0,0,'Données projet'!$E$12+1,1))</f>
        <v>260.20517190557814</v>
      </c>
      <c r="CE9" s="59">
        <f t="shared" si="40"/>
        <v>307.22009971147133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4.0628205128205126</v>
      </c>
      <c r="CT9" s="12">
        <f>IF('Données projet'!$A$140&gt;35,CT8+CS9-DB8,IF(A9&lt;'Données projet'!$A$140,$CQ$205^A9,IF(A9='Données projet'!$A$140,'Données projet'!$B$140,CT8+CS9-DB8)))</f>
        <v>2.6133030675536255</v>
      </c>
      <c r="CU9" s="17">
        <f>CT9*VLOOKUP('Données projet'!$B$13,Paramètres!$A$1:$I$89,3,0)*VLOOKUP('Données projet'!$B$13,Paramètres!$A$1:$I$89,5,0)</f>
        <v>2.6498893104993768</v>
      </c>
      <c r="CV9" s="13">
        <f t="shared" si="41"/>
        <v>1.0902248828394525</v>
      </c>
      <c r="CW9" s="20">
        <f t="shared" si="13"/>
        <v>6.5140322200651282</v>
      </c>
      <c r="CX9" s="59">
        <f t="shared" si="14"/>
        <v>299.84736555339845</v>
      </c>
      <c r="CY9" s="59">
        <f ca="1">AVERAGE(OFFSET($CX$3,0,0,'Données projet'!$E$13+1,1))-AVERAGE(OFFSET($H$3,0,0,'Données projet'!$E$13+1,1))</f>
        <v>263.15518481854753</v>
      </c>
      <c r="CZ9" s="59">
        <f t="shared" si="42"/>
        <v>210.80755370263819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4.1500000000000004</v>
      </c>
      <c r="DO9" s="12">
        <f>IF('Données projet'!$A$166&gt;35,DO8+DN9-DW8,IF(A9&lt;'Données projet'!$A$166,$DL$205^A9,IF(A9='Données projet'!$A$166,'Données projet'!$B$166,DO8+DN9-DW8)))</f>
        <v>3.7646397861257279</v>
      </c>
      <c r="DP9" s="17">
        <f>DO9*VLOOKUP('Données projet'!$B$14,Paramètres!$A$1:$I$89,3,0)*VLOOKUP('Données projet'!$B$14,Paramètres!$A$1:$I$89,5,0)</f>
        <v>3.0538757945051906</v>
      </c>
      <c r="DQ9" s="13">
        <f t="shared" si="43"/>
        <v>1.2358527694604429</v>
      </c>
      <c r="DR9" s="20">
        <f t="shared" si="16"/>
        <v>7.4712772489068113</v>
      </c>
      <c r="DS9" s="59">
        <f t="shared" si="17"/>
        <v>300.80461058224012</v>
      </c>
      <c r="DT9" s="59">
        <f ca="1">AVERAGE(OFFSET($DS$3,0,0,'Données projet'!$E$14+1,1))-AVERAGE(OFFSET($H$3,0,0,'Données projet'!$E$14+1,1))</f>
        <v>203.21935660591021</v>
      </c>
      <c r="DU9" s="59">
        <f t="shared" si="44"/>
        <v>180.54762778843178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1.1000000000000001</v>
      </c>
      <c r="EJ9" s="12">
        <f>IF('Données projet'!$A$192&gt;35,EJ8+EI9-ER8,IF(A9&lt;'Données projet'!$A$192,$EG$205^A9,IF(A9='Données projet'!$A$192,'Données projet'!$B$192,EJ8+EI9-ER8)))</f>
        <v>4.2153691330919028</v>
      </c>
      <c r="EK9" s="17">
        <f>EJ9*VLOOKUP('Données projet'!$B$15,Paramètres!$A$1:$I$89,3,0)*VLOOKUP('Données projet'!$B$15,Paramètres!$A$1:$I$89,5,0)</f>
        <v>2.8276696144780482</v>
      </c>
      <c r="EL9" s="13">
        <f t="shared" si="45"/>
        <v>1.1546076570283019</v>
      </c>
      <c r="EM9" s="20">
        <f t="shared" si="19"/>
        <v>6.9357995812068935</v>
      </c>
      <c r="EN9" s="59">
        <f t="shared" si="20"/>
        <v>300.26913291454019</v>
      </c>
      <c r="EO9" s="59">
        <f ca="1">AVERAGE(OFFSET($EN$3,0,0,'Données projet'!$E$15+1,1))-AVERAGE(OFFSET($H$3,0,0,'Données projet'!$E$15+1,1))</f>
        <v>207.93042467236967</v>
      </c>
      <c r="EP9" s="59">
        <f t="shared" si="46"/>
        <v>250.70954318710835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9.3968325791855207</v>
      </c>
      <c r="N10" s="13">
        <f>IF('Données projet'!$A$36&gt;35,N9+M10-V9,IF(A10&lt;'Données projet'!$A$36,$K$205^A10,IF(A10='Données projet'!$A$36,'Données projet'!$B$36,N9+M10-V9)))</f>
        <v>8.0778330849703455</v>
      </c>
      <c r="O10" s="13">
        <f>N10*VLOOKUP('Données projet'!$B$9,Paramètres!$A$1:$I$89,3,0)*VLOOKUP('Données projet'!$B$9,Paramètres!$A$1:$I$89,5,0)</f>
        <v>4.5155086944984228</v>
      </c>
      <c r="P10" s="13">
        <f t="shared" si="33"/>
        <v>1.7460267371204046</v>
      </c>
      <c r="Q10" s="20">
        <f t="shared" si="2"/>
        <v>10.905507543402789</v>
      </c>
      <c r="R10" s="59">
        <f t="shared" si="0"/>
        <v>304.23884087673611</v>
      </c>
      <c r="S10" s="59">
        <f ca="1">AVERAGE(OFFSET($R$3,0,0,'Données projet'!$E$9+1,1))-AVERAGE(OFFSET($H$3,0,0,'Données projet'!$E$9+1,1))</f>
        <v>255.5374979188561</v>
      </c>
      <c r="T10" s="59">
        <f t="shared" si="34"/>
        <v>343.10418468620901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7.2264102564102561</v>
      </c>
      <c r="AI10" s="13">
        <f>IF('Données projet'!$A$62&gt;35,AI9+AH10-AQ9,IF(A10&lt;'Données projet'!$A$62,$AF$205^A10,IF(A10='Données projet'!$A$62,'Données projet'!$B$62,AI9+AH10-AQ9)))</f>
        <v>3.5081398877252363</v>
      </c>
      <c r="AJ10" s="13">
        <f>AI10*VLOOKUP('Données projet'!$B$10,Paramètres!$A$1:$I$89,3,0)*VLOOKUP('Données projet'!$B$10,Paramètres!$A$1:$I$89,5,0)</f>
        <v>1.6418094674554107</v>
      </c>
      <c r="AK10" s="13">
        <f t="shared" si="35"/>
        <v>0.71418586714920729</v>
      </c>
      <c r="AL10" s="20">
        <f t="shared" si="4"/>
        <v>4.1033585411030424</v>
      </c>
      <c r="AM10" s="59">
        <f t="shared" si="5"/>
        <v>297.43669187443635</v>
      </c>
      <c r="AN10" s="59">
        <f ca="1">AVERAGE(OFFSET($AM$3,0,0,'Données projet'!$E$10+1,1))-AVERAGE(OFFSET($H$3,0,0,'Données projet'!$E$10+1,1))</f>
        <v>158.58786357608489</v>
      </c>
      <c r="AO10" s="59">
        <f t="shared" si="36"/>
        <v>163.20074068819849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5.3</v>
      </c>
      <c r="BD10" s="12">
        <f>IF('Données projet'!$A$88&gt;35,BD9+BC10-BL9,IF(A10&lt;'Données projet'!$A$88,$BA$205^A10,IF(A10='Données projet'!$A$88,'Données projet'!$B$88,BD9+BC10-BL9)))</f>
        <v>5.1151344420515628</v>
      </c>
      <c r="BE10" s="13">
        <f>BD10*VLOOKUP('Données projet'!$B$11,Paramètres!$A$1:$I$89,3,0)*VLOOKUP('Données projet'!$B$11,Paramètres!$A$1:$I$89,5,0)</f>
        <v>3.0588503963468345</v>
      </c>
      <c r="BF10" s="13">
        <f t="shared" si="37"/>
        <v>1.2376314102540975</v>
      </c>
      <c r="BG10" s="20">
        <f t="shared" si="7"/>
        <v>7.4830391464966226</v>
      </c>
      <c r="BH10" s="59">
        <f t="shared" si="8"/>
        <v>300.81637247982997</v>
      </c>
      <c r="BI10" s="59">
        <f ca="1">AVERAGE(OFFSET($BH$3,0,0,'Données projet'!$E$11+1,1))-AVERAGE(OFFSET($H$3,0,0,'Données projet'!$E$11+1,1))</f>
        <v>316.58509520829671</v>
      </c>
      <c r="BJ10" s="59">
        <f t="shared" si="38"/>
        <v>240.71332110643596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1.1000000000000001</v>
      </c>
      <c r="BY10" s="12">
        <f>IF('Données projet'!$A$114&gt;35,BY9+BX10-CG9,IF(A10&lt;'Données projet'!$A$114,$BV$205^A10,IF(A10='Données projet'!$A$114,'Données projet'!$B$114,BY9+BX10-CG9)))</f>
        <v>5.3576566694841175</v>
      </c>
      <c r="BZ10" s="13">
        <f>BY10*VLOOKUP('Données projet'!$B$12,Paramètres!$A$1:$I$89,3,0)*VLOOKUP('Données projet'!$B$12,Paramètres!$A$1:$I$89,5,0)</f>
        <v>4.2625516462415645</v>
      </c>
      <c r="CA10" s="13">
        <f t="shared" si="39"/>
        <v>1.6593124478620722</v>
      </c>
      <c r="CB10" s="20">
        <f t="shared" si="10"/>
        <v>10.313913297230501</v>
      </c>
      <c r="CC10" s="59">
        <f t="shared" si="11"/>
        <v>303.64724663056381</v>
      </c>
      <c r="CD10" s="59">
        <f ca="1">AVERAGE(OFFSET($CC$3,0,0,'Données projet'!$E$12+1,1))-AVERAGE(OFFSET($H$3,0,0,'Données projet'!$E$12+1,1))</f>
        <v>260.20517190557814</v>
      </c>
      <c r="CE10" s="59">
        <f t="shared" si="40"/>
        <v>307.22009971147133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4.0628205128205126</v>
      </c>
      <c r="CT10" s="12">
        <f>IF('Données projet'!$A$140&gt;35,CT9+CS10-DB9,IF(A10&lt;'Données projet'!$A$140,$CQ$205^A10,IF(A10='Données projet'!$A$140,'Données projet'!$B$140,CT9+CS10-DB9)))</f>
        <v>3.067053897654088</v>
      </c>
      <c r="CU10" s="17">
        <f>CT10*VLOOKUP('Données projet'!$B$13,Paramètres!$A$1:$I$89,3,0)*VLOOKUP('Données projet'!$B$13,Paramètres!$A$1:$I$89,5,0)</f>
        <v>3.1099926522212455</v>
      </c>
      <c r="CV10" s="13">
        <f t="shared" si="41"/>
        <v>1.2558976215767859</v>
      </c>
      <c r="CW10" s="20">
        <f t="shared" si="13"/>
        <v>7.6039255601982383</v>
      </c>
      <c r="CX10" s="59">
        <f t="shared" si="14"/>
        <v>300.93725889353158</v>
      </c>
      <c r="CY10" s="59">
        <f ca="1">AVERAGE(OFFSET($CX$3,0,0,'Données projet'!$E$13+1,1))-AVERAGE(OFFSET($H$3,0,0,'Données projet'!$E$13+1,1))</f>
        <v>263.15518481854753</v>
      </c>
      <c r="CZ10" s="59">
        <f t="shared" si="42"/>
        <v>210.80755370263819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4.1500000000000004</v>
      </c>
      <c r="DO10" s="12">
        <f>IF('Données projet'!$A$166&gt;35,DO9+DN10-DW9,IF(A10&lt;'Données projet'!$A$166,$DL$205^A10,IF(A10='Données projet'!$A$166,'Données projet'!$B$166,DO9+DN10-DW9)))</f>
        <v>4.6954512115023794</v>
      </c>
      <c r="DP10" s="17">
        <f>DO10*VLOOKUP('Données projet'!$B$14,Paramètres!$A$1:$I$89,3,0)*VLOOKUP('Données projet'!$B$14,Paramètres!$A$1:$I$89,5,0)</f>
        <v>3.8089500227707305</v>
      </c>
      <c r="DQ10" s="13">
        <f t="shared" si="43"/>
        <v>1.502282489814575</v>
      </c>
      <c r="DR10" s="20">
        <f t="shared" si="16"/>
        <v>9.2503966260860722</v>
      </c>
      <c r="DS10" s="59">
        <f t="shared" si="17"/>
        <v>302.58372995941937</v>
      </c>
      <c r="DT10" s="59">
        <f ca="1">AVERAGE(OFFSET($DS$3,0,0,'Données projet'!$E$14+1,1))-AVERAGE(OFFSET($H$3,0,0,'Données projet'!$E$14+1,1))</f>
        <v>203.21935660591021</v>
      </c>
      <c r="DU10" s="59">
        <f t="shared" si="44"/>
        <v>180.54762778843178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1.1000000000000001</v>
      </c>
      <c r="EJ10" s="12">
        <f>IF('Données projet'!$A$192&gt;35,EJ9+EI10-ER9,IF(A10&lt;'Données projet'!$A$192,$EG$205^A10,IF(A10='Données projet'!$A$192,'Données projet'!$B$192,EJ9+EI10-ER9)))</f>
        <v>5.3576566694841175</v>
      </c>
      <c r="EK10" s="17">
        <f>EJ10*VLOOKUP('Données projet'!$B$15,Paramètres!$A$1:$I$89,3,0)*VLOOKUP('Données projet'!$B$15,Paramètres!$A$1:$I$89,5,0)</f>
        <v>3.5939160938899462</v>
      </c>
      <c r="EL10" s="13">
        <f t="shared" si="45"/>
        <v>1.4270917350619183</v>
      </c>
      <c r="EM10" s="20">
        <f t="shared" si="19"/>
        <v>8.7449219687578292</v>
      </c>
      <c r="EN10" s="59">
        <f t="shared" si="20"/>
        <v>302.07825530209112</v>
      </c>
      <c r="EO10" s="59">
        <f ca="1">AVERAGE(OFFSET($EN$3,0,0,'Données projet'!$E$15+1,1))-AVERAGE(OFFSET($H$3,0,0,'Données projet'!$E$15+1,1))</f>
        <v>207.93042467236967</v>
      </c>
      <c r="EP10" s="59">
        <f t="shared" si="46"/>
        <v>250.70954318710835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9.3968325791855207</v>
      </c>
      <c r="N11" s="13">
        <f>IF('Données projet'!$A$36&gt;35,N10+M11-V10,IF(A11&lt;'Données projet'!$A$36,$K$205^A11,IF(A11='Données projet'!$A$36,'Données projet'!$B$36,N10+M11-V10)))</f>
        <v>10.88700515391691</v>
      </c>
      <c r="O11" s="13">
        <f>N11*VLOOKUP('Données projet'!$B$9,Paramètres!$A$1:$I$89,3,0)*VLOOKUP('Données projet'!$B$9,Paramètres!$A$1:$I$89,5,0)</f>
        <v>6.0858358810395528</v>
      </c>
      <c r="P11" s="13">
        <f t="shared" si="33"/>
        <v>2.2728848076650809</v>
      </c>
      <c r="Q11" s="20">
        <f t="shared" si="2"/>
        <v>14.558105199493902</v>
      </c>
      <c r="R11" s="59">
        <f t="shared" si="0"/>
        <v>307.89143853282724</v>
      </c>
      <c r="S11" s="59">
        <f ca="1">AVERAGE(OFFSET($R$3,0,0,'Données projet'!$E$9+1,1))-AVERAGE(OFFSET($H$3,0,0,'Données projet'!$E$9+1,1))</f>
        <v>255.5374979188561</v>
      </c>
      <c r="T11" s="59">
        <f t="shared" si="34"/>
        <v>343.10418468620901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7.2264102564102561</v>
      </c>
      <c r="AI11" s="13">
        <f>IF('Données projet'!$A$62&gt;35,AI10+AH11-AQ10,IF(A11&lt;'Données projet'!$A$62,$AF$205^A11,IF(A11='Données projet'!$A$62,'Données projet'!$B$62,AI10+AH11-AQ10)))</f>
        <v>4.1970585866050225</v>
      </c>
      <c r="AJ11" s="13">
        <f>AI11*VLOOKUP('Données projet'!$B$10,Paramètres!$A$1:$I$89,3,0)*VLOOKUP('Données projet'!$B$10,Paramètres!$A$1:$I$89,5,0)</f>
        <v>1.9642234185311505</v>
      </c>
      <c r="AK11" s="13">
        <f t="shared" si="35"/>
        <v>0.83678816759654573</v>
      </c>
      <c r="AL11" s="20">
        <f t="shared" si="4"/>
        <v>4.8784285125057369</v>
      </c>
      <c r="AM11" s="59">
        <f t="shared" si="5"/>
        <v>298.21176184583908</v>
      </c>
      <c r="AN11" s="59">
        <f ca="1">AVERAGE(OFFSET($AM$3,0,0,'Données projet'!$E$10+1,1))-AVERAGE(OFFSET($H$3,0,0,'Données projet'!$E$10+1,1))</f>
        <v>158.58786357608489</v>
      </c>
      <c r="AO11" s="59">
        <f t="shared" si="36"/>
        <v>163.20074068819849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5.3</v>
      </c>
      <c r="BD11" s="12">
        <f>IF('Données projet'!$A$88&gt;35,BD10+BC11-BL10,IF(A11&lt;'Données projet'!$A$88,$BA$205^A11,IF(A11='Données projet'!$A$88,'Données projet'!$B$88,BD10+BC11-BL10)))</f>
        <v>6.4583614340776521</v>
      </c>
      <c r="BE11" s="13">
        <f>BD11*VLOOKUP('Données projet'!$B$11,Paramètres!$A$1:$I$89,3,0)*VLOOKUP('Données projet'!$B$11,Paramètres!$A$1:$I$89,5,0)</f>
        <v>3.8621001375784361</v>
      </c>
      <c r="BF11" s="13">
        <f t="shared" si="37"/>
        <v>1.520790307840248</v>
      </c>
      <c r="BG11" s="20">
        <f t="shared" si="7"/>
        <v>9.375200859104206</v>
      </c>
      <c r="BH11" s="59">
        <f t="shared" si="8"/>
        <v>302.70853419243753</v>
      </c>
      <c r="BI11" s="59">
        <f ca="1">AVERAGE(OFFSET($BH$3,0,0,'Données projet'!$E$11+1,1))-AVERAGE(OFFSET($H$3,0,0,'Données projet'!$E$11+1,1))</f>
        <v>316.58509520829671</v>
      </c>
      <c r="BJ11" s="59">
        <f t="shared" si="38"/>
        <v>240.71332110643596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1.1000000000000001</v>
      </c>
      <c r="BY11" s="12">
        <f>IF('Données projet'!$A$114&gt;35,BY10+BX11-CG10,IF(A11&lt;'Données projet'!$A$114,$BV$205^A11,IF(A11='Données projet'!$A$114,'Données projet'!$B$114,BY10+BX11-CG10)))</f>
        <v>6.8094831275223076</v>
      </c>
      <c r="BZ11" s="13">
        <f>BY11*VLOOKUP('Données projet'!$B$12,Paramètres!$A$1:$I$89,3,0)*VLOOKUP('Données projet'!$B$12,Paramètres!$A$1:$I$89,5,0)</f>
        <v>5.4176247762567487</v>
      </c>
      <c r="CA11" s="13">
        <f t="shared" si="39"/>
        <v>2.0509054013412618</v>
      </c>
      <c r="CB11" s="20">
        <f t="shared" si="10"/>
        <v>13.007690059316532</v>
      </c>
      <c r="CC11" s="59">
        <f t="shared" si="11"/>
        <v>306.34102339264984</v>
      </c>
      <c r="CD11" s="59">
        <f ca="1">AVERAGE(OFFSET($CC$3,0,0,'Données projet'!$E$12+1,1))-AVERAGE(OFFSET($H$3,0,0,'Données projet'!$E$12+1,1))</f>
        <v>260.20517190557814</v>
      </c>
      <c r="CE11" s="59">
        <f t="shared" si="40"/>
        <v>307.22009971147133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4.0628205128205126</v>
      </c>
      <c r="CT11" s="12">
        <f>IF('Données projet'!$A$140&gt;35,CT10+CS11-DB10,IF(A11&lt;'Données projet'!$A$140,$CQ$205^A11,IF(A11='Données projet'!$A$140,'Données projet'!$B$140,CT10+CS11-DB10)))</f>
        <v>3.5995900084872572</v>
      </c>
      <c r="CU11" s="17">
        <f>CT11*VLOOKUP('Données projet'!$B$13,Paramètres!$A$1:$I$89,3,0)*VLOOKUP('Données projet'!$B$13,Paramètres!$A$1:$I$89,5,0)</f>
        <v>3.6499842686060791</v>
      </c>
      <c r="CV11" s="13">
        <f t="shared" si="41"/>
        <v>1.4467463187725633</v>
      </c>
      <c r="CW11" s="20">
        <f t="shared" si="13"/>
        <v>8.8768057730178018</v>
      </c>
      <c r="CX11" s="59">
        <f t="shared" si="14"/>
        <v>302.21013910635111</v>
      </c>
      <c r="CY11" s="59">
        <f ca="1">AVERAGE(OFFSET($CX$3,0,0,'Données projet'!$E$13+1,1))-AVERAGE(OFFSET($H$3,0,0,'Données projet'!$E$13+1,1))</f>
        <v>263.15518481854753</v>
      </c>
      <c r="CZ11" s="59">
        <f t="shared" si="42"/>
        <v>210.80755370263819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4.1500000000000004</v>
      </c>
      <c r="DO11" s="12">
        <f>IF('Données projet'!$A$166&gt;35,DO10+DN11-DW10,IF(A11&lt;'Données projet'!$A$166,$DL$205^A11,IF(A11='Données projet'!$A$166,'Données projet'!$B$166,DO10+DN11-DW10)))</f>
        <v>5.8564068097172397</v>
      </c>
      <c r="DP11" s="17">
        <f>DO11*VLOOKUP('Données projet'!$B$14,Paramètres!$A$1:$I$89,3,0)*VLOOKUP('Données projet'!$B$14,Paramètres!$A$1:$I$89,5,0)</f>
        <v>4.7507172040426253</v>
      </c>
      <c r="DQ11" s="13">
        <f t="shared" si="43"/>
        <v>1.8261501167236873</v>
      </c>
      <c r="DR11" s="20">
        <f t="shared" si="16"/>
        <v>11.454710583667994</v>
      </c>
      <c r="DS11" s="59">
        <f t="shared" si="17"/>
        <v>304.78804391700129</v>
      </c>
      <c r="DT11" s="59">
        <f ca="1">AVERAGE(OFFSET($DS$3,0,0,'Données projet'!$E$14+1,1))-AVERAGE(OFFSET($H$3,0,0,'Données projet'!$E$14+1,1))</f>
        <v>203.21935660591021</v>
      </c>
      <c r="DU11" s="59">
        <f t="shared" si="44"/>
        <v>180.54762778843178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1.1000000000000001</v>
      </c>
      <c r="EJ11" s="12">
        <f>IF('Données projet'!$A$192&gt;35,EJ10+EI11-ER10,IF(A11&lt;'Données projet'!$A$192,$EG$205^A11,IF(A11='Données projet'!$A$192,'Données projet'!$B$192,EJ10+EI11-ER10)))</f>
        <v>6.8094831275223076</v>
      </c>
      <c r="EK11" s="17">
        <f>EJ11*VLOOKUP('Données projet'!$B$15,Paramètres!$A$1:$I$89,3,0)*VLOOKUP('Données projet'!$B$15,Paramètres!$A$1:$I$89,5,0)</f>
        <v>4.5678012819419642</v>
      </c>
      <c r="EL11" s="13">
        <f t="shared" si="45"/>
        <v>1.7638812698711521</v>
      </c>
      <c r="EM11" s="20">
        <f t="shared" si="19"/>
        <v>11.027680444407844</v>
      </c>
      <c r="EN11" s="59">
        <f t="shared" si="20"/>
        <v>304.36101377774116</v>
      </c>
      <c r="EO11" s="59">
        <f ca="1">AVERAGE(OFFSET($EN$3,0,0,'Données projet'!$E$15+1,1))-AVERAGE(OFFSET($H$3,0,0,'Données projet'!$E$15+1,1))</f>
        <v>207.93042467236967</v>
      </c>
      <c r="EP11" s="59">
        <f t="shared" si="46"/>
        <v>250.70954318710835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9.3968325791855207</v>
      </c>
      <c r="N12" s="13">
        <f>IF('Données projet'!$A$36&gt;35,N11+M12-V11,IF(A12&lt;'Données projet'!$A$36,$K$205^A12,IF(A12='Données projet'!$A$36,'Données projet'!$B$36,N11+M12-V11)))</f>
        <v>14.673103538366622</v>
      </c>
      <c r="O12" s="13">
        <f>N12*VLOOKUP('Données projet'!$B$9,Paramètres!$A$1:$I$89,3,0)*VLOOKUP('Données projet'!$B$9,Paramètres!$A$1:$I$89,5,0)</f>
        <v>8.2022648779469414</v>
      </c>
      <c r="P12" s="13">
        <f t="shared" si="33"/>
        <v>2.9587206421790828</v>
      </c>
      <c r="Q12" s="20">
        <f t="shared" si="2"/>
        <v>19.438716447552824</v>
      </c>
      <c r="R12" s="59">
        <f t="shared" si="0"/>
        <v>312.77204978088616</v>
      </c>
      <c r="S12" s="59">
        <f ca="1">AVERAGE(OFFSET($R$3,0,0,'Données projet'!$E$9+1,1))-AVERAGE(OFFSET($H$3,0,0,'Données projet'!$E$9+1,1))</f>
        <v>255.5374979188561</v>
      </c>
      <c r="T12" s="59">
        <f t="shared" si="34"/>
        <v>343.10418468620901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7.2264102564102561</v>
      </c>
      <c r="AI12" s="13">
        <f>IF('Données projet'!$A$62&gt;35,AI11+AH12-AQ11,IF(A12&lt;'Données projet'!$A$62,$AF$205^A12,IF(A12='Données projet'!$A$62,'Données projet'!$B$62,AI11+AH12-AQ11)))</f>
        <v>5.0212652126643498</v>
      </c>
      <c r="AJ12" s="13">
        <f>AI12*VLOOKUP('Données projet'!$B$10,Paramètres!$A$1:$I$89,3,0)*VLOOKUP('Données projet'!$B$10,Paramètres!$A$1:$I$89,5,0)</f>
        <v>2.349952119526916</v>
      </c>
      <c r="AK12" s="13">
        <f t="shared" si="35"/>
        <v>0.98043726379605944</v>
      </c>
      <c r="AL12" s="20">
        <f t="shared" si="4"/>
        <v>5.8004281759541811</v>
      </c>
      <c r="AM12" s="59">
        <f t="shared" si="5"/>
        <v>299.13376150928752</v>
      </c>
      <c r="AN12" s="59">
        <f ca="1">AVERAGE(OFFSET($AM$3,0,0,'Données projet'!$E$10+1,1))-AVERAGE(OFFSET($H$3,0,0,'Données projet'!$E$10+1,1))</f>
        <v>158.58786357608489</v>
      </c>
      <c r="AO12" s="59">
        <f t="shared" si="36"/>
        <v>163.20074068819849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5.3</v>
      </c>
      <c r="BD12" s="12">
        <f>IF('Données projet'!$A$88&gt;35,BD11+BC12-BL11,IF(A12&lt;'Données projet'!$A$88,$BA$205^A12,IF(A12='Données projet'!$A$88,'Données projet'!$B$88,BD11+BC12-BL11)))</f>
        <v>8.1543179139691304</v>
      </c>
      <c r="BE12" s="13">
        <f>BD12*VLOOKUP('Données projet'!$B$11,Paramètres!$A$1:$I$89,3,0)*VLOOKUP('Données projet'!$B$11,Paramètres!$A$1:$I$89,5,0)</f>
        <v>4.8762821125535405</v>
      </c>
      <c r="BF12" s="13">
        <f t="shared" si="37"/>
        <v>1.8687334058094056</v>
      </c>
      <c r="BG12" s="20">
        <f t="shared" si="7"/>
        <v>11.747568694482132</v>
      </c>
      <c r="BH12" s="59">
        <f t="shared" si="8"/>
        <v>305.08090202781545</v>
      </c>
      <c r="BI12" s="59">
        <f ca="1">AVERAGE(OFFSET($BH$3,0,0,'Données projet'!$E$11+1,1))-AVERAGE(OFFSET($H$3,0,0,'Données projet'!$E$11+1,1))</f>
        <v>316.58509520829671</v>
      </c>
      <c r="BJ12" s="59">
        <f t="shared" si="38"/>
        <v>240.71332110643596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1.1000000000000001</v>
      </c>
      <c r="BY12" s="12">
        <f>IF('Données projet'!$A$114&gt;35,BY11+BX12-CG11,IF(A12&lt;'Données projet'!$A$114,$BV$205^A12,IF(A12='Données projet'!$A$114,'Données projet'!$B$114,BY11+BX12-CG11)))</f>
        <v>8.6547278641645029</v>
      </c>
      <c r="BZ12" s="13">
        <f>BY12*VLOOKUP('Données projet'!$B$12,Paramètres!$A$1:$I$89,3,0)*VLOOKUP('Données projet'!$B$12,Paramètres!$A$1:$I$89,5,0)</f>
        <v>6.8857014887292793</v>
      </c>
      <c r="CA12" s="13">
        <f t="shared" si="39"/>
        <v>2.5349131627802968</v>
      </c>
      <c r="CB12" s="20">
        <f t="shared" si="10"/>
        <v>16.407570518045844</v>
      </c>
      <c r="CC12" s="59">
        <f t="shared" si="11"/>
        <v>309.74090385137913</v>
      </c>
      <c r="CD12" s="59">
        <f ca="1">AVERAGE(OFFSET($CC$3,0,0,'Données projet'!$E$12+1,1))-AVERAGE(OFFSET($H$3,0,0,'Données projet'!$E$12+1,1))</f>
        <v>260.20517190557814</v>
      </c>
      <c r="CE12" s="59">
        <f t="shared" si="40"/>
        <v>307.22009971147133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4.0628205128205126</v>
      </c>
      <c r="CT12" s="12">
        <f>IF('Données projet'!$A$140&gt;35,CT11+CS12-DB11,IF(A12&lt;'Données projet'!$A$140,$CQ$205^A12,IF(A12='Données projet'!$A$140,'Données projet'!$B$140,CT11+CS12-DB11)))</f>
        <v>4.2245909793472531</v>
      </c>
      <c r="CU12" s="17">
        <f>CT12*VLOOKUP('Données projet'!$B$13,Paramètres!$A$1:$I$89,3,0)*VLOOKUP('Données projet'!$B$13,Paramètres!$A$1:$I$89,5,0)</f>
        <v>4.283735253058115</v>
      </c>
      <c r="CV12" s="13">
        <f t="shared" si="41"/>
        <v>1.6665967630817691</v>
      </c>
      <c r="CW12" s="20">
        <f t="shared" si="13"/>
        <v>10.363494928110297</v>
      </c>
      <c r="CX12" s="59">
        <f t="shared" si="14"/>
        <v>303.69682826144361</v>
      </c>
      <c r="CY12" s="59">
        <f ca="1">AVERAGE(OFFSET($CX$3,0,0,'Données projet'!$E$13+1,1))-AVERAGE(OFFSET($H$3,0,0,'Données projet'!$E$13+1,1))</f>
        <v>263.15518481854753</v>
      </c>
      <c r="CZ12" s="59">
        <f t="shared" si="42"/>
        <v>210.80755370263819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4.1500000000000004</v>
      </c>
      <c r="DO12" s="12">
        <f>IF('Données projet'!$A$166&gt;35,DO11+DN12-DW11,IF(A12&lt;'Données projet'!$A$166,$DL$205^A12,IF(A12='Données projet'!$A$166,'Données projet'!$B$166,DO11+DN12-DW11)))</f>
        <v>7.3044099866024288</v>
      </c>
      <c r="DP12" s="17">
        <f>DO12*VLOOKUP('Données projet'!$B$14,Paramètres!$A$1:$I$89,3,0)*VLOOKUP('Données projet'!$B$14,Paramètres!$A$1:$I$89,5,0)</f>
        <v>5.9253373811318912</v>
      </c>
      <c r="DQ12" s="13">
        <f t="shared" si="43"/>
        <v>2.2198383269590991</v>
      </c>
      <c r="DR12" s="20">
        <f t="shared" si="16"/>
        <v>14.186181024925141</v>
      </c>
      <c r="DS12" s="59">
        <f t="shared" si="17"/>
        <v>307.51951435825845</v>
      </c>
      <c r="DT12" s="59">
        <f ca="1">AVERAGE(OFFSET($DS$3,0,0,'Données projet'!$E$14+1,1))-AVERAGE(OFFSET($H$3,0,0,'Données projet'!$E$14+1,1))</f>
        <v>203.21935660591021</v>
      </c>
      <c r="DU12" s="59">
        <f t="shared" si="44"/>
        <v>180.54762778843178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1.1000000000000001</v>
      </c>
      <c r="EJ12" s="12">
        <f>IF('Données projet'!$A$192&gt;35,EJ11+EI12-ER11,IF(A12&lt;'Données projet'!$A$192,$EG$205^A12,IF(A12='Données projet'!$A$192,'Données projet'!$B$192,EJ11+EI12-ER11)))</f>
        <v>8.6547278641645029</v>
      </c>
      <c r="EK12" s="17">
        <f>EJ12*VLOOKUP('Données projet'!$B$15,Paramètres!$A$1:$I$89,3,0)*VLOOKUP('Données projet'!$B$15,Paramètres!$A$1:$I$89,5,0)</f>
        <v>5.8055914512815487</v>
      </c>
      <c r="EL12" s="13">
        <f t="shared" si="45"/>
        <v>2.1801521638461985</v>
      </c>
      <c r="EM12" s="20">
        <f t="shared" si="19"/>
        <v>13.908503463014158</v>
      </c>
      <c r="EN12" s="59">
        <f t="shared" si="20"/>
        <v>307.24183679634746</v>
      </c>
      <c r="EO12" s="59">
        <f ca="1">AVERAGE(OFFSET($EN$3,0,0,'Données projet'!$E$15+1,1))-AVERAGE(OFFSET($H$3,0,0,'Données projet'!$E$15+1,1))</f>
        <v>207.93042467236967</v>
      </c>
      <c r="EP12" s="59">
        <f t="shared" si="46"/>
        <v>250.70954318710835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9.3968325791855207</v>
      </c>
      <c r="N13" s="13">
        <f>IF('Données projet'!$A$36&gt;35,N12+M13-V12,IF(A13&lt;'Données projet'!$A$36,$K$205^A13,IF(A13='Données projet'!$A$36,'Données projet'!$B$36,N12+M13-V12)))</f>
        <v>19.775867137361168</v>
      </c>
      <c r="O13" s="13">
        <f>N13*VLOOKUP('Données projet'!$B$9,Paramètres!$A$1:$I$89,3,0)*VLOOKUP('Données projet'!$B$9,Paramètres!$A$1:$I$89,5,0)</f>
        <v>11.054709729784893</v>
      </c>
      <c r="P13" s="13">
        <f t="shared" si="33"/>
        <v>3.851505280397189</v>
      </c>
      <c r="Q13" s="20">
        <f t="shared" si="2"/>
        <v>25.96165780940046</v>
      </c>
      <c r="R13" s="59">
        <f t="shared" si="0"/>
        <v>319.29499114273375</v>
      </c>
      <c r="S13" s="59">
        <f ca="1">AVERAGE(OFFSET($R$3,0,0,'Données projet'!$E$9+1,1))-AVERAGE(OFFSET($H$3,0,0,'Données projet'!$E$9+1,1))</f>
        <v>255.5374979188561</v>
      </c>
      <c r="T13" s="59">
        <f t="shared" si="34"/>
        <v>343.10418468620901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7.2264102564102561</v>
      </c>
      <c r="AI13" s="13">
        <f>IF('Données projet'!$A$62&gt;35,AI12+AH13-AQ12,IF(A13&lt;'Données projet'!$A$62,$AF$205^A13,IF(A13='Données projet'!$A$62,'Données projet'!$B$62,AI12+AH13-AQ12)))</f>
        <v>6.0073272306422343</v>
      </c>
      <c r="AJ13" s="13">
        <f>AI13*VLOOKUP('Données projet'!$B$10,Paramètres!$A$1:$I$89,3,0)*VLOOKUP('Données projet'!$B$10,Paramètres!$A$1:$I$89,5,0)</f>
        <v>2.8114291439405656</v>
      </c>
      <c r="AK13" s="13">
        <f t="shared" si="35"/>
        <v>1.1487462006075717</v>
      </c>
      <c r="AL13" s="20">
        <f t="shared" si="4"/>
        <v>6.8973053917546716</v>
      </c>
      <c r="AM13" s="59">
        <f t="shared" si="5"/>
        <v>300.230638725088</v>
      </c>
      <c r="AN13" s="59">
        <f ca="1">AVERAGE(OFFSET($AM$3,0,0,'Données projet'!$E$10+1,1))-AVERAGE(OFFSET($H$3,0,0,'Données projet'!$E$10+1,1))</f>
        <v>158.58786357608489</v>
      </c>
      <c r="AO13" s="59">
        <f t="shared" si="36"/>
        <v>163.20074068819849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5.3</v>
      </c>
      <c r="BD13" s="12">
        <f>IF('Données projet'!$A$88&gt;35,BD12+BC13-BL12,IF(A13&lt;'Données projet'!$A$88,$BA$205^A13,IF(A13='Données projet'!$A$88,'Données projet'!$B$88,BD12+BC13-BL12)))</f>
        <v>10.295630140986994</v>
      </c>
      <c r="BE13" s="13">
        <f>BD13*VLOOKUP('Données projet'!$B$11,Paramètres!$A$1:$I$89,3,0)*VLOOKUP('Données projet'!$B$11,Paramètres!$A$1:$I$89,5,0)</f>
        <v>6.1567868243102231</v>
      </c>
      <c r="BF13" s="13">
        <f t="shared" si="37"/>
        <v>2.2962827445602421</v>
      </c>
      <c r="BG13" s="20">
        <f t="shared" si="7"/>
        <v>14.722429499116059</v>
      </c>
      <c r="BH13" s="59">
        <f t="shared" si="8"/>
        <v>308.05576283244937</v>
      </c>
      <c r="BI13" s="59">
        <f ca="1">AVERAGE(OFFSET($BH$3,0,0,'Données projet'!$E$11+1,1))-AVERAGE(OFFSET($H$3,0,0,'Données projet'!$E$11+1,1))</f>
        <v>316.58509520829671</v>
      </c>
      <c r="BJ13" s="59">
        <f t="shared" si="38"/>
        <v>240.71332110643596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>
        <f>VLOOKUP(A13,'Données projet'!$A$113:$I$133,2,0)</f>
        <v>11</v>
      </c>
      <c r="BW13" s="12">
        <f>VLOOKUP(A13,'Données projet'!$A$113:$I$133,9,0)</f>
        <v>1.1000000000000001</v>
      </c>
      <c r="BX13" s="12">
        <f t="array" ref="BX13">INDEX(BW:BW,MIN(IF(ISNUMBER(BW13:BW209),ROW(BW13:BW209),"")))</f>
        <v>1.1000000000000001</v>
      </c>
      <c r="BY13" s="12">
        <f>IF('Données projet'!$A$114&gt;35,BY12+BX13-CG12,IF(A13&lt;'Données projet'!$A$114,$BV$205^A13,IF(A13='Données projet'!$A$114,'Données projet'!$B$114,BY12+BX13-CG12)))</f>
        <v>11</v>
      </c>
      <c r="BZ13" s="13">
        <f>BY13*VLOOKUP('Données projet'!$B$12,Paramètres!$A$1:$I$89,3,0)*VLOOKUP('Données projet'!$B$12,Paramètres!$A$1:$I$89,5,0)</f>
        <v>8.7516000000000016</v>
      </c>
      <c r="CA13" s="13">
        <f t="shared" si="39"/>
        <v>3.1331453604025001</v>
      </c>
      <c r="CB13" s="20">
        <f t="shared" si="10"/>
        <v>20.699264836034356</v>
      </c>
      <c r="CC13" s="59">
        <f t="shared" si="11"/>
        <v>314.03259816936765</v>
      </c>
      <c r="CD13" s="59">
        <f ca="1">AVERAGE(OFFSET($CC$3,0,0,'Données projet'!$E$12+1,1))-AVERAGE(OFFSET($H$3,0,0,'Données projet'!$E$12+1,1))</f>
        <v>260.20517190557814</v>
      </c>
      <c r="CE13" s="59">
        <f t="shared" si="40"/>
        <v>307.22009971147133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0.13250000000000001</v>
      </c>
      <c r="CJ13" s="16">
        <f>IF(ISNA(VLOOKUP(A13,'Données projet'!$A$113:$I$133,7,0)),0%,VLOOKUP(A13,'Données projet'!$A$113:$I$133,7,0))</f>
        <v>0.25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4.0628205128205126</v>
      </c>
      <c r="CT13" s="12">
        <f>IF('Données projet'!$A$140&gt;35,CT12+CS13-DB12,IF(A13&lt;'Données projet'!$A$140,$CQ$205^A13,IF(A13='Données projet'!$A$140,'Données projet'!$B$140,CT12+CS13-DB12)))</f>
        <v>4.9581115906815549</v>
      </c>
      <c r="CU13" s="17">
        <f>CT13*VLOOKUP('Données projet'!$B$13,Paramètres!$A$1:$I$89,3,0)*VLOOKUP('Données projet'!$B$13,Paramètres!$A$1:$I$89,5,0)</f>
        <v>5.0275251529510969</v>
      </c>
      <c r="CV13" s="13">
        <f t="shared" si="41"/>
        <v>1.9198561176026576</v>
      </c>
      <c r="CW13" s="20">
        <f t="shared" si="13"/>
        <v>12.10002237954779</v>
      </c>
      <c r="CX13" s="59">
        <f t="shared" si="14"/>
        <v>305.43335571288111</v>
      </c>
      <c r="CY13" s="59">
        <f ca="1">AVERAGE(OFFSET($CX$3,0,0,'Données projet'!$E$13+1,1))-AVERAGE(OFFSET($H$3,0,0,'Données projet'!$E$13+1,1))</f>
        <v>263.15518481854753</v>
      </c>
      <c r="CZ13" s="59">
        <f t="shared" si="42"/>
        <v>210.80755370263819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4.1500000000000004</v>
      </c>
      <c r="DO13" s="12">
        <f>IF('Données projet'!$A$166&gt;35,DO12+DN13-DW12,IF(A13&lt;'Données projet'!$A$166,$DL$205^A13,IF(A13='Données projet'!$A$166,'Données projet'!$B$166,DO12+DN13-DW12)))</f>
        <v>9.1104335791443027</v>
      </c>
      <c r="DP13" s="17">
        <f>DO13*VLOOKUP('Données projet'!$B$14,Paramètres!$A$1:$I$89,3,0)*VLOOKUP('Données projet'!$B$14,Paramètres!$A$1:$I$89,5,0)</f>
        <v>7.3903837194018589</v>
      </c>
      <c r="DQ13" s="13">
        <f t="shared" si="43"/>
        <v>2.6983993006431319</v>
      </c>
      <c r="DR13" s="20">
        <f t="shared" si="16"/>
        <v>17.571297093245025</v>
      </c>
      <c r="DS13" s="59">
        <f t="shared" si="17"/>
        <v>310.90463042657836</v>
      </c>
      <c r="DT13" s="59">
        <f ca="1">AVERAGE(OFFSET($DS$3,0,0,'Données projet'!$E$14+1,1))-AVERAGE(OFFSET($H$3,0,0,'Données projet'!$E$14+1,1))</f>
        <v>203.21935660591021</v>
      </c>
      <c r="DU13" s="59">
        <f t="shared" si="44"/>
        <v>180.54762778843178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>
        <f>VLOOKUP(A13,'Données projet'!$A$191:$I$211,2,0)</f>
        <v>11</v>
      </c>
      <c r="EH13" s="12">
        <f>VLOOKUP(A13,'Données projet'!$A$191:$I$211,9,0)</f>
        <v>1.1000000000000001</v>
      </c>
      <c r="EI13" s="12">
        <f t="array" ref="EI13">INDEX(EH:EH,MIN(IF(ISNUMBER(EH13:EH209),ROW(EH13:EH209),"")))</f>
        <v>1.1000000000000001</v>
      </c>
      <c r="EJ13" s="12">
        <f>IF('Données projet'!$A$192&gt;35,EJ12+EI13-ER12,IF(A13&lt;'Données projet'!$A$192,$EG$205^A13,IF(A13='Données projet'!$A$192,'Données projet'!$B$192,EJ12+EI13-ER12)))</f>
        <v>11</v>
      </c>
      <c r="EK13" s="17">
        <f>EJ13*VLOOKUP('Données projet'!$B$15,Paramètres!$A$1:$I$89,3,0)*VLOOKUP('Données projet'!$B$15,Paramètres!$A$1:$I$89,5,0)</f>
        <v>7.3787999999999991</v>
      </c>
      <c r="EL13" s="13">
        <f t="shared" si="45"/>
        <v>2.6946617885853841</v>
      </c>
      <c r="EM13" s="20">
        <f t="shared" si="19"/>
        <v>17.544612615119544</v>
      </c>
      <c r="EN13" s="59">
        <f t="shared" si="20"/>
        <v>310.87794594845286</v>
      </c>
      <c r="EO13" s="59">
        <f ca="1">AVERAGE(OFFSET($EN$3,0,0,'Données projet'!$E$15+1,1))-AVERAGE(OFFSET($H$3,0,0,'Données projet'!$E$15+1,1))</f>
        <v>207.93042467236967</v>
      </c>
      <c r="EP13" s="59">
        <f t="shared" si="46"/>
        <v>250.70954318710835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0.13250000000000001</v>
      </c>
      <c r="EU13" s="16">
        <f>IF(ISNA(VLOOKUP(A13,'Données projet'!$A$191:$I$211,7,0)),0%,VLOOKUP(A13,'Données projet'!$A$191:$I$211,7,0))</f>
        <v>0.25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9.3968325791855207</v>
      </c>
      <c r="N14" s="13">
        <f>IF('Données projet'!$A$36&gt;35,N13+M14-V13,IF(A14&lt;'Données projet'!$A$36,$K$205^A14,IF(A14='Données projet'!$A$36,'Données projet'!$B$36,N13+M14-V13)))</f>
        <v>26.653183494001031</v>
      </c>
      <c r="O14" s="13">
        <f>N14*VLOOKUP('Données projet'!$B$9,Paramètres!$A$1:$I$89,3,0)*VLOOKUP('Données projet'!$B$9,Paramètres!$A$1:$I$89,5,0)</f>
        <v>14.899129573146578</v>
      </c>
      <c r="P14" s="13">
        <f t="shared" si="33"/>
        <v>5.013684872256877</v>
      </c>
      <c r="Q14" s="20">
        <f t="shared" si="2"/>
        <v>34.681485159077681</v>
      </c>
      <c r="R14" s="59">
        <f t="shared" si="0"/>
        <v>328.014818492411</v>
      </c>
      <c r="S14" s="59">
        <f ca="1">AVERAGE(OFFSET($R$3,0,0,'Données projet'!$E$9+1,1))-AVERAGE(OFFSET($H$3,0,0,'Données projet'!$E$9+1,1))</f>
        <v>255.5374979188561</v>
      </c>
      <c r="T14" s="59">
        <f t="shared" si="34"/>
        <v>343.10418468620901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7.2264102564102561</v>
      </c>
      <c r="AI14" s="13">
        <f>IF('Données projet'!$A$62&gt;35,AI13+AH14-AQ13,IF(A14&lt;'Données projet'!$A$62,$AF$205^A14,IF(A14='Données projet'!$A$62,'Données projet'!$B$62,AI13+AH14-AQ13)))</f>
        <v>7.1870293496939057</v>
      </c>
      <c r="AJ14" s="13">
        <f>AI14*VLOOKUP('Données projet'!$B$10,Paramètres!$A$1:$I$89,3,0)*VLOOKUP('Données projet'!$B$10,Paramètres!$A$1:$I$89,5,0)</f>
        <v>3.3635297356567477</v>
      </c>
      <c r="AK14" s="13">
        <f t="shared" si="35"/>
        <v>1.3459482642479659</v>
      </c>
      <c r="AL14" s="20">
        <f t="shared" si="4"/>
        <v>8.2023408498340427</v>
      </c>
      <c r="AM14" s="59">
        <f t="shared" si="5"/>
        <v>301.53567418316737</v>
      </c>
      <c r="AN14" s="59">
        <f ca="1">AVERAGE(OFFSET($AM$3,0,0,'Données projet'!$E$10+1,1))-AVERAGE(OFFSET($H$3,0,0,'Données projet'!$E$10+1,1))</f>
        <v>158.58786357608489</v>
      </c>
      <c r="AO14" s="59">
        <f t="shared" si="36"/>
        <v>163.20074068819849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5.3</v>
      </c>
      <c r="BD14" s="12">
        <f>IF('Données projet'!$A$88&gt;35,BD13+BC14-BL13,IF(A14&lt;'Données projet'!$A$88,$BA$205^A14,IF(A14='Données projet'!$A$88,'Données projet'!$B$88,BD13+BC14-BL13)))</f>
        <v>12.999247897658208</v>
      </c>
      <c r="BE14" s="13">
        <f>BD14*VLOOKUP('Données projet'!$B$11,Paramètres!$A$1:$I$89,3,0)*VLOOKUP('Données projet'!$B$11,Paramètres!$A$1:$I$89,5,0)</f>
        <v>7.7735502427996082</v>
      </c>
      <c r="BF14" s="13">
        <f t="shared" si="37"/>
        <v>2.8216515135722404</v>
      </c>
      <c r="BG14" s="20">
        <f t="shared" si="7"/>
        <v>18.453309725680967</v>
      </c>
      <c r="BH14" s="59">
        <f t="shared" si="8"/>
        <v>311.7866430590143</v>
      </c>
      <c r="BI14" s="59">
        <f ca="1">AVERAGE(OFFSET($BH$3,0,0,'Données projet'!$E$11+1,1))-AVERAGE(OFFSET($H$3,0,0,'Données projet'!$E$11+1,1))</f>
        <v>316.58509520829671</v>
      </c>
      <c r="BJ14" s="59">
        <f t="shared" si="38"/>
        <v>240.71332110643596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12.3</v>
      </c>
      <c r="BY14" s="12">
        <f>IF('Données projet'!$A$114&gt;35,BY13+BX14-CG13,IF(A14&lt;'Données projet'!$A$114,$BV$205^A14,IF(A14='Données projet'!$A$114,'Données projet'!$B$114,BY13+BX14-CG13)))</f>
        <v>23.3</v>
      </c>
      <c r="BZ14" s="13">
        <f>BY14*VLOOKUP('Données projet'!$B$12,Paramètres!$A$1:$I$89,3,0)*VLOOKUP('Données projet'!$B$12,Paramètres!$A$1:$I$89,5,0)</f>
        <v>18.537480000000002</v>
      </c>
      <c r="CA14" s="13">
        <f t="shared" si="39"/>
        <v>6.0813732490407499</v>
      </c>
      <c r="CB14" s="20">
        <f t="shared" si="10"/>
        <v>42.877836075412638</v>
      </c>
      <c r="CC14" s="59">
        <f t="shared" si="11"/>
        <v>336.21116940874595</v>
      </c>
      <c r="CD14" s="59">
        <f ca="1">AVERAGE(OFFSET($CC$3,0,0,'Données projet'!$E$12+1,1))-AVERAGE(OFFSET($H$3,0,0,'Données projet'!$E$12+1,1))</f>
        <v>260.20517190557814</v>
      </c>
      <c r="CE14" s="59">
        <f t="shared" si="40"/>
        <v>307.22009971147133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4.0628205128205126</v>
      </c>
      <c r="CT14" s="12">
        <f>IF('Données projet'!$A$140&gt;35,CT13+CS14-DB13,IF(A14&lt;'Données projet'!$A$140,$CQ$205^A14,IF(A14='Données projet'!$A$140,'Données projet'!$B$140,CT13+CS14-DB13)))</f>
        <v>5.8189942330107201</v>
      </c>
      <c r="CU14" s="17">
        <f>CT14*VLOOKUP('Données projet'!$B$13,Paramètres!$A$1:$I$89,3,0)*VLOOKUP('Données projet'!$B$13,Paramètres!$A$1:$I$89,5,0)</f>
        <v>5.9004601522728706</v>
      </c>
      <c r="CV14" s="13">
        <f t="shared" si="41"/>
        <v>2.2116012666919538</v>
      </c>
      <c r="CW14" s="20">
        <f t="shared" si="13"/>
        <v>14.128506971363736</v>
      </c>
      <c r="CX14" s="59">
        <f t="shared" si="14"/>
        <v>307.46184030469703</v>
      </c>
      <c r="CY14" s="59">
        <f ca="1">AVERAGE(OFFSET($CX$3,0,0,'Données projet'!$E$13+1,1))-AVERAGE(OFFSET($H$3,0,0,'Données projet'!$E$13+1,1))</f>
        <v>263.15518481854753</v>
      </c>
      <c r="CZ14" s="59">
        <f t="shared" si="42"/>
        <v>210.80755370263819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4.1500000000000004</v>
      </c>
      <c r="DO14" s="12">
        <f>IF('Données projet'!$A$166&gt;35,DO13+DN14-DW13,IF(A14&lt;'Données projet'!$A$166,$DL$205^A14,IF(A14='Données projet'!$A$166,'Données projet'!$B$166,DO13+DN14-DW13)))</f>
        <v>11.362998538175793</v>
      </c>
      <c r="DP14" s="17">
        <f>DO14*VLOOKUP('Données projet'!$B$14,Paramètres!$A$1:$I$89,3,0)*VLOOKUP('Données projet'!$B$14,Paramètres!$A$1:$I$89,5,0)</f>
        <v>9.2176644141682029</v>
      </c>
      <c r="DQ14" s="13">
        <f t="shared" si="43"/>
        <v>3.2801302226752225</v>
      </c>
      <c r="DR14" s="20">
        <f t="shared" si="16"/>
        <v>21.766992325835631</v>
      </c>
      <c r="DS14" s="59">
        <f t="shared" si="17"/>
        <v>315.10032565916896</v>
      </c>
      <c r="DT14" s="59">
        <f ca="1">AVERAGE(OFFSET($DS$3,0,0,'Données projet'!$E$14+1,1))-AVERAGE(OFFSET($H$3,0,0,'Données projet'!$E$14+1,1))</f>
        <v>203.21935660591021</v>
      </c>
      <c r="DU14" s="59">
        <f t="shared" si="44"/>
        <v>180.54762778843178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12.3</v>
      </c>
      <c r="EJ14" s="12">
        <f>IF('Données projet'!$A$192&gt;35,EJ13+EI14-ER13,IF(A14&lt;'Données projet'!$A$192,$EG$205^A14,IF(A14='Données projet'!$A$192,'Données projet'!$B$192,EJ13+EI14-ER13)))</f>
        <v>23.3</v>
      </c>
      <c r="EK14" s="17">
        <f>EJ14*VLOOKUP('Données projet'!$B$15,Paramètres!$A$1:$I$89,3,0)*VLOOKUP('Données projet'!$B$15,Paramètres!$A$1:$I$89,5,0)</f>
        <v>15.62964</v>
      </c>
      <c r="EL14" s="13">
        <f t="shared" si="45"/>
        <v>5.2302852984166268</v>
      </c>
      <c r="EM14" s="20">
        <f t="shared" si="19"/>
        <v>36.331036561408958</v>
      </c>
      <c r="EN14" s="59">
        <f t="shared" si="20"/>
        <v>329.66436989474226</v>
      </c>
      <c r="EO14" s="59">
        <f ca="1">AVERAGE(OFFSET($EN$3,0,0,'Données projet'!$E$15+1,1))-AVERAGE(OFFSET($H$3,0,0,'Données projet'!$E$15+1,1))</f>
        <v>207.93042467236967</v>
      </c>
      <c r="EP14" s="59">
        <f t="shared" si="46"/>
        <v>250.70954318710835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9.3968325791855207</v>
      </c>
      <c r="N15" s="13">
        <f>IF('Données projet'!$A$36&gt;35,N14+M15-V14,IF(A15&lt;'Données projet'!$A$36,$K$205^A15,IF(A15='Données projet'!$A$36,'Données projet'!$B$36,N14+M15-V14)))</f>
        <v>35.922176531151678</v>
      </c>
      <c r="O15" s="13">
        <f>N15*VLOOKUP('Données projet'!$B$9,Paramètres!$A$1:$I$89,3,0)*VLOOKUP('Données projet'!$B$9,Paramètres!$A$1:$I$89,5,0)</f>
        <v>20.080496680913789</v>
      </c>
      <c r="P15" s="13">
        <f t="shared" si="33"/>
        <v>6.5265484968269822</v>
      </c>
      <c r="Q15" s="20">
        <f t="shared" si="2"/>
        <v>46.340603684565174</v>
      </c>
      <c r="R15" s="59">
        <f t="shared" si="0"/>
        <v>339.67393701789848</v>
      </c>
      <c r="S15" s="59">
        <f ca="1">AVERAGE(OFFSET($R$3,0,0,'Données projet'!$E$9+1,1))-AVERAGE(OFFSET($H$3,0,0,'Données projet'!$E$9+1,1))</f>
        <v>255.5374979188561</v>
      </c>
      <c r="T15" s="59">
        <f t="shared" si="34"/>
        <v>343.10418468620901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7.2264102564102561</v>
      </c>
      <c r="AI15" s="13">
        <f>IF('Données projet'!$A$62&gt;35,AI14+AH15-AQ14,IF(A15&lt;'Données projet'!$A$62,$AF$205^A15,IF(A15='Données projet'!$A$62,'Données projet'!$B$62,AI14+AH15-AQ14)))</f>
        <v>8.5983980712566286</v>
      </c>
      <c r="AJ15" s="13">
        <f>AI15*VLOOKUP('Données projet'!$B$10,Paramètres!$A$1:$I$89,3,0)*VLOOKUP('Données projet'!$B$10,Paramètres!$A$1:$I$89,5,0)</f>
        <v>4.0240502973481025</v>
      </c>
      <c r="AK15" s="13">
        <f t="shared" si="35"/>
        <v>1.5770034573990057</v>
      </c>
      <c r="AL15" s="20">
        <f t="shared" si="4"/>
        <v>9.7551686228512136</v>
      </c>
      <c r="AM15" s="59">
        <f t="shared" si="5"/>
        <v>303.08850195618453</v>
      </c>
      <c r="AN15" s="59">
        <f ca="1">AVERAGE(OFFSET($AM$3,0,0,'Données projet'!$E$10+1,1))-AVERAGE(OFFSET($H$3,0,0,'Données projet'!$E$10+1,1))</f>
        <v>158.58786357608489</v>
      </c>
      <c r="AO15" s="59">
        <f t="shared" si="36"/>
        <v>163.20074068819849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5.3</v>
      </c>
      <c r="BD15" s="12">
        <f>IF('Données projet'!$A$88&gt;35,BD14+BC15-BL14,IF(A15&lt;'Données projet'!$A$88,$BA$205^A15,IF(A15='Données projet'!$A$88,'Données projet'!$B$88,BD14+BC15-BL14)))</f>
        <v>16.412831812213092</v>
      </c>
      <c r="BE15" s="13">
        <f>BD15*VLOOKUP('Données projet'!$B$11,Paramètres!$A$1:$I$89,3,0)*VLOOKUP('Données projet'!$B$11,Paramètres!$A$1:$I$89,5,0)</f>
        <v>9.8148734237034301</v>
      </c>
      <c r="BF15" s="13">
        <f t="shared" si="37"/>
        <v>3.4672199157117518</v>
      </c>
      <c r="BG15" s="20">
        <f t="shared" si="7"/>
        <v>23.132979232814776</v>
      </c>
      <c r="BH15" s="59">
        <f t="shared" si="8"/>
        <v>316.46631256614808</v>
      </c>
      <c r="BI15" s="59">
        <f ca="1">AVERAGE(OFFSET($BH$3,0,0,'Données projet'!$E$11+1,1))-AVERAGE(OFFSET($H$3,0,0,'Données projet'!$E$11+1,1))</f>
        <v>316.58509520829671</v>
      </c>
      <c r="BJ15" s="59">
        <f t="shared" si="38"/>
        <v>240.71332110643596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12.3</v>
      </c>
      <c r="BY15" s="12">
        <f>IF('Données projet'!$A$114&gt;35,BY14+BX15-CG14,IF(A15&lt;'Données projet'!$A$114,$BV$205^A15,IF(A15='Données projet'!$A$114,'Données projet'!$B$114,BY14+BX15-CG14)))</f>
        <v>35.6</v>
      </c>
      <c r="BZ15" s="13">
        <f>BY15*VLOOKUP('Données projet'!$B$12,Paramètres!$A$1:$I$89,3,0)*VLOOKUP('Données projet'!$B$12,Paramètres!$A$1:$I$89,5,0)</f>
        <v>28.323360000000005</v>
      </c>
      <c r="CA15" s="13">
        <f t="shared" si="39"/>
        <v>8.8443757631773217</v>
      </c>
      <c r="CB15" s="20">
        <f t="shared" si="10"/>
        <v>64.733806454200504</v>
      </c>
      <c r="CC15" s="59">
        <f t="shared" si="11"/>
        <v>358.06713978753385</v>
      </c>
      <c r="CD15" s="59">
        <f ca="1">AVERAGE(OFFSET($CC$3,0,0,'Données projet'!$E$12+1,1))-AVERAGE(OFFSET($H$3,0,0,'Données projet'!$E$12+1,1))</f>
        <v>260.20517190557814</v>
      </c>
      <c r="CE15" s="59">
        <f t="shared" si="40"/>
        <v>307.22009971147133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4.0628205128205126</v>
      </c>
      <c r="CT15" s="12">
        <f>IF('Données projet'!$A$140&gt;35,CT14+CS15-DB14,IF(A15&lt;'Données projet'!$A$140,$CQ$205^A15,IF(A15='Données projet'!$A$140,'Données projet'!$B$140,CT14+CS15-DB14)))</f>
        <v>6.8293529228851897</v>
      </c>
      <c r="CU15" s="17">
        <f>CT15*VLOOKUP('Données projet'!$B$13,Paramètres!$A$1:$I$89,3,0)*VLOOKUP('Données projet'!$B$13,Paramètres!$A$1:$I$89,5,0)</f>
        <v>6.9249638638055826</v>
      </c>
      <c r="CV15" s="13">
        <f t="shared" si="41"/>
        <v>2.5476805881375704</v>
      </c>
      <c r="CW15" s="20">
        <f t="shared" si="13"/>
        <v>16.498189087134325</v>
      </c>
      <c r="CX15" s="59">
        <f t="shared" si="14"/>
        <v>309.83152242046765</v>
      </c>
      <c r="CY15" s="59">
        <f ca="1">AVERAGE(OFFSET($CX$3,0,0,'Données projet'!$E$13+1,1))-AVERAGE(OFFSET($H$3,0,0,'Données projet'!$E$13+1,1))</f>
        <v>263.15518481854753</v>
      </c>
      <c r="CZ15" s="59">
        <f t="shared" si="42"/>
        <v>210.80755370263819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4.1500000000000004</v>
      </c>
      <c r="DO15" s="12">
        <f>IF('Données projet'!$A$166&gt;35,DO14+DN15-DW14,IF(A15&lt;'Données projet'!$A$166,$DL$205^A15,IF(A15='Données projet'!$A$166,'Données projet'!$B$166,DO14+DN15-DW14)))</f>
        <v>14.172512719280766</v>
      </c>
      <c r="DP15" s="17">
        <f>DO15*VLOOKUP('Données projet'!$B$14,Paramètres!$A$1:$I$89,3,0)*VLOOKUP('Données projet'!$B$14,Paramètres!$A$1:$I$89,5,0)</f>
        <v>11.496742317880559</v>
      </c>
      <c r="DQ15" s="13">
        <f t="shared" si="43"/>
        <v>3.9872728528884012</v>
      </c>
      <c r="DR15" s="20">
        <f t="shared" si="16"/>
        <v>26.967993089089273</v>
      </c>
      <c r="DS15" s="59">
        <f t="shared" si="17"/>
        <v>320.30132642242256</v>
      </c>
      <c r="DT15" s="59">
        <f ca="1">AVERAGE(OFFSET($DS$3,0,0,'Données projet'!$E$14+1,1))-AVERAGE(OFFSET($H$3,0,0,'Données projet'!$E$14+1,1))</f>
        <v>203.21935660591021</v>
      </c>
      <c r="DU15" s="59">
        <f t="shared" si="44"/>
        <v>180.54762778843178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12.3</v>
      </c>
      <c r="EJ15" s="12">
        <f>IF('Données projet'!$A$192&gt;35,EJ14+EI15-ER14,IF(A15&lt;'Données projet'!$A$192,$EG$205^A15,IF(A15='Données projet'!$A$192,'Données projet'!$B$192,EJ14+EI15-ER14)))</f>
        <v>35.6</v>
      </c>
      <c r="EK15" s="17">
        <f>EJ15*VLOOKUP('Données projet'!$B$15,Paramètres!$A$1:$I$89,3,0)*VLOOKUP('Données projet'!$B$15,Paramètres!$A$1:$I$89,5,0)</f>
        <v>23.880480000000002</v>
      </c>
      <c r="EL15" s="13">
        <f t="shared" si="45"/>
        <v>7.6066057177324726</v>
      </c>
      <c r="EM15" s="20">
        <f t="shared" si="19"/>
        <v>54.840007625050731</v>
      </c>
      <c r="EN15" s="59">
        <f t="shared" si="20"/>
        <v>348.17334095838407</v>
      </c>
      <c r="EO15" s="59">
        <f ca="1">AVERAGE(OFFSET($EN$3,0,0,'Données projet'!$E$15+1,1))-AVERAGE(OFFSET($H$3,0,0,'Données projet'!$E$15+1,1))</f>
        <v>207.93042467236967</v>
      </c>
      <c r="EP15" s="59">
        <f t="shared" si="46"/>
        <v>250.70954318710835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9.3968325791855207</v>
      </c>
      <c r="N16" s="13">
        <f>IF('Données projet'!$A$36&gt;35,N15+M16-V15,IF(A16&lt;'Données projet'!$A$36,$K$205^A16,IF(A16='Données projet'!$A$36,'Données projet'!$B$36,N15+M16-V15)))</f>
        <v>48.414583084443251</v>
      </c>
      <c r="O16" s="13">
        <f>N16*VLOOKUP('Données projet'!$B$9,Paramètres!$A$1:$I$89,3,0)*VLOOKUP('Données projet'!$B$9,Paramètres!$A$1:$I$89,5,0)</f>
        <v>27.063751944203776</v>
      </c>
      <c r="P16" s="13">
        <f t="shared" si="33"/>
        <v>8.4959139568459339</v>
      </c>
      <c r="Q16" s="20">
        <f t="shared" si="2"/>
        <v>61.933084777661577</v>
      </c>
      <c r="R16" s="59">
        <f t="shared" si="0"/>
        <v>355.26641811099489</v>
      </c>
      <c r="S16" s="59">
        <f ca="1">AVERAGE(OFFSET($R$3,0,0,'Données projet'!$E$9+1,1))-AVERAGE(OFFSET($H$3,0,0,'Données projet'!$E$9+1,1))</f>
        <v>255.5374979188561</v>
      </c>
      <c r="T16" s="59">
        <f t="shared" si="34"/>
        <v>343.10418468620901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7.2264102564102561</v>
      </c>
      <c r="AI16" s="13">
        <f>IF('Données projet'!$A$62&gt;35,AI15+AH16-AQ15,IF(A16&lt;'Données projet'!$A$62,$AF$205^A16,IF(A16='Données projet'!$A$62,'Données projet'!$B$62,AI15+AH16-AQ15)))</f>
        <v>10.286927434759741</v>
      </c>
      <c r="AJ16" s="13">
        <f>AI16*VLOOKUP('Données projet'!$B$10,Paramètres!$A$1:$I$89,3,0)*VLOOKUP('Données projet'!$B$10,Paramètres!$A$1:$I$89,5,0)</f>
        <v>4.8142820394675585</v>
      </c>
      <c r="AK16" s="13">
        <f t="shared" si="35"/>
        <v>1.8477232526006253</v>
      </c>
      <c r="AL16" s="20">
        <f t="shared" si="4"/>
        <v>11.602992550352086</v>
      </c>
      <c r="AM16" s="59">
        <f t="shared" si="5"/>
        <v>304.93632588368541</v>
      </c>
      <c r="AN16" s="59">
        <f ca="1">AVERAGE(OFFSET($AM$3,0,0,'Données projet'!$E$10+1,1))-AVERAGE(OFFSET($H$3,0,0,'Données projet'!$E$10+1,1))</f>
        <v>158.58786357608489</v>
      </c>
      <c r="AO16" s="59">
        <f t="shared" si="36"/>
        <v>163.20074068819849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5.3</v>
      </c>
      <c r="BD16" s="12">
        <f>IF('Données projet'!$A$88&gt;35,BD15+BC16-BL15,IF(A16&lt;'Données projet'!$A$88,$BA$205^A16,IF(A16='Données projet'!$A$88,'Données projet'!$B$88,BD15+BC16-BL15)))</f>
        <v>20.722817982763658</v>
      </c>
      <c r="BE16" s="13">
        <f>BD16*VLOOKUP('Données projet'!$B$11,Paramètres!$A$1:$I$89,3,0)*VLOOKUP('Données projet'!$B$11,Paramètres!$A$1:$I$89,5,0)</f>
        <v>12.392245153692668</v>
      </c>
      <c r="BF16" s="13">
        <f t="shared" si="37"/>
        <v>4.2604885422894494</v>
      </c>
      <c r="BG16" s="20">
        <f t="shared" si="7"/>
        <v>29.003511187168854</v>
      </c>
      <c r="BH16" s="59">
        <f t="shared" si="8"/>
        <v>322.33684452050215</v>
      </c>
      <c r="BI16" s="59">
        <f ca="1">AVERAGE(OFFSET($BH$3,0,0,'Données projet'!$E$11+1,1))-AVERAGE(OFFSET($H$3,0,0,'Données projet'!$E$11+1,1))</f>
        <v>316.58509520829671</v>
      </c>
      <c r="BJ16" s="59">
        <f t="shared" si="38"/>
        <v>240.71332110643596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12.3</v>
      </c>
      <c r="BY16" s="12">
        <f>IF('Données projet'!$A$114&gt;35,BY15+BX16-CG15,IF(A16&lt;'Données projet'!$A$114,$BV$205^A16,IF(A16='Données projet'!$A$114,'Données projet'!$B$114,BY15+BX16-CG15)))</f>
        <v>47.900000000000006</v>
      </c>
      <c r="BZ16" s="13">
        <f>BY16*VLOOKUP('Données projet'!$B$12,Paramètres!$A$1:$I$89,3,0)*VLOOKUP('Données projet'!$B$12,Paramètres!$A$1:$I$89,5,0)</f>
        <v>38.109240000000007</v>
      </c>
      <c r="CA16" s="13">
        <f t="shared" si="39"/>
        <v>11.496097202870512</v>
      </c>
      <c r="CB16" s="20">
        <f t="shared" si="10"/>
        <v>86.395962294999478</v>
      </c>
      <c r="CC16" s="59">
        <f t="shared" si="11"/>
        <v>379.72929562833281</v>
      </c>
      <c r="CD16" s="59">
        <f ca="1">AVERAGE(OFFSET($CC$3,0,0,'Données projet'!$E$12+1,1))-AVERAGE(OFFSET($H$3,0,0,'Données projet'!$E$12+1,1))</f>
        <v>260.20517190557814</v>
      </c>
      <c r="CE16" s="59">
        <f t="shared" si="40"/>
        <v>307.22009971147133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4.0628205128205126</v>
      </c>
      <c r="CT16" s="12">
        <f>IF('Données projet'!$A$140&gt;35,CT15+CS16-DB15,IF(A16&lt;'Données projet'!$A$140,$CQ$205^A16,IF(A16='Données projet'!$A$140,'Données projet'!$B$140,CT15+CS16-DB15)))</f>
        <v>8.0151413590917304</v>
      </c>
      <c r="CU16" s="17">
        <f>CT16*VLOOKUP('Données projet'!$B$13,Paramètres!$A$1:$I$89,3,0)*VLOOKUP('Données projet'!$B$13,Paramètres!$A$1:$I$89,5,0)</f>
        <v>8.1273533381190166</v>
      </c>
      <c r="CV16" s="13">
        <f t="shared" si="41"/>
        <v>2.9348311908328566</v>
      </c>
      <c r="CW16" s="20">
        <f t="shared" si="13"/>
        <v>19.26663805459118</v>
      </c>
      <c r="CX16" s="59">
        <f t="shared" si="14"/>
        <v>312.59997138792448</v>
      </c>
      <c r="CY16" s="59">
        <f ca="1">AVERAGE(OFFSET($CX$3,0,0,'Données projet'!$E$13+1,1))-AVERAGE(OFFSET($H$3,0,0,'Données projet'!$E$13+1,1))</f>
        <v>263.15518481854753</v>
      </c>
      <c r="CZ16" s="59">
        <f t="shared" si="42"/>
        <v>210.80755370263819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4.1500000000000004</v>
      </c>
      <c r="DO16" s="12">
        <f>IF('Données projet'!$A$166&gt;35,DO15+DN16-DW15,IF(A16&lt;'Données projet'!$A$166,$DL$205^A16,IF(A16='Données projet'!$A$166,'Données projet'!$B$166,DO15+DN16-DW15)))</f>
        <v>17.676682444634107</v>
      </c>
      <c r="DP16" s="17">
        <f>DO16*VLOOKUP('Données projet'!$B$14,Paramètres!$A$1:$I$89,3,0)*VLOOKUP('Données projet'!$B$14,Paramètres!$A$1:$I$89,5,0)</f>
        <v>14.339324799087189</v>
      </c>
      <c r="DQ16" s="13">
        <f t="shared" si="43"/>
        <v>4.846863912132843</v>
      </c>
      <c r="DR16" s="20">
        <f t="shared" si="16"/>
        <v>33.415945338708219</v>
      </c>
      <c r="DS16" s="59">
        <f t="shared" si="17"/>
        <v>326.74927867204156</v>
      </c>
      <c r="DT16" s="59">
        <f ca="1">AVERAGE(OFFSET($DS$3,0,0,'Données projet'!$E$14+1,1))-AVERAGE(OFFSET($H$3,0,0,'Données projet'!$E$14+1,1))</f>
        <v>203.21935660591021</v>
      </c>
      <c r="DU16" s="59">
        <f t="shared" si="44"/>
        <v>180.54762778843178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12.3</v>
      </c>
      <c r="EJ16" s="12">
        <f>IF('Données projet'!$A$192&gt;35,EJ15+EI16-ER15,IF(A16&lt;'Données projet'!$A$192,$EG$205^A16,IF(A16='Données projet'!$A$192,'Données projet'!$B$192,EJ15+EI16-ER15)))</f>
        <v>47.900000000000006</v>
      </c>
      <c r="EK16" s="17">
        <f>EJ16*VLOOKUP('Données projet'!$B$15,Paramètres!$A$1:$I$89,3,0)*VLOOKUP('Données projet'!$B$15,Paramètres!$A$1:$I$89,5,0)</f>
        <v>32.131320000000002</v>
      </c>
      <c r="EL16" s="13">
        <f t="shared" si="45"/>
        <v>9.8872188446624989</v>
      </c>
      <c r="EM16" s="20">
        <f t="shared" si="19"/>
        <v>73.182288487787176</v>
      </c>
      <c r="EN16" s="59">
        <f t="shared" si="20"/>
        <v>366.51562182112048</v>
      </c>
      <c r="EO16" s="59">
        <f ca="1">AVERAGE(OFFSET($EN$3,0,0,'Données projet'!$E$15+1,1))-AVERAGE(OFFSET($H$3,0,0,'Données projet'!$E$15+1,1))</f>
        <v>207.93042467236967</v>
      </c>
      <c r="EP16" s="59">
        <f t="shared" si="46"/>
        <v>250.70954318710835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9.3968325791855207</v>
      </c>
      <c r="N17" s="13">
        <f>IF('Données projet'!$A$36&gt;35,N16+M17-V16,IF(A17&lt;'Données projet'!$A$36,$K$205^A17,IF(A17='Données projet'!$A$36,'Données projet'!$B$36,N16+M17-V16)))</f>
        <v>65.251387348641543</v>
      </c>
      <c r="O17" s="13">
        <f>N17*VLOOKUP('Données projet'!$B$9,Paramètres!$A$1:$I$89,3,0)*VLOOKUP('Données projet'!$B$9,Paramètres!$A$1:$I$89,5,0)</f>
        <v>36.475525527890625</v>
      </c>
      <c r="P17" s="13">
        <f t="shared" si="33"/>
        <v>11.059529243860162</v>
      </c>
      <c r="Q17" s="20">
        <f t="shared" si="2"/>
        <v>82.790220394132618</v>
      </c>
      <c r="R17" s="59">
        <f t="shared" si="0"/>
        <v>376.12355372746595</v>
      </c>
      <c r="S17" s="59">
        <f ca="1">AVERAGE(OFFSET($R$3,0,0,'Données projet'!$E$9+1,1))-AVERAGE(OFFSET($H$3,0,0,'Données projet'!$E$9+1,1))</f>
        <v>255.5374979188561</v>
      </c>
      <c r="T17" s="59">
        <f t="shared" si="34"/>
        <v>343.10418468620901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7.2264102564102561</v>
      </c>
      <c r="AI17" s="13">
        <f>IF('Données projet'!$A$62&gt;35,AI16+AH17-AQ16,IF(A17&lt;'Données projet'!$A$62,$AF$205^A17,IF(A17='Données projet'!$A$62,'Données projet'!$B$62,AI16+AH17-AQ16)))</f>
        <v>12.307045471848836</v>
      </c>
      <c r="AJ17" s="13">
        <f>AI17*VLOOKUP('Données projet'!$B$10,Paramètres!$A$1:$I$89,3,0)*VLOOKUP('Données projet'!$B$10,Paramètres!$A$1:$I$89,5,0)</f>
        <v>5.7596972808252556</v>
      </c>
      <c r="AK17" s="13">
        <f t="shared" si="35"/>
        <v>2.1649167617120959</v>
      </c>
      <c r="AL17" s="20">
        <f t="shared" si="4"/>
        <v>13.802036124085888</v>
      </c>
      <c r="AM17" s="59">
        <f t="shared" si="5"/>
        <v>307.13536945741919</v>
      </c>
      <c r="AN17" s="59">
        <f ca="1">AVERAGE(OFFSET($AM$3,0,0,'Données projet'!$E$10+1,1))-AVERAGE(OFFSET($H$3,0,0,'Données projet'!$E$10+1,1))</f>
        <v>158.58786357608489</v>
      </c>
      <c r="AO17" s="59">
        <f t="shared" si="36"/>
        <v>163.20074068819849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5.3</v>
      </c>
      <c r="BD17" s="12">
        <f>IF('Données projet'!$A$88&gt;35,BD16+BC17-BL16,IF(A17&lt;'Données projet'!$A$88,$BA$205^A17,IF(A17='Données projet'!$A$88,'Données projet'!$B$88,BD16+BC17-BL16)))</f>
        <v>26.164600360262149</v>
      </c>
      <c r="BE17" s="13">
        <f>BD17*VLOOKUP('Données projet'!$B$11,Paramètres!$A$1:$I$89,3,0)*VLOOKUP('Données projet'!$B$11,Paramètres!$A$1:$I$89,5,0)</f>
        <v>15.646431015436765</v>
      </c>
      <c r="BF17" s="13">
        <f t="shared" si="37"/>
        <v>5.235249871727123</v>
      </c>
      <c r="BG17" s="20">
        <f t="shared" si="7"/>
        <v>36.368927545143769</v>
      </c>
      <c r="BH17" s="59">
        <f t="shared" si="8"/>
        <v>329.70226087847709</v>
      </c>
      <c r="BI17" s="59">
        <f ca="1">AVERAGE(OFFSET($BH$3,0,0,'Données projet'!$E$11+1,1))-AVERAGE(OFFSET($H$3,0,0,'Données projet'!$E$11+1,1))</f>
        <v>316.58509520829671</v>
      </c>
      <c r="BJ17" s="59">
        <f t="shared" si="38"/>
        <v>240.71332110643596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12.3</v>
      </c>
      <c r="BY17" s="12">
        <f>IF('Données projet'!$A$114&gt;35,BY16+BX17-CG16,IF(A17&lt;'Données projet'!$A$114,$BV$205^A17,IF(A17='Données projet'!$A$114,'Données projet'!$B$114,BY16+BX17-CG16)))</f>
        <v>60.2</v>
      </c>
      <c r="BZ17" s="13">
        <f>BY17*VLOOKUP('Données projet'!$B$12,Paramètres!$A$1:$I$89,3,0)*VLOOKUP('Données projet'!$B$12,Paramètres!$A$1:$I$89,5,0)</f>
        <v>47.895120000000006</v>
      </c>
      <c r="CA17" s="13">
        <f t="shared" si="39"/>
        <v>14.068812032564205</v>
      </c>
      <c r="CB17" s="20">
        <f t="shared" si="10"/>
        <v>107.92051495671599</v>
      </c>
      <c r="CC17" s="59">
        <f t="shared" si="11"/>
        <v>401.25384829004929</v>
      </c>
      <c r="CD17" s="59">
        <f ca="1">AVERAGE(OFFSET($CC$3,0,0,'Données projet'!$E$12+1,1))-AVERAGE(OFFSET($H$3,0,0,'Données projet'!$E$12+1,1))</f>
        <v>260.20517190557814</v>
      </c>
      <c r="CE17" s="59">
        <f t="shared" si="40"/>
        <v>307.22009971147133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4.0628205128205126</v>
      </c>
      <c r="CT17" s="12">
        <f>IF('Données projet'!$A$140&gt;35,CT16+CS17-DB16,IF(A17&lt;'Données projet'!$A$140,$CQ$205^A17,IF(A17='Données projet'!$A$140,'Données projet'!$B$140,CT16+CS17-DB16)))</f>
        <v>9.4068196111151305</v>
      </c>
      <c r="CU17" s="17">
        <f>CT17*VLOOKUP('Données projet'!$B$13,Paramètres!$A$1:$I$89,3,0)*VLOOKUP('Données projet'!$B$13,Paramètres!$A$1:$I$89,5,0)</f>
        <v>9.5385150856707419</v>
      </c>
      <c r="CV17" s="13">
        <f t="shared" si="41"/>
        <v>3.3808139681206768</v>
      </c>
      <c r="CW17" s="20">
        <f t="shared" si="13"/>
        <v>22.501164768686721</v>
      </c>
      <c r="CX17" s="59">
        <f t="shared" si="14"/>
        <v>315.83449810202001</v>
      </c>
      <c r="CY17" s="59">
        <f ca="1">AVERAGE(OFFSET($CX$3,0,0,'Données projet'!$E$13+1,1))-AVERAGE(OFFSET($H$3,0,0,'Données projet'!$E$13+1,1))</f>
        <v>263.15518481854753</v>
      </c>
      <c r="CZ17" s="59">
        <f t="shared" si="42"/>
        <v>210.80755370263819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4.1500000000000004</v>
      </c>
      <c r="DO17" s="12">
        <f>IF('Données projet'!$A$166&gt;35,DO16+DN17-DW16,IF(A17&lt;'Données projet'!$A$166,$DL$205^A17,IF(A17='Données projet'!$A$166,'Données projet'!$B$166,DO16+DN17-DW16)))</f>
        <v>22.047262079599165</v>
      </c>
      <c r="DP17" s="17">
        <f>DO17*VLOOKUP('Données projet'!$B$14,Paramètres!$A$1:$I$89,3,0)*VLOOKUP('Données projet'!$B$14,Paramètres!$A$1:$I$89,5,0)</f>
        <v>17.884738998970843</v>
      </c>
      <c r="DQ17" s="13">
        <f t="shared" si="43"/>
        <v>5.891768797743028</v>
      </c>
      <c r="DR17" s="20">
        <f t="shared" si="16"/>
        <v>41.410751079276658</v>
      </c>
      <c r="DS17" s="59">
        <f t="shared" si="17"/>
        <v>334.74408441260999</v>
      </c>
      <c r="DT17" s="59">
        <f ca="1">AVERAGE(OFFSET($DS$3,0,0,'Données projet'!$E$14+1,1))-AVERAGE(OFFSET($H$3,0,0,'Données projet'!$E$14+1,1))</f>
        <v>203.21935660591021</v>
      </c>
      <c r="DU17" s="59">
        <f t="shared" si="44"/>
        <v>180.54762778843178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12.3</v>
      </c>
      <c r="EJ17" s="12">
        <f>IF('Données projet'!$A$192&gt;35,EJ16+EI17-ER16,IF(A17&lt;'Données projet'!$A$192,$EG$205^A17,IF(A17='Données projet'!$A$192,'Données projet'!$B$192,EJ16+EI17-ER16)))</f>
        <v>60.2</v>
      </c>
      <c r="EK17" s="17">
        <f>EJ17*VLOOKUP('Données projet'!$B$15,Paramètres!$A$1:$I$89,3,0)*VLOOKUP('Données projet'!$B$15,Paramètres!$A$1:$I$89,5,0)</f>
        <v>40.382159999999999</v>
      </c>
      <c r="EL17" s="13">
        <f t="shared" si="45"/>
        <v>12.099882333601922</v>
      </c>
      <c r="EM17" s="20">
        <f t="shared" si="19"/>
        <v>91.40622373102336</v>
      </c>
      <c r="EN17" s="59">
        <f t="shared" si="20"/>
        <v>384.73955706435669</v>
      </c>
      <c r="EO17" s="59">
        <f ca="1">AVERAGE(OFFSET($EN$3,0,0,'Données projet'!$E$15+1,1))-AVERAGE(OFFSET($H$3,0,0,'Données projet'!$E$15+1,1))</f>
        <v>207.93042467236967</v>
      </c>
      <c r="EP17" s="59">
        <f t="shared" si="46"/>
        <v>250.70954318710835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9.3968325791855207</v>
      </c>
      <c r="N18" s="13">
        <f>IF('Données projet'!$A$36&gt;35,N17+M18-V17,IF(A18&lt;'Données projet'!$A$36,$K$205^A18,IF(A18='Données projet'!$A$36,'Données projet'!$B$36,N17+M18-V17)))</f>
        <v>87.943410428552681</v>
      </c>
      <c r="O18" s="13">
        <f>N18*VLOOKUP('Données projet'!$B$9,Paramètres!$A$1:$I$89,3,0)*VLOOKUP('Données projet'!$B$9,Paramètres!$A$1:$I$89,5,0)</f>
        <v>49.160366429560945</v>
      </c>
      <c r="P18" s="13">
        <f t="shared" si="33"/>
        <v>14.396707372164377</v>
      </c>
      <c r="Q18" s="20">
        <f t="shared" si="2"/>
        <v>110.69523687133828</v>
      </c>
      <c r="R18" s="59">
        <f t="shared" si="0"/>
        <v>404.02857020467161</v>
      </c>
      <c r="S18" s="59">
        <f ca="1">AVERAGE(OFFSET($R$3,0,0,'Données projet'!$E$9+1,1))-AVERAGE(OFFSET($H$3,0,0,'Données projet'!$E$9+1,1))</f>
        <v>255.5374979188561</v>
      </c>
      <c r="T18" s="59">
        <f t="shared" si="34"/>
        <v>343.10418468620901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7.2264102564102561</v>
      </c>
      <c r="AI18" s="13">
        <f>IF('Données projet'!$A$62&gt;35,AI17+AH18-AQ17,IF(A18&lt;'Données projet'!$A$62,$AF$205^A18,IF(A18='Données projet'!$A$62,'Données projet'!$B$62,AI17+AH18-AQ17)))</f>
        <v>14.723868638788783</v>
      </c>
      <c r="AJ18" s="13">
        <f>AI18*VLOOKUP('Données projet'!$B$10,Paramètres!$A$1:$I$89,3,0)*VLOOKUP('Données projet'!$B$10,Paramètres!$A$1:$I$89,5,0)</f>
        <v>6.89077052295315</v>
      </c>
      <c r="AK18" s="13">
        <f t="shared" si="35"/>
        <v>2.5365619978778424</v>
      </c>
      <c r="AL18" s="20">
        <f t="shared" si="4"/>
        <v>16.419270807113978</v>
      </c>
      <c r="AM18" s="59">
        <f t="shared" si="5"/>
        <v>309.75260414044732</v>
      </c>
      <c r="AN18" s="59">
        <f ca="1">AVERAGE(OFFSET($AM$3,0,0,'Données projet'!$E$10+1,1))-AVERAGE(OFFSET($H$3,0,0,'Données projet'!$E$10+1,1))</f>
        <v>158.58786357608489</v>
      </c>
      <c r="AO18" s="59">
        <f t="shared" si="36"/>
        <v>163.20074068819849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5.3</v>
      </c>
      <c r="BD18" s="12">
        <f>IF('Données projet'!$A$88&gt;35,BD17+BC18-BL17,IF(A18&lt;'Données projet'!$A$88,$BA$205^A18,IF(A18='Données projet'!$A$88,'Données projet'!$B$88,BD17+BC18-BL17)))</f>
        <v>33.035387010668124</v>
      </c>
      <c r="BE18" s="13">
        <f>BD18*VLOOKUP('Données projet'!$B$11,Paramètres!$A$1:$I$89,3,0)*VLOOKUP('Données projet'!$B$11,Paramètres!$A$1:$I$89,5,0)</f>
        <v>19.755161432379541</v>
      </c>
      <c r="BF18" s="13">
        <f t="shared" si="37"/>
        <v>6.4330277965471954</v>
      </c>
      <c r="BG18" s="20">
        <f t="shared" si="7"/>
        <v>45.611096240380732</v>
      </c>
      <c r="BH18" s="59">
        <f t="shared" si="8"/>
        <v>338.94442957371405</v>
      </c>
      <c r="BI18" s="59">
        <f ca="1">AVERAGE(OFFSET($BH$3,0,0,'Données projet'!$E$11+1,1))-AVERAGE(OFFSET($H$3,0,0,'Données projet'!$E$11+1,1))</f>
        <v>316.58509520829671</v>
      </c>
      <c r="BJ18" s="59">
        <f t="shared" si="38"/>
        <v>240.71332110643596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12.3</v>
      </c>
      <c r="BY18" s="12">
        <f>IF('Données projet'!$A$114&gt;35,BY17+BX18-CG17,IF(A18&lt;'Données projet'!$A$114,$BV$205^A18,IF(A18='Données projet'!$A$114,'Données projet'!$B$114,BY17+BX18-CG17)))</f>
        <v>72.5</v>
      </c>
      <c r="BZ18" s="13">
        <f>BY18*VLOOKUP('Données projet'!$B$12,Paramètres!$A$1:$I$89,3,0)*VLOOKUP('Données projet'!$B$12,Paramètres!$A$1:$I$89,5,0)</f>
        <v>57.681000000000004</v>
      </c>
      <c r="CA18" s="13">
        <f t="shared" si="39"/>
        <v>16.580614810327479</v>
      </c>
      <c r="CB18" s="20">
        <f t="shared" si="10"/>
        <v>129.33897912798705</v>
      </c>
      <c r="CC18" s="59">
        <f t="shared" si="11"/>
        <v>422.67231246132036</v>
      </c>
      <c r="CD18" s="59">
        <f ca="1">AVERAGE(OFFSET($CC$3,0,0,'Données projet'!$E$12+1,1))-AVERAGE(OFFSET($H$3,0,0,'Données projet'!$E$12+1,1))</f>
        <v>260.20517190557814</v>
      </c>
      <c r="CE18" s="59">
        <f t="shared" si="40"/>
        <v>307.22009971147133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4.0628205128205126</v>
      </c>
      <c r="CT18" s="12">
        <f>IF('Données projet'!$A$140&gt;35,CT17+CS18-DB17,IF(A18&lt;'Données projet'!$A$140,$CQ$205^A18,IF(A18='Données projet'!$A$140,'Données projet'!$B$140,CT17+CS18-DB17)))</f>
        <v>11.040136565487554</v>
      </c>
      <c r="CU18" s="17">
        <f>CT18*VLOOKUP('Données projet'!$B$13,Paramètres!$A$1:$I$89,3,0)*VLOOKUP('Données projet'!$B$13,Paramètres!$A$1:$I$89,5,0)</f>
        <v>11.194698477404382</v>
      </c>
      <c r="CV18" s="13">
        <f t="shared" si="41"/>
        <v>3.8945691741119406</v>
      </c>
      <c r="CW18" s="20">
        <f t="shared" si="13"/>
        <v>26.280474493057593</v>
      </c>
      <c r="CX18" s="59">
        <f t="shared" si="14"/>
        <v>319.61380782639088</v>
      </c>
      <c r="CY18" s="59">
        <f ca="1">AVERAGE(OFFSET($CX$3,0,0,'Données projet'!$E$13+1,1))-AVERAGE(OFFSET($H$3,0,0,'Données projet'!$E$13+1,1))</f>
        <v>263.15518481854753</v>
      </c>
      <c r="CZ18" s="59">
        <f t="shared" si="42"/>
        <v>210.80755370263819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4.1500000000000004</v>
      </c>
      <c r="DO18" s="12">
        <f>IF('Données projet'!$A$166&gt;35,DO17+DN18-DW17,IF(A18&lt;'Données projet'!$A$166,$DL$205^A18,IF(A18='Données projet'!$A$166,'Données projet'!$B$166,DO17+DN18-DW17)))</f>
        <v>27.498472449737598</v>
      </c>
      <c r="DP18" s="17">
        <f>DO18*VLOOKUP('Données projet'!$B$14,Paramètres!$A$1:$I$89,3,0)*VLOOKUP('Données projet'!$B$14,Paramètres!$A$1:$I$89,5,0)</f>
        <v>22.306760851227143</v>
      </c>
      <c r="DQ18" s="13">
        <f t="shared" si="43"/>
        <v>7.1619381512164271</v>
      </c>
      <c r="DR18" s="20">
        <f t="shared" si="16"/>
        <v>51.324650762589215</v>
      </c>
      <c r="DS18" s="59">
        <f t="shared" si="17"/>
        <v>344.65798409592253</v>
      </c>
      <c r="DT18" s="59">
        <f ca="1">AVERAGE(OFFSET($DS$3,0,0,'Données projet'!$E$14+1,1))-AVERAGE(OFFSET($H$3,0,0,'Données projet'!$E$14+1,1))</f>
        <v>203.21935660591021</v>
      </c>
      <c r="DU18" s="59">
        <f t="shared" si="44"/>
        <v>180.54762778843178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12.3</v>
      </c>
      <c r="EJ18" s="12">
        <f>IF('Données projet'!$A$192&gt;35,EJ17+EI18-ER17,IF(A18&lt;'Données projet'!$A$192,$EG$205^A18,IF(A18='Données projet'!$A$192,'Données projet'!$B$192,EJ17+EI18-ER17)))</f>
        <v>72.5</v>
      </c>
      <c r="EK18" s="17">
        <f>EJ18*VLOOKUP('Données projet'!$B$15,Paramètres!$A$1:$I$89,3,0)*VLOOKUP('Données projet'!$B$15,Paramètres!$A$1:$I$89,5,0)</f>
        <v>48.633000000000003</v>
      </c>
      <c r="EL18" s="13">
        <f t="shared" si="45"/>
        <v>14.260158409918985</v>
      </c>
      <c r="EM18" s="20">
        <f t="shared" si="19"/>
        <v>109.53891756394223</v>
      </c>
      <c r="EN18" s="59">
        <f t="shared" si="20"/>
        <v>402.87225089727553</v>
      </c>
      <c r="EO18" s="59">
        <f ca="1">AVERAGE(OFFSET($EN$3,0,0,'Données projet'!$E$15+1,1))-AVERAGE(OFFSET($H$3,0,0,'Données projet'!$E$15+1,1))</f>
        <v>207.93042467236967</v>
      </c>
      <c r="EP18" s="59">
        <f t="shared" si="46"/>
        <v>250.70954318710835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9.3968325791855207</v>
      </c>
      <c r="N19" s="13">
        <f>IF('Données projet'!$A$36&gt;35,N18+M19-V18,IF(A19&lt;'Données projet'!$A$36,$K$205^A19,IF(A19='Données projet'!$A$36,'Données projet'!$B$36,N18+M19-V18)))</f>
        <v>118.52688122141336</v>
      </c>
      <c r="O19" s="13">
        <f>N19*VLOOKUP('Données projet'!$B$9,Paramètres!$A$1:$I$89,3,0)*VLOOKUP('Données projet'!$B$9,Paramètres!$A$1:$I$89,5,0)</f>
        <v>66.256526602770066</v>
      </c>
      <c r="P19" s="13">
        <f t="shared" si="33"/>
        <v>18.740868493548042</v>
      </c>
      <c r="Q19" s="20">
        <f t="shared" si="2"/>
        <v>148.03712979275406</v>
      </c>
      <c r="R19" s="59">
        <f t="shared" si="0"/>
        <v>441.37046312608737</v>
      </c>
      <c r="S19" s="59">
        <f ca="1">AVERAGE(OFFSET($R$3,0,0,'Données projet'!$E$9+1,1))-AVERAGE(OFFSET($H$3,0,0,'Données projet'!$E$9+1,1))</f>
        <v>255.5374979188561</v>
      </c>
      <c r="T19" s="59">
        <f t="shared" si="34"/>
        <v>343.10418468620901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7.2264102564102561</v>
      </c>
      <c r="AI19" s="13">
        <f>IF('Données projet'!$A$62&gt;35,AI18+AH19-AQ18,IF(A19&lt;'Données projet'!$A$62,$AF$205^A19,IF(A19='Données projet'!$A$62,'Données projet'!$B$62,AI18+AH19-AQ18)))</f>
        <v>17.61530077939495</v>
      </c>
      <c r="AJ19" s="13">
        <f>AI19*VLOOKUP('Données projet'!$B$10,Paramètres!$A$1:$I$89,3,0)*VLOOKUP('Données projet'!$B$10,Paramètres!$A$1:$I$89,5,0)</f>
        <v>8.2439607647568369</v>
      </c>
      <c r="AK19" s="13">
        <f t="shared" si="35"/>
        <v>2.972006537558364</v>
      </c>
      <c r="AL19" s="20">
        <f t="shared" si="4"/>
        <v>19.534476384865641</v>
      </c>
      <c r="AM19" s="59">
        <f t="shared" si="5"/>
        <v>312.86780971819894</v>
      </c>
      <c r="AN19" s="59">
        <f ca="1">AVERAGE(OFFSET($AM$3,0,0,'Données projet'!$E$10+1,1))-AVERAGE(OFFSET($H$3,0,0,'Données projet'!$E$10+1,1))</f>
        <v>158.58786357608489</v>
      </c>
      <c r="AO19" s="59">
        <f t="shared" si="36"/>
        <v>163.20074068819849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5.3</v>
      </c>
      <c r="BD19" s="12">
        <f>IF('Données projet'!$A$88&gt;35,BD18+BC19-BL18,IF(A19&lt;'Données projet'!$A$88,$BA$205^A19,IF(A19='Données projet'!$A$88,'Données projet'!$B$88,BD18+BC19-BL18)))</f>
        <v>41.710432413181543</v>
      </c>
      <c r="BE19" s="13">
        <f>BD19*VLOOKUP('Données projet'!$B$11,Paramètres!$A$1:$I$89,3,0)*VLOOKUP('Données projet'!$B$11,Paramètres!$A$1:$I$89,5,0)</f>
        <v>24.942838583082565</v>
      </c>
      <c r="BF19" s="13">
        <f t="shared" si="37"/>
        <v>7.9048465011463138</v>
      </c>
      <c r="BG19" s="20">
        <f t="shared" si="7"/>
        <v>57.209718188365294</v>
      </c>
      <c r="BH19" s="59">
        <f t="shared" si="8"/>
        <v>350.5430515216986</v>
      </c>
      <c r="BI19" s="59">
        <f ca="1">AVERAGE(OFFSET($BH$3,0,0,'Données projet'!$E$11+1,1))-AVERAGE(OFFSET($H$3,0,0,'Données projet'!$E$11+1,1))</f>
        <v>316.58509520829671</v>
      </c>
      <c r="BJ19" s="59">
        <f t="shared" si="38"/>
        <v>240.71332110643596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12.3</v>
      </c>
      <c r="BY19" s="12">
        <f>IF('Données projet'!$A$114&gt;35,BY18+BX19-CG18,IF(A19&lt;'Données projet'!$A$114,$BV$205^A19,IF(A19='Données projet'!$A$114,'Données projet'!$B$114,BY18+BX19-CG18)))</f>
        <v>84.8</v>
      </c>
      <c r="BZ19" s="13">
        <f>BY19*VLOOKUP('Données projet'!$B$12,Paramètres!$A$1:$I$89,3,0)*VLOOKUP('Données projet'!$B$12,Paramètres!$A$1:$I$89,5,0)</f>
        <v>67.466880000000003</v>
      </c>
      <c r="CA19" s="13">
        <f t="shared" si="39"/>
        <v>19.043051531232432</v>
      </c>
      <c r="CB19" s="20">
        <f t="shared" si="10"/>
        <v>150.67146408356317</v>
      </c>
      <c r="CC19" s="59">
        <f t="shared" si="11"/>
        <v>444.00479741689651</v>
      </c>
      <c r="CD19" s="59">
        <f ca="1">AVERAGE(OFFSET($CC$3,0,0,'Données projet'!$E$12+1,1))-AVERAGE(OFFSET($H$3,0,0,'Données projet'!$E$12+1,1))</f>
        <v>260.20517190557814</v>
      </c>
      <c r="CE19" s="59">
        <f t="shared" si="40"/>
        <v>307.22009971147133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4.0628205128205126</v>
      </c>
      <c r="CT19" s="12">
        <f>IF('Données projet'!$A$140&gt;35,CT18+CS19-DB18,IF(A19&lt;'Données projet'!$A$140,$CQ$205^A19,IF(A19='Données projet'!$A$140,'Données projet'!$B$140,CT18+CS19-DB18)))</f>
        <v>12.957048229201293</v>
      </c>
      <c r="CU19" s="17">
        <f>CT19*VLOOKUP('Données projet'!$B$13,Paramètres!$A$1:$I$89,3,0)*VLOOKUP('Données projet'!$B$13,Paramètres!$A$1:$I$89,5,0)</f>
        <v>13.138446904410113</v>
      </c>
      <c r="CV19" s="13">
        <f t="shared" si="41"/>
        <v>4.486395641690498</v>
      </c>
      <c r="CW19" s="20">
        <f t="shared" si="13"/>
        <v>30.696600767791892</v>
      </c>
      <c r="CX19" s="59">
        <f t="shared" si="14"/>
        <v>324.02993410112521</v>
      </c>
      <c r="CY19" s="59">
        <f ca="1">AVERAGE(OFFSET($CX$3,0,0,'Données projet'!$E$13+1,1))-AVERAGE(OFFSET($H$3,0,0,'Données projet'!$E$13+1,1))</f>
        <v>263.15518481854753</v>
      </c>
      <c r="CZ19" s="59">
        <f t="shared" si="42"/>
        <v>210.80755370263819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4.1500000000000004</v>
      </c>
      <c r="DO19" s="12">
        <f>IF('Données projet'!$A$166&gt;35,DO18+DN19-DW18,IF(A19&lt;'Données projet'!$A$166,$DL$205^A19,IF(A19='Données projet'!$A$166,'Données projet'!$B$166,DO18+DN19-DW18)))</f>
        <v>34.297500720902455</v>
      </c>
      <c r="DP19" s="17">
        <f>DO19*VLOOKUP('Données projet'!$B$14,Paramètres!$A$1:$I$89,3,0)*VLOOKUP('Données projet'!$B$14,Paramètres!$A$1:$I$89,5,0)</f>
        <v>27.822132584796076</v>
      </c>
      <c r="DQ19" s="13">
        <f t="shared" si="43"/>
        <v>8.7059353214094877</v>
      </c>
      <c r="DR19" s="20">
        <f t="shared" si="16"/>
        <v>63.61971826997469</v>
      </c>
      <c r="DS19" s="59">
        <f t="shared" si="17"/>
        <v>356.95305160330798</v>
      </c>
      <c r="DT19" s="59">
        <f ca="1">AVERAGE(OFFSET($DS$3,0,0,'Données projet'!$E$14+1,1))-AVERAGE(OFFSET($H$3,0,0,'Données projet'!$E$14+1,1))</f>
        <v>203.21935660591021</v>
      </c>
      <c r="DU19" s="59">
        <f t="shared" si="44"/>
        <v>180.54762778843178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12.3</v>
      </c>
      <c r="EJ19" s="12">
        <f>IF('Données projet'!$A$192&gt;35,EJ18+EI19-ER18,IF(A19&lt;'Données projet'!$A$192,$EG$205^A19,IF(A19='Données projet'!$A$192,'Données projet'!$B$192,EJ18+EI19-ER18)))</f>
        <v>84.8</v>
      </c>
      <c r="EK19" s="17">
        <f>EJ19*VLOOKUP('Données projet'!$B$15,Paramètres!$A$1:$I$89,3,0)*VLOOKUP('Données projet'!$B$15,Paramètres!$A$1:$I$89,5,0)</f>
        <v>56.883839999999999</v>
      </c>
      <c r="EL19" s="13">
        <f t="shared" si="45"/>
        <v>16.377977207122715</v>
      </c>
      <c r="EM19" s="20">
        <f t="shared" si="19"/>
        <v>127.59766496907207</v>
      </c>
      <c r="EN19" s="59">
        <f t="shared" si="20"/>
        <v>420.93099830240538</v>
      </c>
      <c r="EO19" s="59">
        <f ca="1">AVERAGE(OFFSET($EN$3,0,0,'Données projet'!$E$15+1,1))-AVERAGE(OFFSET($H$3,0,0,'Données projet'!$E$15+1,1))</f>
        <v>207.93042467236967</v>
      </c>
      <c r="EP19" s="59">
        <f t="shared" si="46"/>
        <v>250.70954318710835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159.74615384615385</v>
      </c>
      <c r="L20" s="12">
        <f>VLOOKUP(A20,'Données projet'!$A$35:$I$55,9,0)</f>
        <v>9.3968325791855207</v>
      </c>
      <c r="M20" s="12">
        <f t="array" ref="M20">INDEX(L:L,MIN(IF(ISNUMBER(L20:L216),ROW(L20:L216),"")))</f>
        <v>9.3968325791855207</v>
      </c>
      <c r="N20" s="13">
        <f>IF('Données projet'!$A$36&gt;35,N19+M20-V19,IF(A20&lt;'Données projet'!$A$36,$K$205^A20,IF(A20='Données projet'!$A$36,'Données projet'!$B$36,N19+M20-V19)))</f>
        <v>159.74615384615385</v>
      </c>
      <c r="O20" s="13">
        <f>N20*VLOOKUP('Données projet'!$B$9,Paramètres!$A$1:$I$89,3,0)*VLOOKUP('Données projet'!$B$9,Paramètres!$A$1:$I$89,5,0)</f>
        <v>89.298100000000005</v>
      </c>
      <c r="P20" s="13">
        <f t="shared" si="33"/>
        <v>24.395866555677571</v>
      </c>
      <c r="Q20" s="20">
        <f t="shared" si="2"/>
        <v>198.01699175113845</v>
      </c>
      <c r="R20" s="59">
        <f t="shared" si="0"/>
        <v>491.35032508447176</v>
      </c>
      <c r="S20" s="59">
        <f ca="1">AVERAGE(OFFSET($R$3,0,0,'Données projet'!$E$9+1,1))-AVERAGE(OFFSET($H$3,0,0,'Données projet'!$E$9+1,1))</f>
        <v>255.5374979188561</v>
      </c>
      <c r="T20" s="59">
        <f t="shared" si="34"/>
        <v>343.10418468620901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7.2264102564102561</v>
      </c>
      <c r="AI20" s="13">
        <f>IF('Données projet'!$A$62&gt;35,AI19+AH20-AQ19,IF(A20&lt;'Données projet'!$A$62,$AF$205^A20,IF(A20='Données projet'!$A$62,'Données projet'!$B$62,AI19+AH20-AQ19)))</f>
        <v>21.074544276434004</v>
      </c>
      <c r="AJ20" s="13">
        <f>AI20*VLOOKUP('Données projet'!$B$10,Paramètres!$A$1:$I$89,3,0)*VLOOKUP('Données projet'!$B$10,Paramètres!$A$1:$I$89,5,0)</f>
        <v>9.8628867213711136</v>
      </c>
      <c r="AK20" s="13">
        <f t="shared" si="35"/>
        <v>3.4822026296536168</v>
      </c>
      <c r="AL20" s="20">
        <f t="shared" si="4"/>
        <v>23.24269728636807</v>
      </c>
      <c r="AM20" s="59">
        <f t="shared" si="5"/>
        <v>316.57603061970138</v>
      </c>
      <c r="AN20" s="59">
        <f ca="1">AVERAGE(OFFSET($AM$3,0,0,'Données projet'!$E$10+1,1))-AVERAGE(OFFSET($H$3,0,0,'Données projet'!$E$10+1,1))</f>
        <v>158.58786357608489</v>
      </c>
      <c r="AO20" s="59">
        <f t="shared" si="36"/>
        <v>163.20074068819849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5.3</v>
      </c>
      <c r="BD20" s="12">
        <f>IF('Données projet'!$A$88&gt;35,BD19+BC20-BL19,IF(A20&lt;'Données projet'!$A$88,$BA$205^A20,IF(A20='Données projet'!$A$88,'Données projet'!$B$88,BD19+BC20-BL19)))</f>
        <v>52.663532336786751</v>
      </c>
      <c r="BE20" s="13">
        <f>BD20*VLOOKUP('Données projet'!$B$11,Paramètres!$A$1:$I$89,3,0)*VLOOKUP('Données projet'!$B$11,Paramètres!$A$1:$I$89,5,0)</f>
        <v>31.49279233739848</v>
      </c>
      <c r="BF20" s="13">
        <f t="shared" si="37"/>
        <v>9.7134040428402315</v>
      </c>
      <c r="BG20" s="20">
        <f t="shared" si="7"/>
        <v>71.76745869558242</v>
      </c>
      <c r="BH20" s="59">
        <f t="shared" si="8"/>
        <v>365.10079202891575</v>
      </c>
      <c r="BI20" s="59">
        <f ca="1">AVERAGE(OFFSET($BH$3,0,0,'Données projet'!$E$11+1,1))-AVERAGE(OFFSET($H$3,0,0,'Données projet'!$E$11+1,1))</f>
        <v>316.58509520829671</v>
      </c>
      <c r="BJ20" s="59">
        <f t="shared" si="38"/>
        <v>240.71332110643596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12.3</v>
      </c>
      <c r="BY20" s="12">
        <f>IF('Données projet'!$A$114&gt;35,BY19+BX20-CG19,IF(A20&lt;'Données projet'!$A$114,$BV$205^A20,IF(A20='Données projet'!$A$114,'Données projet'!$B$114,BY19+BX20-CG19)))</f>
        <v>97.1</v>
      </c>
      <c r="BZ20" s="13">
        <f>BY20*VLOOKUP('Données projet'!$B$12,Paramètres!$A$1:$I$89,3,0)*VLOOKUP('Données projet'!$B$12,Paramètres!$A$1:$I$89,5,0)</f>
        <v>77.252760000000009</v>
      </c>
      <c r="CA20" s="13">
        <f t="shared" si="39"/>
        <v>21.4641096918828</v>
      </c>
      <c r="CB20" s="20">
        <f t="shared" si="10"/>
        <v>171.93188138002924</v>
      </c>
      <c r="CC20" s="59">
        <f t="shared" si="11"/>
        <v>465.26521471336252</v>
      </c>
      <c r="CD20" s="59">
        <f ca="1">AVERAGE(OFFSET($CC$3,0,0,'Données projet'!$E$12+1,1))-AVERAGE(OFFSET($H$3,0,0,'Données projet'!$E$12+1,1))</f>
        <v>260.20517190557814</v>
      </c>
      <c r="CE20" s="59">
        <f t="shared" si="40"/>
        <v>307.22009971147133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4.0628205128205126</v>
      </c>
      <c r="CT20" s="12">
        <f>IF('Données projet'!$A$140&gt;35,CT19+CS20-DB19,IF(A20&lt;'Données projet'!$A$140,$CQ$205^A20,IF(A20='Données projet'!$A$140,'Données projet'!$B$140,CT19+CS20-DB19)))</f>
        <v>15.206795479203771</v>
      </c>
      <c r="CU20" s="17">
        <f>CT20*VLOOKUP('Données projet'!$B$13,Paramètres!$A$1:$I$89,3,0)*VLOOKUP('Données projet'!$B$13,Paramètres!$A$1:$I$89,5,0)</f>
        <v>15.419690615912625</v>
      </c>
      <c r="CV20" s="13">
        <f t="shared" si="41"/>
        <v>5.1681572348420586</v>
      </c>
      <c r="CW20" s="20">
        <f t="shared" si="13"/>
        <v>35.857168340064412</v>
      </c>
      <c r="CX20" s="59">
        <f t="shared" si="14"/>
        <v>329.1905016733977</v>
      </c>
      <c r="CY20" s="59">
        <f ca="1">AVERAGE(OFFSET($CX$3,0,0,'Données projet'!$E$13+1,1))-AVERAGE(OFFSET($H$3,0,0,'Données projet'!$E$13+1,1))</f>
        <v>263.15518481854753</v>
      </c>
      <c r="CZ20" s="59">
        <f t="shared" si="42"/>
        <v>210.80755370263819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4.1500000000000004</v>
      </c>
      <c r="DO20" s="12">
        <f>IF('Données projet'!$A$166&gt;35,DO19+DN20-DW19,IF(A20&lt;'Données projet'!$A$166,$DL$205^A20,IF(A20='Données projet'!$A$166,'Données projet'!$B$166,DO19+DN20-DW19)))</f>
        <v>42.777596386505074</v>
      </c>
      <c r="DP20" s="17">
        <f>DO20*VLOOKUP('Données projet'!$B$14,Paramètres!$A$1:$I$89,3,0)*VLOOKUP('Données projet'!$B$14,Paramètres!$A$1:$I$89,5,0)</f>
        <v>34.701186188732919</v>
      </c>
      <c r="DQ20" s="13">
        <f t="shared" si="43"/>
        <v>10.582793123910482</v>
      </c>
      <c r="DR20" s="20">
        <f t="shared" si="16"/>
        <v>78.869597302853919</v>
      </c>
      <c r="DS20" s="59">
        <f t="shared" si="17"/>
        <v>372.20293063618726</v>
      </c>
      <c r="DT20" s="59">
        <f ca="1">AVERAGE(OFFSET($DS$3,0,0,'Données projet'!$E$14+1,1))-AVERAGE(OFFSET($H$3,0,0,'Données projet'!$E$14+1,1))</f>
        <v>203.21935660591021</v>
      </c>
      <c r="DU20" s="59">
        <f t="shared" si="44"/>
        <v>180.54762778843178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12.3</v>
      </c>
      <c r="EJ20" s="12">
        <f>IF('Données projet'!$A$192&gt;35,EJ19+EI20-ER19,IF(A20&lt;'Données projet'!$A$192,$EG$205^A20,IF(A20='Données projet'!$A$192,'Données projet'!$B$192,EJ19+EI20-ER19)))</f>
        <v>97.1</v>
      </c>
      <c r="EK20" s="17">
        <f>EJ20*VLOOKUP('Données projet'!$B$15,Paramètres!$A$1:$I$89,3,0)*VLOOKUP('Données projet'!$B$15,Paramètres!$A$1:$I$89,5,0)</f>
        <v>65.134680000000003</v>
      </c>
      <c r="EL20" s="13">
        <f t="shared" si="45"/>
        <v>18.460208371976567</v>
      </c>
      <c r="EM20" s="20">
        <f t="shared" si="19"/>
        <v>145.59443058119251</v>
      </c>
      <c r="EN20" s="59">
        <f t="shared" si="20"/>
        <v>438.92776391452583</v>
      </c>
      <c r="EO20" s="59">
        <f ca="1">AVERAGE(OFFSET($EN$3,0,0,'Données projet'!$E$15+1,1))-AVERAGE(OFFSET($H$3,0,0,'Données projet'!$E$15+1,1))</f>
        <v>207.93042467236967</v>
      </c>
      <c r="EP20" s="59">
        <f t="shared" si="46"/>
        <v>250.70954318710835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182.89230769230767</v>
      </c>
      <c r="L21" s="12">
        <f>VLOOKUP(A21,'Données projet'!$A$35:$I$55,9,0)</f>
        <v>23.146153846153823</v>
      </c>
      <c r="M21" s="12">
        <f t="array" ref="M21">INDEX(L:L,MIN(IF(ISNUMBER(L21:L217),ROW(L21:L217),"")))</f>
        <v>23.146153846153823</v>
      </c>
      <c r="N21" s="13">
        <f>IF('Données projet'!$A$36&gt;35,N20+M21-V20,IF(A21&lt;'Données projet'!$A$36,$K$205^A21,IF(A21='Données projet'!$A$36,'Données projet'!$B$36,N20+M21-V20)))</f>
        <v>182.89230769230767</v>
      </c>
      <c r="O21" s="13">
        <f>N21*VLOOKUP('Données projet'!$B$9,Paramètres!$A$1:$I$89,3,0)*VLOOKUP('Données projet'!$B$9,Paramètres!$A$1:$I$89,5,0)</f>
        <v>102.23679999999999</v>
      </c>
      <c r="P21" s="13">
        <f t="shared" si="33"/>
        <v>27.494196289326943</v>
      </c>
      <c r="Q21" s="20">
        <f t="shared" si="2"/>
        <v>225.9481518705777</v>
      </c>
      <c r="R21" s="59">
        <f t="shared" si="0"/>
        <v>519.28148520391096</v>
      </c>
      <c r="S21" s="59">
        <f ca="1">AVERAGE(OFFSET($R$3,0,0,'Données projet'!$E$9+1,1))-AVERAGE(OFFSET($H$3,0,0,'Données projet'!$E$9+1,1))</f>
        <v>255.5374979188561</v>
      </c>
      <c r="T21" s="59">
        <f t="shared" si="34"/>
        <v>343.10418468620901</v>
      </c>
      <c r="U21" s="15">
        <f>IF(ISNA(VLOOKUP(A21,'Données projet'!$A$35:$I$55,3,0)),0,VLOOKUP(A21,'Données projet'!$A$35:$I$55,3,0))</f>
        <v>1</v>
      </c>
      <c r="V21" s="15">
        <f>IF(ISNA(VLOOKUP(A21,'Données projet'!$A$35:$I$55,4,0)),0,VLOOKUP(A21,'Données projet'!$A$35:$I$55,4,0))</f>
        <v>69.284615384615378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0.27500000000000002</v>
      </c>
      <c r="Y21" s="16">
        <f>IF(ISNA(VLOOKUP(A21,'Données projet'!$A$35:$I$55,7,0)),0%,VLOOKUP(A21,'Données projet'!$A$35:$I$55,7,0))</f>
        <v>0.5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14.073311822728558</v>
      </c>
      <c r="AB21" s="21">
        <f>EXP(-LN(2)/2)*AB20+(1-EXP(-LN(2)/2))/(LN(2)/2)*V21*Y21*VLOOKUP('Données projet'!$B$9,Paramètres!$A$1:$I$89,3,0)*0.475*44/12</f>
        <v>21.925735053214883</v>
      </c>
      <c r="AC21" s="22">
        <f t="shared" si="3"/>
        <v>35.999046875943442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7.2264102564102561</v>
      </c>
      <c r="AI21" s="13">
        <f>IF('Données projet'!$A$62&gt;35,AI20+AH21-AQ20,IF(A21&lt;'Données projet'!$A$62,$AF$205^A21,IF(A21='Données projet'!$A$62,'Données projet'!$B$62,AI20+AH21-AQ20)))</f>
        <v>25.213104335913162</v>
      </c>
      <c r="AJ21" s="13">
        <f>AI21*VLOOKUP('Données projet'!$B$10,Paramètres!$A$1:$I$89,3,0)*VLOOKUP('Données projet'!$B$10,Paramètres!$A$1:$I$89,5,0)</f>
        <v>11.799732829207361</v>
      </c>
      <c r="AK21" s="13">
        <f t="shared" si="35"/>
        <v>4.079982665155371</v>
      </c>
      <c r="AL21" s="20">
        <f t="shared" si="4"/>
        <v>27.657171152681755</v>
      </c>
      <c r="AM21" s="59">
        <f t="shared" si="5"/>
        <v>320.99050448601508</v>
      </c>
      <c r="AN21" s="59">
        <f ca="1">AVERAGE(OFFSET($AM$3,0,0,'Données projet'!$E$10+1,1))-AVERAGE(OFFSET($H$3,0,0,'Données projet'!$E$10+1,1))</f>
        <v>158.58786357608489</v>
      </c>
      <c r="AO21" s="59">
        <f t="shared" si="36"/>
        <v>163.20074068819849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5.3</v>
      </c>
      <c r="BD21" s="12">
        <f>IF('Données projet'!$A$88&gt;35,BD20+BC21-BL20,IF(A21&lt;'Données projet'!$A$88,$BA$205^A21,IF(A21='Données projet'!$A$88,'Données projet'!$B$88,BD20+BC21-BL20)))</f>
        <v>66.492900642077856</v>
      </c>
      <c r="BE21" s="13">
        <f>BD21*VLOOKUP('Données projet'!$B$11,Paramètres!$A$1:$I$89,3,0)*VLOOKUP('Données projet'!$B$11,Paramètres!$A$1:$I$89,5,0)</f>
        <v>39.762754583962561</v>
      </c>
      <c r="BF21" s="13">
        <f t="shared" si="37"/>
        <v>11.935743228636118</v>
      </c>
      <c r="BG21" s="20">
        <f t="shared" si="7"/>
        <v>90.041550356942707</v>
      </c>
      <c r="BH21" s="59">
        <f t="shared" si="8"/>
        <v>383.37488369027602</v>
      </c>
      <c r="BI21" s="59">
        <f ca="1">AVERAGE(OFFSET($BH$3,0,0,'Données projet'!$E$11+1,1))-AVERAGE(OFFSET($H$3,0,0,'Données projet'!$E$11+1,1))</f>
        <v>316.58509520829671</v>
      </c>
      <c r="BJ21" s="59">
        <f t="shared" si="38"/>
        <v>240.71332110643596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12.3</v>
      </c>
      <c r="BY21" s="12">
        <f>IF('Données projet'!$A$114&gt;35,BY20+BX21-CG20,IF(A21&lt;'Données projet'!$A$114,$BV$205^A21,IF(A21='Données projet'!$A$114,'Données projet'!$B$114,BY20+BX21-CG20)))</f>
        <v>109.39999999999999</v>
      </c>
      <c r="BZ21" s="13">
        <f>BY21*VLOOKUP('Données projet'!$B$12,Paramètres!$A$1:$I$89,3,0)*VLOOKUP('Données projet'!$B$12,Paramètres!$A$1:$I$89,5,0)</f>
        <v>87.038640000000001</v>
      </c>
      <c r="CA21" s="13">
        <f t="shared" si="39"/>
        <v>23.849631507508057</v>
      </c>
      <c r="CB21" s="20">
        <f t="shared" si="10"/>
        <v>193.13040620890987</v>
      </c>
      <c r="CC21" s="59">
        <f t="shared" si="11"/>
        <v>486.46373954224316</v>
      </c>
      <c r="CD21" s="59">
        <f ca="1">AVERAGE(OFFSET($CC$3,0,0,'Données projet'!$E$12+1,1))-AVERAGE(OFFSET($H$3,0,0,'Données projet'!$E$12+1,1))</f>
        <v>260.20517190557814</v>
      </c>
      <c r="CE21" s="59">
        <f t="shared" si="40"/>
        <v>307.22009971147133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4.0628205128205126</v>
      </c>
      <c r="CT21" s="12">
        <f>IF('Données projet'!$A$140&gt;35,CT20+CS21-DB20,IF(A21&lt;'Données projet'!$A$140,$CQ$205^A21,IF(A21='Données projet'!$A$140,'Données projet'!$B$140,CT20+CS21-DB20)))</f>
        <v>17.847168942782186</v>
      </c>
      <c r="CU21" s="17">
        <f>CT21*VLOOKUP('Données projet'!$B$13,Paramètres!$A$1:$I$89,3,0)*VLOOKUP('Données projet'!$B$13,Paramètres!$A$1:$I$89,5,0)</f>
        <v>18.097029307981138</v>
      </c>
      <c r="CV21" s="13">
        <f t="shared" si="41"/>
        <v>5.9535206738890976</v>
      </c>
      <c r="CW21" s="20">
        <f t="shared" si="13"/>
        <v>41.888041218423993</v>
      </c>
      <c r="CX21" s="59">
        <f t="shared" si="14"/>
        <v>335.22137455175732</v>
      </c>
      <c r="CY21" s="59">
        <f ca="1">AVERAGE(OFFSET($CX$3,0,0,'Données projet'!$E$13+1,1))-AVERAGE(OFFSET($H$3,0,0,'Données projet'!$E$13+1,1))</f>
        <v>263.15518481854753</v>
      </c>
      <c r="CZ21" s="59">
        <f t="shared" si="42"/>
        <v>210.80755370263819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4.1500000000000004</v>
      </c>
      <c r="DO21" s="12">
        <f>IF('Données projet'!$A$166&gt;35,DO20+DN21-DW20,IF(A21&lt;'Données projet'!$A$166,$DL$205^A21,IF(A21='Données projet'!$A$166,'Données projet'!$B$166,DO20+DN21-DW20)))</f>
        <v>53.354405252377298</v>
      </c>
      <c r="DP21" s="17">
        <f>DO21*VLOOKUP('Données projet'!$B$14,Paramètres!$A$1:$I$89,3,0)*VLOOKUP('Données projet'!$B$14,Paramètres!$A$1:$I$89,5,0)</f>
        <v>43.281093540728463</v>
      </c>
      <c r="DQ21" s="13">
        <f t="shared" si="43"/>
        <v>12.864270887479437</v>
      </c>
      <c r="DR21" s="20">
        <f t="shared" si="16"/>
        <v>97.786509712462092</v>
      </c>
      <c r="DS21" s="59">
        <f t="shared" si="17"/>
        <v>391.11984304579539</v>
      </c>
      <c r="DT21" s="59">
        <f ca="1">AVERAGE(OFFSET($DS$3,0,0,'Données projet'!$E$14+1,1))-AVERAGE(OFFSET($H$3,0,0,'Données projet'!$E$14+1,1))</f>
        <v>203.21935660591021</v>
      </c>
      <c r="DU21" s="59">
        <f t="shared" si="44"/>
        <v>180.54762778843178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12.3</v>
      </c>
      <c r="EJ21" s="12">
        <f>IF('Données projet'!$A$192&gt;35,EJ20+EI21-ER20,IF(A21&lt;'Données projet'!$A$192,$EG$205^A21,IF(A21='Données projet'!$A$192,'Données projet'!$B$192,EJ20+EI21-ER20)))</f>
        <v>109.39999999999999</v>
      </c>
      <c r="EK21" s="17">
        <f>EJ21*VLOOKUP('Données projet'!$B$15,Paramètres!$A$1:$I$89,3,0)*VLOOKUP('Données projet'!$B$15,Paramètres!$A$1:$I$89,5,0)</f>
        <v>73.38552</v>
      </c>
      <c r="EL21" s="13">
        <f t="shared" si="45"/>
        <v>20.511876501914987</v>
      </c>
      <c r="EM21" s="20">
        <f t="shared" si="19"/>
        <v>163.5379655741686</v>
      </c>
      <c r="EN21" s="59">
        <f t="shared" si="20"/>
        <v>456.87129890750191</v>
      </c>
      <c r="EO21" s="59">
        <f ca="1">AVERAGE(OFFSET($EN$3,0,0,'Données projet'!$E$15+1,1))-AVERAGE(OFFSET($H$3,0,0,'Données projet'!$E$15+1,1))</f>
        <v>207.93042467236967</v>
      </c>
      <c r="EP21" s="59">
        <f t="shared" si="46"/>
        <v>250.70954318710835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20.658974358974358</v>
      </c>
      <c r="N22" s="13">
        <f>IF('Données projet'!$A$36&gt;35,N21+M22-V21,IF(A22&lt;'Données projet'!$A$36,$K$205^A22,IF(A22='Données projet'!$A$36,'Données projet'!$B$36,N21+M22-V21)))</f>
        <v>134.26666666666665</v>
      </c>
      <c r="O22" s="13">
        <f>N22*VLOOKUP('Données projet'!$B$9,Paramètres!$A$1:$I$89,3,0)*VLOOKUP('Données projet'!$B$9,Paramètres!$A$1:$I$89,5,0)</f>
        <v>75.055066666666661</v>
      </c>
      <c r="P22" s="13">
        <f t="shared" si="33"/>
        <v>20.923669242672773</v>
      </c>
      <c r="Q22" s="20">
        <f t="shared" si="2"/>
        <v>167.1629650420995</v>
      </c>
      <c r="R22" s="59">
        <f t="shared" si="0"/>
        <v>460.49629837543284</v>
      </c>
      <c r="S22" s="59">
        <f ca="1">AVERAGE(OFFSET($R$3,0,0,'Données projet'!$E$9+1,1))-AVERAGE(OFFSET($H$3,0,0,'Données projet'!$E$9+1,1))</f>
        <v>255.5374979188561</v>
      </c>
      <c r="T22" s="59">
        <f t="shared" si="34"/>
        <v>343.10418468620901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13.688476370852742</v>
      </c>
      <c r="AB22" s="21">
        <f>EXP(-LN(2)/2)*AB21+(1-EXP(-LN(2)/2))/(LN(2)/2)*V22*Y22*VLOOKUP('Données projet'!$B$9,Paramètres!$A$1:$I$89,3,0)*0.475*44/12</f>
        <v>15.503835938627832</v>
      </c>
      <c r="AC22" s="22">
        <f t="shared" si="3"/>
        <v>29.192312309480574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7.2264102564102561</v>
      </c>
      <c r="AI22" s="13">
        <f>IF('Données projet'!$A$62&gt;35,AI21+AH22-AQ21,IF(A22&lt;'Données projet'!$A$62,$AF$205^A22,IF(A22='Données projet'!$A$62,'Données projet'!$B$62,AI21+AH22-AQ21)))</f>
        <v>30.164383244315122</v>
      </c>
      <c r="AJ22" s="13">
        <f>AI22*VLOOKUP('Données projet'!$B$10,Paramètres!$A$1:$I$89,3,0)*VLOOKUP('Données projet'!$B$10,Paramètres!$A$1:$I$89,5,0)</f>
        <v>14.116931358339476</v>
      </c>
      <c r="AK22" s="13">
        <f t="shared" si="35"/>
        <v>4.7803819359082427</v>
      </c>
      <c r="AL22" s="20">
        <f t="shared" si="4"/>
        <v>32.912820654148106</v>
      </c>
      <c r="AM22" s="59">
        <f t="shared" si="5"/>
        <v>326.24615398748142</v>
      </c>
      <c r="AN22" s="59">
        <f ca="1">AVERAGE(OFFSET($AM$3,0,0,'Données projet'!$E$10+1,1))-AVERAGE(OFFSET($H$3,0,0,'Données projet'!$E$10+1,1))</f>
        <v>158.58786357608489</v>
      </c>
      <c r="AO22" s="59">
        <f t="shared" si="36"/>
        <v>163.20074068819849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5.3</v>
      </c>
      <c r="BD22" s="12">
        <f>IF('Données projet'!$A$88&gt;35,BD21+BC22-BL21,IF(A22&lt;'Données projet'!$A$88,$BA$205^A22,IF(A22='Données projet'!$A$88,'Données projet'!$B$88,BD21+BC22-BL21)))</f>
        <v>83.953841294250751</v>
      </c>
      <c r="BE22" s="13">
        <f>BD22*VLOOKUP('Données projet'!$B$11,Paramètres!$A$1:$I$89,3,0)*VLOOKUP('Données projet'!$B$11,Paramètres!$A$1:$I$89,5,0)</f>
        <v>50.204397093961951</v>
      </c>
      <c r="BF22" s="13">
        <f t="shared" si="37"/>
        <v>14.666533564506853</v>
      </c>
      <c r="BG22" s="20">
        <f t="shared" si="7"/>
        <v>112.98353756349984</v>
      </c>
      <c r="BH22" s="59">
        <f t="shared" si="8"/>
        <v>406.31687089683317</v>
      </c>
      <c r="BI22" s="59">
        <f ca="1">AVERAGE(OFFSET($BH$3,0,0,'Données projet'!$E$11+1,1))-AVERAGE(OFFSET($H$3,0,0,'Données projet'!$E$11+1,1))</f>
        <v>316.58509520829671</v>
      </c>
      <c r="BJ22" s="59">
        <f t="shared" si="38"/>
        <v>240.71332110643596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12.3</v>
      </c>
      <c r="BY22" s="12">
        <f>IF('Données projet'!$A$114&gt;35,BY21+BX22-CG21,IF(A22&lt;'Données projet'!$A$114,$BV$205^A22,IF(A22='Données projet'!$A$114,'Données projet'!$B$114,BY21+BX22-CG21)))</f>
        <v>121.69999999999999</v>
      </c>
      <c r="BZ22" s="13">
        <f>BY22*VLOOKUP('Données projet'!$B$12,Paramètres!$A$1:$I$89,3,0)*VLOOKUP('Données projet'!$B$12,Paramètres!$A$1:$I$89,5,0)</f>
        <v>96.824519999999993</v>
      </c>
      <c r="CA22" s="13">
        <f t="shared" si="39"/>
        <v>26.20406828580953</v>
      </c>
      <c r="CB22" s="20">
        <f t="shared" si="10"/>
        <v>214.27479126445158</v>
      </c>
      <c r="CC22" s="59">
        <f t="shared" si="11"/>
        <v>507.60812459778492</v>
      </c>
      <c r="CD22" s="59">
        <f ca="1">AVERAGE(OFFSET($CC$3,0,0,'Données projet'!$E$12+1,1))-AVERAGE(OFFSET($H$3,0,0,'Données projet'!$E$12+1,1))</f>
        <v>260.20517190557814</v>
      </c>
      <c r="CE22" s="59">
        <f t="shared" si="40"/>
        <v>307.22009971147133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4.0628205128205126</v>
      </c>
      <c r="CT22" s="12">
        <f>IF('Données projet'!$A$140&gt;35,CT21+CS22-DB21,IF(A22&lt;'Données projet'!$A$140,$CQ$205^A22,IF(A22='Données projet'!$A$140,'Données projet'!$B$140,CT21+CS22-DB21)))</f>
        <v>20.945993500590358</v>
      </c>
      <c r="CU22" s="17">
        <f>CT22*VLOOKUP('Données projet'!$B$13,Paramètres!$A$1:$I$89,3,0)*VLOOKUP('Données projet'!$B$13,Paramètres!$A$1:$I$89,5,0)</f>
        <v>21.239237409598623</v>
      </c>
      <c r="CV22" s="13">
        <f t="shared" si="41"/>
        <v>6.8582295011208343</v>
      </c>
      <c r="CW22" s="20">
        <f t="shared" si="13"/>
        <v>48.936421536169718</v>
      </c>
      <c r="CX22" s="59">
        <f t="shared" si="14"/>
        <v>342.269754869503</v>
      </c>
      <c r="CY22" s="59">
        <f ca="1">AVERAGE(OFFSET($CX$3,0,0,'Données projet'!$E$13+1,1))-AVERAGE(OFFSET($H$3,0,0,'Données projet'!$E$13+1,1))</f>
        <v>263.15518481854753</v>
      </c>
      <c r="CZ22" s="59">
        <f t="shared" si="42"/>
        <v>210.80755370263819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4.1500000000000004</v>
      </c>
      <c r="DO22" s="12">
        <f>IF('Données projet'!$A$166&gt;35,DO21+DN22-DW21,IF(A22&lt;'Données projet'!$A$166,$DL$205^A22,IF(A22='Données projet'!$A$166,'Données projet'!$B$166,DO21+DN22-DW21)))</f>
        <v>66.54634201777975</v>
      </c>
      <c r="DP22" s="17">
        <f>DO22*VLOOKUP('Données projet'!$B$14,Paramètres!$A$1:$I$89,3,0)*VLOOKUP('Données projet'!$B$14,Paramètres!$A$1:$I$89,5,0)</f>
        <v>53.982392644822937</v>
      </c>
      <c r="DQ22" s="13">
        <f t="shared" si="43"/>
        <v>15.637598082924665</v>
      </c>
      <c r="DR22" s="20">
        <f t="shared" si="16"/>
        <v>121.2548171841604</v>
      </c>
      <c r="DS22" s="59">
        <f t="shared" si="17"/>
        <v>414.58815051749372</v>
      </c>
      <c r="DT22" s="59">
        <f ca="1">AVERAGE(OFFSET($DS$3,0,0,'Données projet'!$E$14+1,1))-AVERAGE(OFFSET($H$3,0,0,'Données projet'!$E$14+1,1))</f>
        <v>203.21935660591021</v>
      </c>
      <c r="DU22" s="59">
        <f t="shared" si="44"/>
        <v>180.54762778843178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12.3</v>
      </c>
      <c r="EJ22" s="12">
        <f>IF('Données projet'!$A$192&gt;35,EJ21+EI22-ER21,IF(A22&lt;'Données projet'!$A$192,$EG$205^A22,IF(A22='Données projet'!$A$192,'Données projet'!$B$192,EJ21+EI22-ER21)))</f>
        <v>121.69999999999999</v>
      </c>
      <c r="EK22" s="17">
        <f>EJ22*VLOOKUP('Données projet'!$B$15,Paramètres!$A$1:$I$89,3,0)*VLOOKUP('Données projet'!$B$15,Paramètres!$A$1:$I$89,5,0)</f>
        <v>81.636359999999996</v>
      </c>
      <c r="EL22" s="13">
        <f t="shared" si="45"/>
        <v>22.536809944298909</v>
      </c>
      <c r="EM22" s="20">
        <f t="shared" si="19"/>
        <v>181.43493765298726</v>
      </c>
      <c r="EN22" s="59">
        <f t="shared" si="20"/>
        <v>474.76827098632054</v>
      </c>
      <c r="EO22" s="59">
        <f ca="1">AVERAGE(OFFSET($EN$3,0,0,'Données projet'!$E$15+1,1))-AVERAGE(OFFSET($H$3,0,0,'Données projet'!$E$15+1,1))</f>
        <v>207.93042467236967</v>
      </c>
      <c r="EP22" s="59">
        <f t="shared" si="46"/>
        <v>250.70954318710835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20.658974358974358</v>
      </c>
      <c r="N23" s="13">
        <f>IF('Données projet'!$A$36&gt;35,N22+M23-V22,IF(A23&lt;'Données projet'!$A$36,$K$205^A23,IF(A23='Données projet'!$A$36,'Données projet'!$B$36,N22+M23-V22)))</f>
        <v>154.925641025641</v>
      </c>
      <c r="O23" s="13">
        <f>N23*VLOOKUP('Données projet'!$B$9,Paramètres!$A$1:$I$89,3,0)*VLOOKUP('Données projet'!$B$9,Paramètres!$A$1:$I$89,5,0)</f>
        <v>86.603433333333314</v>
      </c>
      <c r="P23" s="13">
        <f t="shared" si="33"/>
        <v>23.744229853900279</v>
      </c>
      <c r="Q23" s="20">
        <f t="shared" si="2"/>
        <v>192.18884671776516</v>
      </c>
      <c r="R23" s="59">
        <f t="shared" si="0"/>
        <v>485.52218005109847</v>
      </c>
      <c r="S23" s="59">
        <f ca="1">AVERAGE(OFFSET($R$3,0,0,'Données projet'!$E$9+1,1))-AVERAGE(OFFSET($H$3,0,0,'Données projet'!$E$9+1,1))</f>
        <v>255.5374979188561</v>
      </c>
      <c r="T23" s="59">
        <f t="shared" si="34"/>
        <v>343.10418468620901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13.314164264646086</v>
      </c>
      <c r="AB23" s="21">
        <f>EXP(-LN(2)/2)*AB22+(1-EXP(-LN(2)/2))/(LN(2)/2)*V23*Y23*VLOOKUP('Données projet'!$B$9,Paramètres!$A$1:$I$89,3,0)*0.475*44/12</f>
        <v>10.962867526607443</v>
      </c>
      <c r="AC23" s="22">
        <f t="shared" si="3"/>
        <v>24.277031791253528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7.2264102564102561</v>
      </c>
      <c r="AI23" s="13">
        <f>IF('Données projet'!$A$62&gt;35,AI22+AH23-AQ22,IF(A23&lt;'Données projet'!$A$62,$AF$205^A23,IF(A23='Données projet'!$A$62,'Données projet'!$B$62,AI22+AH23-AQ22)))</f>
        <v>36.0879804560157</v>
      </c>
      <c r="AJ23" s="13">
        <f>AI23*VLOOKUP('Données projet'!$B$10,Paramètres!$A$1:$I$89,3,0)*VLOOKUP('Données projet'!$B$10,Paramètres!$A$1:$I$89,5,0)</f>
        <v>16.889174853415348</v>
      </c>
      <c r="AK23" s="13">
        <f t="shared" si="35"/>
        <v>5.6010168004690764</v>
      </c>
      <c r="AL23" s="20">
        <f t="shared" si="4"/>
        <v>39.170417130515368</v>
      </c>
      <c r="AM23" s="59">
        <f t="shared" si="5"/>
        <v>332.50375046384869</v>
      </c>
      <c r="AN23" s="59">
        <f ca="1">AVERAGE(OFFSET($AM$3,0,0,'Données projet'!$E$10+1,1))-AVERAGE(OFFSET($H$3,0,0,'Données projet'!$E$10+1,1))</f>
        <v>158.58786357608489</v>
      </c>
      <c r="AO23" s="59">
        <f t="shared" si="36"/>
        <v>163.20074068819849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106</v>
      </c>
      <c r="BB23" s="12">
        <f>VLOOKUP(A23,'Données projet'!$A$87:$I$107,9,0)</f>
        <v>5.3</v>
      </c>
      <c r="BC23" s="12">
        <f t="array" ref="BC23">INDEX(BB:BB,MIN(IF(ISNUMBER(BB23:BB219),ROW(BB23:BB219),"")))</f>
        <v>5.3</v>
      </c>
      <c r="BD23" s="12">
        <f>IF('Données projet'!$A$88&gt;35,BD22+BC23-BL22,IF(A23&lt;'Données projet'!$A$88,$BA$205^A23,IF(A23='Données projet'!$A$88,'Données projet'!$B$88,BD22+BC23-BL22)))</f>
        <v>106</v>
      </c>
      <c r="BE23" s="13">
        <f>BD23*VLOOKUP('Données projet'!$B$11,Paramètres!$A$1:$I$89,3,0)*VLOOKUP('Données projet'!$B$11,Paramètres!$A$1:$I$89,5,0)</f>
        <v>63.388000000000012</v>
      </c>
      <c r="BF23" s="13">
        <f t="shared" si="37"/>
        <v>18.022104085041263</v>
      </c>
      <c r="BG23" s="20">
        <f t="shared" si="7"/>
        <v>141.78926461478019</v>
      </c>
      <c r="BH23" s="59">
        <f t="shared" si="8"/>
        <v>435.12259794811348</v>
      </c>
      <c r="BI23" s="59">
        <f ca="1">AVERAGE(OFFSET($BH$3,0,0,'Données projet'!$E$11+1,1))-AVERAGE(OFFSET($H$3,0,0,'Données projet'!$E$11+1,1))</f>
        <v>316.58509520829671</v>
      </c>
      <c r="BJ23" s="59">
        <f t="shared" si="38"/>
        <v>240.71332110643596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29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0.22500000000000001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5.1558075517675315</v>
      </c>
      <c r="BR23" s="21">
        <f>EXP(-LN(2)/2)*BR22+(1-EXP(-LN(2)/2))/(LN(2)/2)*BL23*BO23*VLOOKUP('Données projet'!$B$11,Paramètres!$A$1:$I$89,3,0)*0.475*44/12</f>
        <v>9.8175862518519867</v>
      </c>
      <c r="BS23" s="22">
        <f t="shared" si="9"/>
        <v>14.973393803619519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134</v>
      </c>
      <c r="BW23" s="12">
        <f>VLOOKUP(A23,'Données projet'!$A$113:$I$133,9,0)</f>
        <v>12.3</v>
      </c>
      <c r="BX23" s="12">
        <f t="array" ref="BX23">INDEX(BW:BW,MIN(IF(ISNUMBER(BW23:BW219),ROW(BW23:BW219),"")))</f>
        <v>12.3</v>
      </c>
      <c r="BY23" s="12">
        <f>IF('Données projet'!$A$114&gt;35,BY22+BX23-CG22,IF(A23&lt;'Données projet'!$A$114,$BV$205^A23,IF(A23='Données projet'!$A$114,'Données projet'!$B$114,BY22+BX23-CG22)))</f>
        <v>134</v>
      </c>
      <c r="BZ23" s="13">
        <f>BY23*VLOOKUP('Données projet'!$B$12,Paramètres!$A$1:$I$89,3,0)*VLOOKUP('Données projet'!$B$12,Paramètres!$A$1:$I$89,5,0)</f>
        <v>106.61040000000001</v>
      </c>
      <c r="CA23" s="13">
        <f t="shared" si="39"/>
        <v>28.530919434405451</v>
      </c>
      <c r="CB23" s="20">
        <f t="shared" si="10"/>
        <v>235.3711313482562</v>
      </c>
      <c r="CC23" s="59">
        <f t="shared" si="11"/>
        <v>528.70446468158957</v>
      </c>
      <c r="CD23" s="59">
        <f ca="1">AVERAGE(OFFSET($CC$3,0,0,'Données projet'!$E$12+1,1))-AVERAGE(OFFSET($H$3,0,0,'Données projet'!$E$12+1,1))</f>
        <v>260.20517190557814</v>
      </c>
      <c r="CE23" s="59">
        <f t="shared" si="40"/>
        <v>307.22009971147133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67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0.13250000000000001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7.7771272982896171</v>
      </c>
      <c r="CM23" s="21">
        <f>EXP(-LN(2)/2)*CM22+(1-EXP(-LN(2)/2))/(LN(2)/2)*CG23*CJ23*VLOOKUP('Données projet'!$B$12,Paramètres!$A$1:$I$89,3,0)*0.475*44/12</f>
        <v>12.573722722105785</v>
      </c>
      <c r="CN23" s="22">
        <f t="shared" si="12"/>
        <v>20.350850020395402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4.0628205128205126</v>
      </c>
      <c r="CT23" s="12">
        <f>IF('Données projet'!$A$140&gt;35,CT22+CS23-DB22,IF(A23&lt;'Données projet'!$A$140,$CQ$205^A23,IF(A23='Données projet'!$A$140,'Données projet'!$B$140,CT22+CS23-DB22)))</f>
        <v>24.582870545650774</v>
      </c>
      <c r="CU23" s="17">
        <f>CT23*VLOOKUP('Données projet'!$B$13,Paramètres!$A$1:$I$89,3,0)*VLOOKUP('Données projet'!$B$13,Paramètres!$A$1:$I$89,5,0)</f>
        <v>24.927030733289886</v>
      </c>
      <c r="CV23" s="13">
        <f t="shared" si="41"/>
        <v>7.900419678784556</v>
      </c>
      <c r="CW23" s="20">
        <f t="shared" si="13"/>
        <v>57.174476134362976</v>
      </c>
      <c r="CX23" s="59">
        <f t="shared" si="14"/>
        <v>350.50780946769629</v>
      </c>
      <c r="CY23" s="59">
        <f ca="1">AVERAGE(OFFSET($CX$3,0,0,'Données projet'!$E$13+1,1))-AVERAGE(OFFSET($H$3,0,0,'Données projet'!$E$13+1,1))</f>
        <v>263.15518481854753</v>
      </c>
      <c r="CZ23" s="59">
        <f t="shared" si="42"/>
        <v>210.80755370263819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83</v>
      </c>
      <c r="DM23" s="12">
        <f>VLOOKUP(A23,'Données projet'!$A$165:$I$185,9,0)</f>
        <v>4.1500000000000004</v>
      </c>
      <c r="DN23" s="12">
        <f t="array" ref="DN23">INDEX(DM:DM,MIN(IF(ISNUMBER(DM23:DM219),ROW(DM23:DM219),"")))</f>
        <v>4.1500000000000004</v>
      </c>
      <c r="DO23" s="12">
        <f>IF('Données projet'!$A$166&gt;35,DO22+DN23-DW22,IF(A23&lt;'Données projet'!$A$166,$DL$205^A23,IF(A23='Données projet'!$A$166,'Données projet'!$B$166,DO22+DN23-DW22)))</f>
        <v>83</v>
      </c>
      <c r="DP23" s="17">
        <f>DO23*VLOOKUP('Données projet'!$B$14,Paramètres!$A$1:$I$89,3,0)*VLOOKUP('Données projet'!$B$14,Paramètres!$A$1:$I$89,5,0)</f>
        <v>67.329600000000013</v>
      </c>
      <c r="DQ23" s="13">
        <f t="shared" si="43"/>
        <v>19.008809433660961</v>
      </c>
      <c r="DR23" s="20">
        <f t="shared" si="16"/>
        <v>150.37272976362621</v>
      </c>
      <c r="DS23" s="59">
        <f t="shared" si="17"/>
        <v>443.7060630969595</v>
      </c>
      <c r="DT23" s="59">
        <f ca="1">AVERAGE(OFFSET($DS$3,0,0,'Données projet'!$E$14+1,1))-AVERAGE(OFFSET($H$3,0,0,'Données projet'!$E$14+1,1))</f>
        <v>203.21935660591021</v>
      </c>
      <c r="DU23" s="59">
        <f t="shared" si="44"/>
        <v>180.54762778843178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18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0.1075</v>
      </c>
      <c r="DZ23" s="16">
        <f>IF(ISNA(VLOOKUP(A23,'Données projet'!$A$165:$I$185,7,0)),0%,VLOOKUP(A23,'Données projet'!$A$165:$I$185,7,0))</f>
        <v>0.25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1.7283936560348121</v>
      </c>
      <c r="EC23" s="21">
        <f>EXP(-LN(2)/2)*EC22+(1-EXP(-LN(2)/2))/(LN(2)/2)*DW23*DZ23*VLOOKUP('Données projet'!$B$14,Paramètres!$A$1:$I$89,3,0)*0.475*44/12</f>
        <v>3.4442506490755087</v>
      </c>
      <c r="ED23" s="22">
        <f t="shared" si="18"/>
        <v>5.172644305110321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>
        <f>VLOOKUP(A23,'Données projet'!$A$191:$I$211,2,0)</f>
        <v>134</v>
      </c>
      <c r="EH23" s="12">
        <f>VLOOKUP(A23,'Données projet'!$A$191:$I$211,9,0)</f>
        <v>12.3</v>
      </c>
      <c r="EI23" s="12">
        <f t="array" ref="EI23">INDEX(EH:EH,MIN(IF(ISNUMBER(EH23:EH219),ROW(EH23:EH219),"")))</f>
        <v>12.3</v>
      </c>
      <c r="EJ23" s="12">
        <f>IF('Données projet'!$A$192&gt;35,EJ22+EI23-ER22,IF(A23&lt;'Données projet'!$A$192,$EG$205^A23,IF(A23='Données projet'!$A$192,'Données projet'!$B$192,EJ22+EI23-ER22)))</f>
        <v>134</v>
      </c>
      <c r="EK23" s="17">
        <f>EJ23*VLOOKUP('Données projet'!$B$15,Paramètres!$A$1:$I$89,3,0)*VLOOKUP('Données projet'!$B$15,Paramètres!$A$1:$I$89,5,0)</f>
        <v>89.887199999999993</v>
      </c>
      <c r="EL23" s="13">
        <f t="shared" si="45"/>
        <v>24.538018364785955</v>
      </c>
      <c r="EM23" s="20">
        <f t="shared" si="19"/>
        <v>199.29058865200216</v>
      </c>
      <c r="EN23" s="59">
        <f t="shared" si="20"/>
        <v>492.62392198533547</v>
      </c>
      <c r="EO23" s="59">
        <f ca="1">AVERAGE(OFFSET($EN$3,0,0,'Données projet'!$E$15+1,1))-AVERAGE(OFFSET($H$3,0,0,'Données projet'!$E$15+1,1))</f>
        <v>207.93042467236967</v>
      </c>
      <c r="EP23" s="59">
        <f t="shared" si="46"/>
        <v>250.70954318710835</v>
      </c>
      <c r="EQ23" s="15">
        <f>IF(ISNA(VLOOKUP(A23,'Données projet'!$A$191:$I$211,3,0)),0,VLOOKUP(A23,'Données projet'!$A$191:$I$211,3,0))</f>
        <v>1</v>
      </c>
      <c r="ER23" s="15">
        <f>IF(ISNA(VLOOKUP(A23,'Données projet'!$A$191:$I$211,4,0)),0,VLOOKUP(A23,'Données projet'!$A$191:$I$211,4,0))</f>
        <v>67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0.13250000000000001</v>
      </c>
      <c r="EU23" s="16">
        <f>IF(ISNA(VLOOKUP(A23,'Données projet'!$A$191:$I$211,7,0)),0%,VLOOKUP(A23,'Données projet'!$A$191:$I$211,7,0))</f>
        <v>0.25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6.5571857613030105</v>
      </c>
      <c r="EX23" s="21">
        <f>EXP(-LN(2)/2)*EX22+(1-EXP(-LN(2)/2))/(LN(2)/2)*ER23*EU23*VLOOKUP('Données projet'!$B$15,Paramètres!$A$1:$I$89,3,0)*0.475*44/12</f>
        <v>10.601374059814683</v>
      </c>
      <c r="EY23" s="22">
        <f t="shared" si="21"/>
        <v>17.158559821117692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20.658974358974358</v>
      </c>
      <c r="N24" s="13">
        <f>IF('Données projet'!$A$36&gt;35,N23+M24-V23,IF(A24&lt;'Données projet'!$A$36,$K$205^A24,IF(A24='Données projet'!$A$36,'Données projet'!$B$36,N23+M24-V23)))</f>
        <v>175.58461538461535</v>
      </c>
      <c r="O24" s="13">
        <f>N24*VLOOKUP('Données projet'!$B$9,Paramètres!$A$1:$I$89,3,0)*VLOOKUP('Données projet'!$B$9,Paramètres!$A$1:$I$89,5,0)</f>
        <v>98.15179999999998</v>
      </c>
      <c r="P24" s="13">
        <f t="shared" si="33"/>
        <v>26.52121247620833</v>
      </c>
      <c r="Q24" s="20">
        <f t="shared" si="2"/>
        <v>217.13883006272945</v>
      </c>
      <c r="R24" s="59">
        <f t="shared" si="0"/>
        <v>510.4721633960628</v>
      </c>
      <c r="S24" s="59">
        <f ca="1">AVERAGE(OFFSET($R$3,0,0,'Données projet'!$E$9+1,1))-AVERAGE(OFFSET($H$3,0,0,'Données projet'!$E$9+1,1))</f>
        <v>255.5374979188561</v>
      </c>
      <c r="T24" s="59">
        <f t="shared" si="34"/>
        <v>343.10418468620901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12.95008774266787</v>
      </c>
      <c r="AB24" s="21">
        <f>EXP(-LN(2)/2)*AB23+(1-EXP(-LN(2)/2))/(LN(2)/2)*V24*Y24*VLOOKUP('Données projet'!$B$9,Paramètres!$A$1:$I$89,3,0)*0.475*44/12</f>
        <v>7.7519179693139169</v>
      </c>
      <c r="AC24" s="22">
        <f t="shared" si="3"/>
        <v>20.702005711981787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7.2264102564102561</v>
      </c>
      <c r="AI24" s="13">
        <f>IF('Données projet'!$A$62&gt;35,AI23+AH24-AQ23,IF(A24&lt;'Données projet'!$A$62,$AF$205^A24,IF(A24='Données projet'!$A$62,'Données projet'!$B$62,AI23+AH24-AQ23)))</f>
        <v>43.17483711984115</v>
      </c>
      <c r="AJ24" s="13">
        <f>AI24*VLOOKUP('Données projet'!$B$10,Paramètres!$A$1:$I$89,3,0)*VLOOKUP('Données projet'!$B$10,Paramètres!$A$1:$I$89,5,0)</f>
        <v>20.205823772085658</v>
      </c>
      <c r="AK24" s="13">
        <f t="shared" si="35"/>
        <v>6.5625277686471071</v>
      </c>
      <c r="AL24" s="20">
        <f t="shared" si="4"/>
        <v>46.621545600109563</v>
      </c>
      <c r="AM24" s="59">
        <f t="shared" si="5"/>
        <v>339.9548789334429</v>
      </c>
      <c r="AN24" s="59">
        <f ca="1">AVERAGE(OFFSET($AM$3,0,0,'Données projet'!$E$10+1,1))-AVERAGE(OFFSET($H$3,0,0,'Données projet'!$E$10+1,1))</f>
        <v>158.58786357608489</v>
      </c>
      <c r="AO24" s="59">
        <f t="shared" si="36"/>
        <v>163.20074068819849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15.3</v>
      </c>
      <c r="BD24" s="12">
        <f>IF('Données projet'!$A$88&gt;35,BD23+BC24-BL23,IF(A24&lt;'Données projet'!$A$88,$BA$205^A24,IF(A24='Données projet'!$A$88,'Données projet'!$B$88,BD23+BC24-BL23)))</f>
        <v>92.3</v>
      </c>
      <c r="BE24" s="13">
        <f>BD24*VLOOKUP('Données projet'!$B$11,Paramètres!$A$1:$I$89,3,0)*VLOOKUP('Données projet'!$B$11,Paramètres!$A$1:$I$89,5,0)</f>
        <v>55.195399999999999</v>
      </c>
      <c r="BF24" s="13">
        <f t="shared" si="37"/>
        <v>15.947677847278364</v>
      </c>
      <c r="BG24" s="20">
        <f t="shared" si="7"/>
        <v>123.90752725067647</v>
      </c>
      <c r="BH24" s="59">
        <f t="shared" si="8"/>
        <v>417.24086058400979</v>
      </c>
      <c r="BI24" s="59">
        <f ca="1">AVERAGE(OFFSET($BH$3,0,0,'Données projet'!$E$11+1,1))-AVERAGE(OFFSET($H$3,0,0,'Données projet'!$E$11+1,1))</f>
        <v>316.58509520829671</v>
      </c>
      <c r="BJ24" s="59">
        <f t="shared" si="38"/>
        <v>240.71332110643596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5.0148217231323127</v>
      </c>
      <c r="BR24" s="21">
        <f>EXP(-LN(2)/2)*BR23+(1-EXP(-LN(2)/2))/(LN(2)/2)*BL24*BO24*VLOOKUP('Données projet'!$B$11,Paramètres!$A$1:$I$89,3,0)*0.475*44/12</f>
        <v>6.9420818135683602</v>
      </c>
      <c r="BS24" s="22">
        <f t="shared" si="9"/>
        <v>11.956903536700672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14.5</v>
      </c>
      <c r="BY24" s="12">
        <f>IF('Données projet'!$A$114&gt;35,BY23+BX24-CG23,IF(A24&lt;'Données projet'!$A$114,$BV$205^A24,IF(A24='Données projet'!$A$114,'Données projet'!$B$114,BY23+BX24-CG23)))</f>
        <v>81.5</v>
      </c>
      <c r="BZ24" s="13">
        <f>BY24*VLOOKUP('Données projet'!$B$12,Paramètres!$A$1:$I$89,3,0)*VLOOKUP('Données projet'!$B$12,Paramètres!$A$1:$I$89,5,0)</f>
        <v>64.841399999999993</v>
      </c>
      <c r="CA24" s="13">
        <f t="shared" si="39"/>
        <v>18.386744053291277</v>
      </c>
      <c r="CB24" s="20">
        <f t="shared" si="10"/>
        <v>144.95568422614897</v>
      </c>
      <c r="CC24" s="59">
        <f t="shared" si="11"/>
        <v>438.28901755948232</v>
      </c>
      <c r="CD24" s="59">
        <f ca="1">AVERAGE(OFFSET($CC$3,0,0,'Données projet'!$E$12+1,1))-AVERAGE(OFFSET($H$3,0,0,'Données projet'!$E$12+1,1))</f>
        <v>260.20517190557814</v>
      </c>
      <c r="CE24" s="59">
        <f t="shared" si="40"/>
        <v>307.22009971147133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7.5644613433365375</v>
      </c>
      <c r="CM24" s="21">
        <f>EXP(-LN(2)/2)*CM23+(1-EXP(-LN(2)/2))/(LN(2)/2)*CG24*CJ24*VLOOKUP('Données projet'!$B$12,Paramètres!$A$1:$I$89,3,0)*0.475*44/12</f>
        <v>8.8909646015603769</v>
      </c>
      <c r="CN24" s="22">
        <f t="shared" si="12"/>
        <v>16.455425944896916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4.0628205128205126</v>
      </c>
      <c r="CT24" s="12">
        <f>IF('Données projet'!$A$140&gt;35,CT23+CS24-DB23,IF(A24&lt;'Données projet'!$A$140,$CQ$205^A24,IF(A24='Données projet'!$A$140,'Données projet'!$B$140,CT23+CS24-DB23)))</f>
        <v>28.851222752799568</v>
      </c>
      <c r="CU24" s="17">
        <f>CT24*VLOOKUP('Données projet'!$B$13,Paramètres!$A$1:$I$89,3,0)*VLOOKUP('Données projet'!$B$13,Paramètres!$A$1:$I$89,5,0)</f>
        <v>29.255139871338766</v>
      </c>
      <c r="CV24" s="13">
        <f t="shared" si="41"/>
        <v>9.1009831459745705</v>
      </c>
      <c r="CW24" s="20">
        <f t="shared" si="13"/>
        <v>66.803580921820739</v>
      </c>
      <c r="CX24" s="59">
        <f t="shared" si="14"/>
        <v>360.13691425515407</v>
      </c>
      <c r="CY24" s="59">
        <f ca="1">AVERAGE(OFFSET($CX$3,0,0,'Données projet'!$E$13+1,1))-AVERAGE(OFFSET($H$3,0,0,'Données projet'!$E$13+1,1))</f>
        <v>263.15518481854753</v>
      </c>
      <c r="CZ24" s="59">
        <f t="shared" si="42"/>
        <v>210.80755370263819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7</v>
      </c>
      <c r="DO24" s="12">
        <f>IF('Données projet'!$A$166&gt;35,DO23+DN24-DW23,IF(A24&lt;'Données projet'!$A$166,$DL$205^A24,IF(A24='Données projet'!$A$166,'Données projet'!$B$166,DO23+DN24-DW23)))</f>
        <v>72</v>
      </c>
      <c r="DP24" s="17">
        <f>DO24*VLOOKUP('Données projet'!$B$14,Paramètres!$A$1:$I$89,3,0)*VLOOKUP('Données projet'!$B$14,Paramètres!$A$1:$I$89,5,0)</f>
        <v>58.406399999999998</v>
      </c>
      <c r="DQ24" s="13">
        <f t="shared" si="43"/>
        <v>16.764727871227809</v>
      </c>
      <c r="DR24" s="20">
        <f t="shared" si="16"/>
        <v>130.92304770905511</v>
      </c>
      <c r="DS24" s="59">
        <f t="shared" si="17"/>
        <v>424.2563810423884</v>
      </c>
      <c r="DT24" s="59">
        <f ca="1">AVERAGE(OFFSET($DS$3,0,0,'Données projet'!$E$14+1,1))-AVERAGE(OFFSET($H$3,0,0,'Données projet'!$E$14+1,1))</f>
        <v>203.21935660591021</v>
      </c>
      <c r="DU24" s="59">
        <f t="shared" si="44"/>
        <v>180.54762778843178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1.681130640618268</v>
      </c>
      <c r="EC24" s="21">
        <f>EXP(-LN(2)/2)*EC23+(1-EXP(-LN(2)/2))/(LN(2)/2)*DW24*DZ24*VLOOKUP('Données projet'!$B$14,Paramètres!$A$1:$I$89,3,0)*0.475*44/12</f>
        <v>2.4354529900674602</v>
      </c>
      <c r="ED24" s="22">
        <f t="shared" si="18"/>
        <v>4.116583630685728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14.5</v>
      </c>
      <c r="EJ24" s="12">
        <f>IF('Données projet'!$A$192&gt;35,EJ23+EI24-ER23,IF(A24&lt;'Données projet'!$A$192,$EG$205^A24,IF(A24='Données projet'!$A$192,'Données projet'!$B$192,EJ23+EI24-ER23)))</f>
        <v>81.5</v>
      </c>
      <c r="EK24" s="17">
        <f>EJ24*VLOOKUP('Données projet'!$B$15,Paramètres!$A$1:$I$89,3,0)*VLOOKUP('Données projet'!$B$15,Paramètres!$A$1:$I$89,5,0)</f>
        <v>54.670200000000001</v>
      </c>
      <c r="EL24" s="13">
        <f t="shared" si="45"/>
        <v>15.813519935295519</v>
      </c>
      <c r="EM24" s="20">
        <f t="shared" si="19"/>
        <v>122.75914555397303</v>
      </c>
      <c r="EN24" s="59">
        <f t="shared" si="20"/>
        <v>416.09247888730636</v>
      </c>
      <c r="EO24" s="59">
        <f ca="1">AVERAGE(OFFSET($EN$3,0,0,'Données projet'!$E$15+1,1))-AVERAGE(OFFSET($H$3,0,0,'Données projet'!$E$15+1,1))</f>
        <v>207.93042467236967</v>
      </c>
      <c r="EP24" s="59">
        <f t="shared" si="46"/>
        <v>250.70954318710835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6.3778791718327668</v>
      </c>
      <c r="EX24" s="21">
        <f>EXP(-LN(2)/2)*EX23+(1-EXP(-LN(2)/2))/(LN(2)/2)*ER24*EU24*VLOOKUP('Données projet'!$B$15,Paramètres!$A$1:$I$89,3,0)*0.475*44/12</f>
        <v>7.4963034875901222</v>
      </c>
      <c r="EY24" s="22">
        <f t="shared" si="21"/>
        <v>13.874182659422889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20.658974358974358</v>
      </c>
      <c r="N25" s="13">
        <f>IF('Données projet'!$A$36&gt;35,N24+M25-V24,IF(A25&lt;'Données projet'!$A$36,$K$205^A25,IF(A25='Données projet'!$A$36,'Données projet'!$B$36,N24+M25-V24)))</f>
        <v>196.24358974358969</v>
      </c>
      <c r="O25" s="13">
        <f>N25*VLOOKUP('Données projet'!$B$9,Paramètres!$A$1:$I$89,3,0)*VLOOKUP('Données projet'!$B$9,Paramètres!$A$1:$I$89,5,0)</f>
        <v>109.70016666666663</v>
      </c>
      <c r="P25" s="13">
        <f t="shared" si="33"/>
        <v>29.260330282475415</v>
      </c>
      <c r="Q25" s="20">
        <f t="shared" si="2"/>
        <v>242.02286551975575</v>
      </c>
      <c r="R25" s="59">
        <f t="shared" si="0"/>
        <v>535.35619885308904</v>
      </c>
      <c r="S25" s="59">
        <f ca="1">AVERAGE(OFFSET($R$3,0,0,'Données projet'!$E$9+1,1))-AVERAGE(OFFSET($H$3,0,0,'Données projet'!$E$9+1,1))</f>
        <v>255.5374979188561</v>
      </c>
      <c r="T25" s="59">
        <f t="shared" si="34"/>
        <v>343.10418468620901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12.5959669123291</v>
      </c>
      <c r="AB25" s="21">
        <f>EXP(-LN(2)/2)*AB24+(1-EXP(-LN(2)/2))/(LN(2)/2)*V25*Y25*VLOOKUP('Données projet'!$B$9,Paramètres!$A$1:$I$89,3,0)*0.475*44/12</f>
        <v>5.4814337633037225</v>
      </c>
      <c r="AC25" s="22">
        <f t="shared" si="3"/>
        <v>18.077400675632823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7.2264102564102561</v>
      </c>
      <c r="AI25" s="13">
        <f>IF('Données projet'!$A$62&gt;35,AI24+AH25-AQ24,IF(A25&lt;'Données projet'!$A$62,$AF$205^A25,IF(A25='Données projet'!$A$62,'Données projet'!$B$62,AI24+AH25-AQ24)))</f>
        <v>51.653390873361616</v>
      </c>
      <c r="AJ25" s="13">
        <f>AI25*VLOOKUP('Données projet'!$B$10,Paramètres!$A$1:$I$89,3,0)*VLOOKUP('Données projet'!$B$10,Paramètres!$A$1:$I$89,5,0)</f>
        <v>24.173786928733236</v>
      </c>
      <c r="AK25" s="13">
        <f t="shared" si="35"/>
        <v>7.6890986491341353</v>
      </c>
      <c r="AL25" s="20">
        <f t="shared" si="4"/>
        <v>55.494525714785674</v>
      </c>
      <c r="AM25" s="59">
        <f t="shared" si="5"/>
        <v>348.82785904811897</v>
      </c>
      <c r="AN25" s="59">
        <f ca="1">AVERAGE(OFFSET($AM$3,0,0,'Données projet'!$E$10+1,1))-AVERAGE(OFFSET($H$3,0,0,'Données projet'!$E$10+1,1))</f>
        <v>158.58786357608489</v>
      </c>
      <c r="AO25" s="59">
        <f t="shared" si="36"/>
        <v>163.20074068819849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15.3</v>
      </c>
      <c r="BD25" s="12">
        <f>IF('Données projet'!$A$88&gt;35,BD24+BC25-BL24,IF(A25&lt;'Données projet'!$A$88,$BA$205^A25,IF(A25='Données projet'!$A$88,'Données projet'!$B$88,BD24+BC25-BL24)))</f>
        <v>107.6</v>
      </c>
      <c r="BE25" s="13">
        <f>BD25*VLOOKUP('Données projet'!$B$11,Paramètres!$A$1:$I$89,3,0)*VLOOKUP('Données projet'!$B$11,Paramètres!$A$1:$I$89,5,0)</f>
        <v>64.344800000000006</v>
      </c>
      <c r="BF25" s="13">
        <f t="shared" si="37"/>
        <v>18.262261364330694</v>
      </c>
      <c r="BG25" s="20">
        <f t="shared" si="7"/>
        <v>143.87396520954266</v>
      </c>
      <c r="BH25" s="59">
        <f t="shared" si="8"/>
        <v>437.20729854287595</v>
      </c>
      <c r="BI25" s="59">
        <f ca="1">AVERAGE(OFFSET($BH$3,0,0,'Données projet'!$E$11+1,1))-AVERAGE(OFFSET($H$3,0,0,'Données projet'!$E$11+1,1))</f>
        <v>316.58509520829671</v>
      </c>
      <c r="BJ25" s="59">
        <f t="shared" si="38"/>
        <v>240.71332110643596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4.8776911593952468</v>
      </c>
      <c r="BR25" s="21">
        <f>EXP(-LN(2)/2)*BR24+(1-EXP(-LN(2)/2))/(LN(2)/2)*BL25*BO25*VLOOKUP('Données projet'!$B$11,Paramètres!$A$1:$I$89,3,0)*0.475*44/12</f>
        <v>4.9087931259259934</v>
      </c>
      <c r="BS25" s="22">
        <f t="shared" si="9"/>
        <v>9.7864842853212402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14.5</v>
      </c>
      <c r="BY25" s="12">
        <f>IF('Données projet'!$A$114&gt;35,BY24+BX25-CG24,IF(A25&lt;'Données projet'!$A$114,$BV$205^A25,IF(A25='Données projet'!$A$114,'Données projet'!$B$114,BY24+BX25-CG24)))</f>
        <v>96</v>
      </c>
      <c r="BZ25" s="13">
        <f>BY25*VLOOKUP('Données projet'!$B$12,Paramètres!$A$1:$I$89,3,0)*VLOOKUP('Données projet'!$B$12,Paramètres!$A$1:$I$89,5,0)</f>
        <v>76.377600000000001</v>
      </c>
      <c r="CA25" s="13">
        <f t="shared" si="39"/>
        <v>21.249114127498419</v>
      </c>
      <c r="CB25" s="20">
        <f t="shared" si="10"/>
        <v>170.03319377205972</v>
      </c>
      <c r="CC25" s="59">
        <f t="shared" si="11"/>
        <v>463.36652710539306</v>
      </c>
      <c r="CD25" s="59">
        <f ca="1">AVERAGE(OFFSET($CC$3,0,0,'Données projet'!$E$12+1,1))-AVERAGE(OFFSET($H$3,0,0,'Données projet'!$E$12+1,1))</f>
        <v>260.20517190557814</v>
      </c>
      <c r="CE25" s="59">
        <f t="shared" si="40"/>
        <v>307.22009971147133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7.357610750105267</v>
      </c>
      <c r="CM25" s="21">
        <f>EXP(-LN(2)/2)*CM24+(1-EXP(-LN(2)/2))/(LN(2)/2)*CG25*CJ25*VLOOKUP('Données projet'!$B$12,Paramètres!$A$1:$I$89,3,0)*0.475*44/12</f>
        <v>6.2868613610528934</v>
      </c>
      <c r="CN25" s="22">
        <f t="shared" si="12"/>
        <v>13.64447211115816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4.0628205128205126</v>
      </c>
      <c r="CT25" s="12">
        <f>IF('Données projet'!$A$140&gt;35,CT24+CS25-DB24,IF(A25&lt;'Données projet'!$A$140,$CQ$205^A25,IF(A25='Données projet'!$A$140,'Données projet'!$B$140,CT24+CS25-DB24)))</f>
        <v>33.860693883812012</v>
      </c>
      <c r="CU25" s="17">
        <f>CT25*VLOOKUP('Données projet'!$B$13,Paramètres!$A$1:$I$89,3,0)*VLOOKUP('Données projet'!$B$13,Paramètres!$A$1:$I$89,5,0)</f>
        <v>34.334743598185383</v>
      </c>
      <c r="CV25" s="13">
        <f t="shared" si="41"/>
        <v>10.48398662234813</v>
      </c>
      <c r="CW25" s="20">
        <f t="shared" si="13"/>
        <v>78.059288467429198</v>
      </c>
      <c r="CX25" s="59">
        <f t="shared" si="14"/>
        <v>371.39262180076253</v>
      </c>
      <c r="CY25" s="59">
        <f ca="1">AVERAGE(OFFSET($CX$3,0,0,'Données projet'!$E$13+1,1))-AVERAGE(OFFSET($H$3,0,0,'Données projet'!$E$13+1,1))</f>
        <v>263.15518481854753</v>
      </c>
      <c r="CZ25" s="59">
        <f t="shared" si="42"/>
        <v>210.80755370263819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7</v>
      </c>
      <c r="DO25" s="12">
        <f>IF('Données projet'!$A$166&gt;35,DO24+DN25-DW24,IF(A25&lt;'Données projet'!$A$166,$DL$205^A25,IF(A25='Données projet'!$A$166,'Données projet'!$B$166,DO24+DN25-DW24)))</f>
        <v>79</v>
      </c>
      <c r="DP25" s="17">
        <f>DO25*VLOOKUP('Données projet'!$B$14,Paramètres!$A$1:$I$89,3,0)*VLOOKUP('Données projet'!$B$14,Paramètres!$A$1:$I$89,5,0)</f>
        <v>64.084800000000001</v>
      </c>
      <c r="DQ25" s="13">
        <f t="shared" si="43"/>
        <v>18.197042620605469</v>
      </c>
      <c r="DR25" s="20">
        <f t="shared" si="16"/>
        <v>143.30754256422119</v>
      </c>
      <c r="DS25" s="59">
        <f t="shared" si="17"/>
        <v>436.64087589755451</v>
      </c>
      <c r="DT25" s="59">
        <f ca="1">AVERAGE(OFFSET($DS$3,0,0,'Données projet'!$E$14+1,1))-AVERAGE(OFFSET($H$3,0,0,'Données projet'!$E$14+1,1))</f>
        <v>203.21935660591021</v>
      </c>
      <c r="DU25" s="59">
        <f t="shared" si="44"/>
        <v>180.54762778843178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1.6351600348437434</v>
      </c>
      <c r="EC25" s="21">
        <f>EXP(-LN(2)/2)*EC24+(1-EXP(-LN(2)/2))/(LN(2)/2)*DW25*DZ25*VLOOKUP('Données projet'!$B$14,Paramètres!$A$1:$I$89,3,0)*0.475*44/12</f>
        <v>1.7221253245377546</v>
      </c>
      <c r="ED25" s="22">
        <f t="shared" si="18"/>
        <v>3.357285359381498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14.5</v>
      </c>
      <c r="EJ25" s="12">
        <f>IF('Données projet'!$A$192&gt;35,EJ24+EI25-ER24,IF(A25&lt;'Données projet'!$A$192,$EG$205^A25,IF(A25='Données projet'!$A$192,'Données projet'!$B$192,EJ24+EI25-ER24)))</f>
        <v>96</v>
      </c>
      <c r="EK25" s="17">
        <f>EJ25*VLOOKUP('Données projet'!$B$15,Paramètres!$A$1:$I$89,3,0)*VLOOKUP('Données projet'!$B$15,Paramètres!$A$1:$I$89,5,0)</f>
        <v>64.396799999999999</v>
      </c>
      <c r="EL25" s="13">
        <f t="shared" si="45"/>
        <v>18.275301428499329</v>
      </c>
      <c r="EM25" s="20">
        <f t="shared" si="19"/>
        <v>143.987243321303</v>
      </c>
      <c r="EN25" s="59">
        <f t="shared" si="20"/>
        <v>437.32057665463628</v>
      </c>
      <c r="EO25" s="59">
        <f ca="1">AVERAGE(OFFSET($EN$3,0,0,'Données projet'!$E$15+1,1))-AVERAGE(OFFSET($H$3,0,0,'Données projet'!$E$15+1,1))</f>
        <v>207.93042467236967</v>
      </c>
      <c r="EP25" s="59">
        <f t="shared" si="46"/>
        <v>250.70954318710835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6.2034757304809114</v>
      </c>
      <c r="EX25" s="21">
        <f>EXP(-LN(2)/2)*EX24+(1-EXP(-LN(2)/2))/(LN(2)/2)*ER25*EU25*VLOOKUP('Données projet'!$B$15,Paramètres!$A$1:$I$89,3,0)*0.475*44/12</f>
        <v>5.3006870299073423</v>
      </c>
      <c r="EY25" s="22">
        <f t="shared" si="21"/>
        <v>11.504162760388255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20.658974358974358</v>
      </c>
      <c r="N26" s="13">
        <f>IF('Données projet'!$A$36&gt;35,N25+M26-V25,IF(A26&lt;'Données projet'!$A$36,$K$205^A26,IF(A26='Données projet'!$A$36,'Données projet'!$B$36,N25+M26-V25)))</f>
        <v>216.90256410256404</v>
      </c>
      <c r="O26" s="13">
        <f>N26*VLOOKUP('Données projet'!$B$9,Paramètres!$A$1:$I$89,3,0)*VLOOKUP('Données projet'!$B$9,Paramètres!$A$1:$I$89,5,0)</f>
        <v>121.2485333333333</v>
      </c>
      <c r="P26" s="13">
        <f t="shared" si="33"/>
        <v>31.966023537079113</v>
      </c>
      <c r="Q26" s="20">
        <f t="shared" si="2"/>
        <v>266.84868654930165</v>
      </c>
      <c r="R26" s="59">
        <f t="shared" si="0"/>
        <v>560.1820198826349</v>
      </c>
      <c r="S26" s="59">
        <f ca="1">AVERAGE(OFFSET($R$3,0,0,'Données projet'!$E$9+1,1))-AVERAGE(OFFSET($H$3,0,0,'Données projet'!$E$9+1,1))</f>
        <v>255.5374979188561</v>
      </c>
      <c r="T26" s="59">
        <f t="shared" si="34"/>
        <v>343.10418468620901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12.251529534718349</v>
      </c>
      <c r="AB26" s="21">
        <f>EXP(-LN(2)/2)*AB25+(1-EXP(-LN(2)/2))/(LN(2)/2)*V26*Y26*VLOOKUP('Données projet'!$B$9,Paramètres!$A$1:$I$89,3,0)*0.475*44/12</f>
        <v>3.8759589846569593</v>
      </c>
      <c r="AC26" s="22">
        <f t="shared" si="3"/>
        <v>16.127488519375309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7.2264102564102561</v>
      </c>
      <c r="AI26" s="13">
        <f>IF('Données projet'!$A$62&gt;35,AI25+AH26-AQ25,IF(A26&lt;'Données projet'!$A$62,$AF$205^A26,IF(A26='Données projet'!$A$62,'Données projet'!$B$62,AI25+AH26-AQ25)))</f>
        <v>61.796939298472864</v>
      </c>
      <c r="AJ26" s="13">
        <f>AI26*VLOOKUP('Données projet'!$B$10,Paramètres!$A$1:$I$89,3,0)*VLOOKUP('Données projet'!$B$10,Paramètres!$A$1:$I$89,5,0)</f>
        <v>28.920967591685301</v>
      </c>
      <c r="AK26" s="13">
        <f t="shared" si="35"/>
        <v>9.0090648177637647</v>
      </c>
      <c r="AL26" s="20">
        <f t="shared" si="4"/>
        <v>66.061473113123796</v>
      </c>
      <c r="AM26" s="59">
        <f t="shared" si="5"/>
        <v>359.3948064464571</v>
      </c>
      <c r="AN26" s="59">
        <f ca="1">AVERAGE(OFFSET($AM$3,0,0,'Données projet'!$E$10+1,1))-AVERAGE(OFFSET($H$3,0,0,'Données projet'!$E$10+1,1))</f>
        <v>158.58786357608489</v>
      </c>
      <c r="AO26" s="59">
        <f t="shared" si="36"/>
        <v>163.20074068819849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15.3</v>
      </c>
      <c r="BD26" s="12">
        <f>IF('Données projet'!$A$88&gt;35,BD25+BC26-BL25,IF(A26&lt;'Données projet'!$A$88,$BA$205^A26,IF(A26='Données projet'!$A$88,'Données projet'!$B$88,BD25+BC26-BL25)))</f>
        <v>122.89999999999999</v>
      </c>
      <c r="BE26" s="13">
        <f>BD26*VLOOKUP('Données projet'!$B$11,Paramètres!$A$1:$I$89,3,0)*VLOOKUP('Données projet'!$B$11,Paramètres!$A$1:$I$89,5,0)</f>
        <v>73.494200000000006</v>
      </c>
      <c r="BF26" s="13">
        <f t="shared" si="37"/>
        <v>20.538715292443293</v>
      </c>
      <c r="BG26" s="20">
        <f t="shared" si="7"/>
        <v>163.77399413433875</v>
      </c>
      <c r="BH26" s="59">
        <f t="shared" si="8"/>
        <v>457.10732746767206</v>
      </c>
      <c r="BI26" s="59">
        <f ca="1">AVERAGE(OFFSET($BH$3,0,0,'Données projet'!$E$11+1,1))-AVERAGE(OFFSET($H$3,0,0,'Données projet'!$E$11+1,1))</f>
        <v>316.58509520829671</v>
      </c>
      <c r="BJ26" s="59">
        <f t="shared" si="38"/>
        <v>240.71332110643596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4.7443104381349537</v>
      </c>
      <c r="BR26" s="21">
        <f>EXP(-LN(2)/2)*BR25+(1-EXP(-LN(2)/2))/(LN(2)/2)*BL26*BO26*VLOOKUP('Données projet'!$B$11,Paramètres!$A$1:$I$89,3,0)*0.475*44/12</f>
        <v>3.4710409067841801</v>
      </c>
      <c r="BS26" s="22">
        <f t="shared" si="9"/>
        <v>8.2153513449191333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14.5</v>
      </c>
      <c r="BY26" s="12">
        <f>IF('Données projet'!$A$114&gt;35,BY25+BX26-CG25,IF(A26&lt;'Données projet'!$A$114,$BV$205^A26,IF(A26='Données projet'!$A$114,'Données projet'!$B$114,BY25+BX26-CG25)))</f>
        <v>110.5</v>
      </c>
      <c r="BZ26" s="13">
        <f>BY26*VLOOKUP('Données projet'!$B$12,Paramètres!$A$1:$I$89,3,0)*VLOOKUP('Données projet'!$B$12,Paramètres!$A$1:$I$89,5,0)</f>
        <v>87.913800000000009</v>
      </c>
      <c r="CA26" s="13">
        <f t="shared" si="39"/>
        <v>24.061399085756083</v>
      </c>
      <c r="CB26" s="20">
        <f t="shared" si="10"/>
        <v>195.02347174102519</v>
      </c>
      <c r="CC26" s="59">
        <f t="shared" si="11"/>
        <v>488.35680507435848</v>
      </c>
      <c r="CD26" s="59">
        <f ca="1">AVERAGE(OFFSET($CC$3,0,0,'Données projet'!$E$12+1,1))-AVERAGE(OFFSET($H$3,0,0,'Données projet'!$E$12+1,1))</f>
        <v>260.20517190557814</v>
      </c>
      <c r="CE26" s="59">
        <f t="shared" si="40"/>
        <v>307.22009971147133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7.156416497223705</v>
      </c>
      <c r="CM26" s="21">
        <f>EXP(-LN(2)/2)*CM25+(1-EXP(-LN(2)/2))/(LN(2)/2)*CG26*CJ26*VLOOKUP('Données projet'!$B$12,Paramètres!$A$1:$I$89,3,0)*0.475*44/12</f>
        <v>4.4454823007801894</v>
      </c>
      <c r="CN26" s="22">
        <f t="shared" si="12"/>
        <v>11.601898798003894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4.0628205128205126</v>
      </c>
      <c r="CT26" s="12">
        <f>IF('Données projet'!$A$140&gt;35,CT25+CS26-DB25,IF(A26&lt;'Données projet'!$A$140,$CQ$205^A26,IF(A26='Données projet'!$A$140,'Données projet'!$B$140,CT25+CS26-DB25)))</f>
        <v>39.739965273463824</v>
      </c>
      <c r="CU26" s="17">
        <f>CT26*VLOOKUP('Données projet'!$B$13,Paramètres!$A$1:$I$89,3,0)*VLOOKUP('Données projet'!$B$13,Paramètres!$A$1:$I$89,5,0)</f>
        <v>40.29632478729232</v>
      </c>
      <c r="CV26" s="13">
        <f t="shared" si="41"/>
        <v>12.077154054085931</v>
      </c>
      <c r="CW26" s="20">
        <f t="shared" si="13"/>
        <v>91.217142315400451</v>
      </c>
      <c r="CX26" s="59">
        <f t="shared" si="14"/>
        <v>384.55047564873377</v>
      </c>
      <c r="CY26" s="59">
        <f ca="1">AVERAGE(OFFSET($CX$3,0,0,'Données projet'!$E$13+1,1))-AVERAGE(OFFSET($H$3,0,0,'Données projet'!$E$13+1,1))</f>
        <v>263.15518481854753</v>
      </c>
      <c r="CZ26" s="59">
        <f t="shared" si="42"/>
        <v>210.80755370263819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7</v>
      </c>
      <c r="DO26" s="12">
        <f>IF('Données projet'!$A$166&gt;35,DO25+DN26-DW25,IF(A26&lt;'Données projet'!$A$166,$DL$205^A26,IF(A26='Données projet'!$A$166,'Données projet'!$B$166,DO25+DN26-DW25)))</f>
        <v>86</v>
      </c>
      <c r="DP26" s="17">
        <f>DO26*VLOOKUP('Données projet'!$B$14,Paramètres!$A$1:$I$89,3,0)*VLOOKUP('Données projet'!$B$14,Paramètres!$A$1:$I$89,5,0)</f>
        <v>69.763199999999998</v>
      </c>
      <c r="DQ26" s="13">
        <f t="shared" si="43"/>
        <v>19.614640193079413</v>
      </c>
      <c r="DR26" s="20">
        <f t="shared" si="16"/>
        <v>155.66640500294662</v>
      </c>
      <c r="DS26" s="59">
        <f t="shared" si="17"/>
        <v>448.99973833627996</v>
      </c>
      <c r="DT26" s="59">
        <f ca="1">AVERAGE(OFFSET($DS$3,0,0,'Données projet'!$E$14+1,1))-AVERAGE(OFFSET($H$3,0,0,'Données projet'!$E$14+1,1))</f>
        <v>203.21935660591021</v>
      </c>
      <c r="DU26" s="59">
        <f t="shared" si="44"/>
        <v>180.54762778843178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1.5904464977016122</v>
      </c>
      <c r="EC26" s="21">
        <f>EXP(-LN(2)/2)*EC25+(1-EXP(-LN(2)/2))/(LN(2)/2)*DW26*DZ26*VLOOKUP('Données projet'!$B$14,Paramètres!$A$1:$I$89,3,0)*0.475*44/12</f>
        <v>1.2177264950337303</v>
      </c>
      <c r="ED26" s="22">
        <f t="shared" si="18"/>
        <v>2.8081729927353427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14.5</v>
      </c>
      <c r="EJ26" s="12">
        <f>IF('Données projet'!$A$192&gt;35,EJ25+EI26-ER25,IF(A26&lt;'Données projet'!$A$192,$EG$205^A26,IF(A26='Données projet'!$A$192,'Données projet'!$B$192,EJ25+EI26-ER25)))</f>
        <v>110.5</v>
      </c>
      <c r="EK26" s="17">
        <f>EJ26*VLOOKUP('Données projet'!$B$15,Paramètres!$A$1:$I$89,3,0)*VLOOKUP('Données projet'!$B$15,Paramètres!$A$1:$I$89,5,0)</f>
        <v>74.123400000000004</v>
      </c>
      <c r="EL26" s="13">
        <f t="shared" si="45"/>
        <v>20.694007215790624</v>
      </c>
      <c r="EM26" s="20">
        <f t="shared" si="19"/>
        <v>165.14031756750202</v>
      </c>
      <c r="EN26" s="59">
        <f t="shared" si="20"/>
        <v>458.47365090083531</v>
      </c>
      <c r="EO26" s="59">
        <f ca="1">AVERAGE(OFFSET($EN$3,0,0,'Données projet'!$E$15+1,1))-AVERAGE(OFFSET($H$3,0,0,'Données projet'!$E$15+1,1))</f>
        <v>207.93042467236967</v>
      </c>
      <c r="EP26" s="59">
        <f t="shared" si="46"/>
        <v>250.70954318710835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6.0338413604043009</v>
      </c>
      <c r="EX26" s="21">
        <f>EXP(-LN(2)/2)*EX25+(1-EXP(-LN(2)/2))/(LN(2)/2)*ER26*EU26*VLOOKUP('Données projet'!$B$15,Paramètres!$A$1:$I$89,3,0)*0.475*44/12</f>
        <v>3.748151743795062</v>
      </c>
      <c r="EY26" s="22">
        <f t="shared" si="21"/>
        <v>9.781993104199362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237.56153846153845</v>
      </c>
      <c r="L27" s="12">
        <f>VLOOKUP(A27,'Données projet'!$A$35:$I$55,9,0)</f>
        <v>20.658974358974358</v>
      </c>
      <c r="M27" s="12">
        <f t="array" ref="M27">INDEX(L:L,MIN(IF(ISNUMBER(L27:L223),ROW(L27:L223),"")))</f>
        <v>20.658974358974358</v>
      </c>
      <c r="N27" s="13">
        <f>IF('Données projet'!$A$36&gt;35,N26+M27-V26,IF(A27&lt;'Données projet'!$A$36,$K$205^A27,IF(A27='Données projet'!$A$36,'Données projet'!$B$36,N26+M27-V26)))</f>
        <v>237.56153846153839</v>
      </c>
      <c r="O27" s="13">
        <f>N27*VLOOKUP('Données projet'!$B$9,Paramètres!$A$1:$I$89,3,0)*VLOOKUP('Données projet'!$B$9,Paramètres!$A$1:$I$89,5,0)</f>
        <v>132.79689999999997</v>
      </c>
      <c r="P27" s="13">
        <f t="shared" si="33"/>
        <v>34.641837967861036</v>
      </c>
      <c r="Q27" s="20">
        <f t="shared" si="2"/>
        <v>291.62246862735793</v>
      </c>
      <c r="R27" s="59">
        <f t="shared" si="0"/>
        <v>584.95580196069125</v>
      </c>
      <c r="S27" s="59">
        <f ca="1">AVERAGE(OFFSET($R$3,0,0,'Données projet'!$E$9+1,1))-AVERAGE(OFFSET($H$3,0,0,'Données projet'!$E$9+1,1))</f>
        <v>255.5374979188561</v>
      </c>
      <c r="T27" s="59">
        <f t="shared" si="34"/>
        <v>343.10418468620901</v>
      </c>
      <c r="U27" s="15">
        <f>IF(ISNA(VLOOKUP(A27,'Données projet'!$A$35:$I$55,3,0)),0,VLOOKUP(A27,'Données projet'!$A$35:$I$55,3,0))</f>
        <v>2</v>
      </c>
      <c r="V27" s="15">
        <f>IF(ISNA(VLOOKUP(A27,'Données projet'!$A$35:$I$55,4,0)),0,VLOOKUP(A27,'Données projet'!$A$35:$I$55,4,0))</f>
        <v>42.661538461538463</v>
      </c>
      <c r="W27" s="16">
        <f>IF(ISNA(VLOOKUP(A27,'Données projet'!$A$35:$I$55,5,0)),0%,VLOOKUP(A27,'Données projet'!$A$35:$I$55,5,0)*VLOOKUP('Données projet'!$B$9,Paramètres!$A$1:$I$89,7,0))</f>
        <v>0.11000000000000001</v>
      </c>
      <c r="X27" s="16">
        <f>IF(ISNA(VLOOKUP(A27,'Données projet'!$A$35:$I$55,6,0)),0%,VLOOKUP(A27,'Données projet'!$A$35:$I$55,6,0)*VLOOKUP('Données projet'!$B$9,Paramètres!$A$1:$I$89,7,0))</f>
        <v>0.22000000000000003</v>
      </c>
      <c r="Y27" s="16">
        <f>IF(ISNA(VLOOKUP(A27,'Données projet'!$A$35:$I$55,7,0)),0%,VLOOKUP(A27,'Données projet'!$A$35:$I$55,7,0))</f>
        <v>0.4</v>
      </c>
      <c r="Z27" s="21">
        <f>EXP(-LN(2)/35)*Z26+(1-EXP(-LN(2)/35))/(LN(2)/35)*V27*W27*VLOOKUP('Données projet'!$B$9,Paramètres!$A$1:$I$89,3,0)*0.475*44/12</f>
        <v>3.4799208202474183</v>
      </c>
      <c r="AA27" s="21">
        <f>EXP(-LN(2)/25)*AA26+(1-EXP(-LN(2)/25))/(LN(2)/25)*Calculateur!V27*Calculateur!X27*VLOOKUP('Données projet'!$B$9,Paramètres!$A$1:$I$89,3,0)*0.475*44/12</f>
        <v>18.848948907360175</v>
      </c>
      <c r="AB27" s="21">
        <f>EXP(-LN(2)/2)*AB26+(1-EXP(-LN(2)/2))/(LN(2)/2)*V27*Y27*VLOOKUP('Données projet'!$B$9,Paramètres!$A$1:$I$89,3,0)*0.475*44/12</f>
        <v>13.541216635632523</v>
      </c>
      <c r="AC27" s="22">
        <f t="shared" si="3"/>
        <v>35.870086363240119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7.2264102564102561</v>
      </c>
      <c r="AI27" s="13">
        <f>IF('Données projet'!$A$62&gt;35,AI26+AH27-AQ26,IF(A27&lt;'Données projet'!$A$62,$AF$205^A27,IF(A27='Données projet'!$A$62,'Données projet'!$B$62,AI26+AH27-AQ26)))</f>
        <v>73.932449391789717</v>
      </c>
      <c r="AJ27" s="13">
        <f>AI27*VLOOKUP('Données projet'!$B$10,Paramètres!$A$1:$I$89,3,0)*VLOOKUP('Données projet'!$B$10,Paramètres!$A$1:$I$89,5,0)</f>
        <v>34.600386315357589</v>
      </c>
      <c r="AK27" s="13">
        <f t="shared" si="35"/>
        <v>10.555625905490055</v>
      </c>
      <c r="AL27" s="20">
        <f t="shared" si="4"/>
        <v>78.646721284642979</v>
      </c>
      <c r="AM27" s="59">
        <f t="shared" si="5"/>
        <v>371.98005461797629</v>
      </c>
      <c r="AN27" s="59">
        <f ca="1">AVERAGE(OFFSET($AM$3,0,0,'Données projet'!$E$10+1,1))-AVERAGE(OFFSET($H$3,0,0,'Données projet'!$E$10+1,1))</f>
        <v>158.58786357608489</v>
      </c>
      <c r="AO27" s="59">
        <f t="shared" si="36"/>
        <v>163.20074068819849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15.3</v>
      </c>
      <c r="BD27" s="12">
        <f>IF('Données projet'!$A$88&gt;35,BD26+BC27-BL26,IF(A27&lt;'Données projet'!$A$88,$BA$205^A27,IF(A27='Données projet'!$A$88,'Données projet'!$B$88,BD26+BC27-BL26)))</f>
        <v>138.19999999999999</v>
      </c>
      <c r="BE27" s="13">
        <f>BD27*VLOOKUP('Données projet'!$B$11,Paramètres!$A$1:$I$89,3,0)*VLOOKUP('Données projet'!$B$11,Paramètres!$A$1:$I$89,5,0)</f>
        <v>82.643599999999992</v>
      </c>
      <c r="BF27" s="13">
        <f t="shared" si="37"/>
        <v>22.782329978216918</v>
      </c>
      <c r="BG27" s="20">
        <f t="shared" si="7"/>
        <v>183.61682804539444</v>
      </c>
      <c r="BH27" s="59">
        <f t="shared" si="8"/>
        <v>476.95016137872778</v>
      </c>
      <c r="BI27" s="59">
        <f ca="1">AVERAGE(OFFSET($BH$3,0,0,'Données projet'!$E$11+1,1))-AVERAGE(OFFSET($H$3,0,0,'Données projet'!$E$11+1,1))</f>
        <v>316.58509520829671</v>
      </c>
      <c r="BJ27" s="59">
        <f t="shared" si="38"/>
        <v>240.71332110643596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4.6145770197117111</v>
      </c>
      <c r="BR27" s="21">
        <f>EXP(-LN(2)/2)*BR26+(1-EXP(-LN(2)/2))/(LN(2)/2)*BL27*BO27*VLOOKUP('Données projet'!$B$11,Paramètres!$A$1:$I$89,3,0)*0.475*44/12</f>
        <v>2.4543965629629967</v>
      </c>
      <c r="BS27" s="22">
        <f t="shared" si="9"/>
        <v>7.0689735826747082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14.5</v>
      </c>
      <c r="BY27" s="12">
        <f>IF('Données projet'!$A$114&gt;35,BY26+BX27-CG26,IF(A27&lt;'Données projet'!$A$114,$BV$205^A27,IF(A27='Données projet'!$A$114,'Données projet'!$B$114,BY26+BX27-CG26)))</f>
        <v>125</v>
      </c>
      <c r="BZ27" s="13">
        <f>BY27*VLOOKUP('Données projet'!$B$12,Paramètres!$A$1:$I$89,3,0)*VLOOKUP('Données projet'!$B$12,Paramètres!$A$1:$I$89,5,0)</f>
        <v>99.45</v>
      </c>
      <c r="CA27" s="13">
        <f t="shared" si="39"/>
        <v>26.830925603893352</v>
      </c>
      <c r="CB27" s="20">
        <f t="shared" si="10"/>
        <v>219.93927876011423</v>
      </c>
      <c r="CC27" s="59">
        <f t="shared" si="11"/>
        <v>513.27261209344761</v>
      </c>
      <c r="CD27" s="59">
        <f ca="1">AVERAGE(OFFSET($CC$3,0,0,'Données projet'!$E$12+1,1))-AVERAGE(OFFSET($H$3,0,0,'Données projet'!$E$12+1,1))</f>
        <v>260.20517190557814</v>
      </c>
      <c r="CE27" s="59">
        <f t="shared" si="40"/>
        <v>307.22009971147133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6.960723911767535</v>
      </c>
      <c r="CM27" s="21">
        <f>EXP(-LN(2)/2)*CM26+(1-EXP(-LN(2)/2))/(LN(2)/2)*CG27*CJ27*VLOOKUP('Données projet'!$B$12,Paramètres!$A$1:$I$89,3,0)*0.475*44/12</f>
        <v>3.1434306805264476</v>
      </c>
      <c r="CN27" s="22">
        <f t="shared" si="12"/>
        <v>10.104154592293982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4.0628205128205126</v>
      </c>
      <c r="CT27" s="12">
        <f>IF('Données projet'!$A$140&gt;35,CT26+CS27-DB26,IF(A27&lt;'Données projet'!$A$140,$CQ$205^A27,IF(A27='Données projet'!$A$140,'Données projet'!$B$140,CT26+CS27-DB26)))</f>
        <v>46.640061345320483</v>
      </c>
      <c r="CU27" s="17">
        <f>CT27*VLOOKUP('Données projet'!$B$13,Paramètres!$A$1:$I$89,3,0)*VLOOKUP('Données projet'!$B$13,Paramètres!$A$1:$I$89,5,0)</f>
        <v>47.293022204154973</v>
      </c>
      <c r="CV27" s="13">
        <f t="shared" si="41"/>
        <v>13.912422373299071</v>
      </c>
      <c r="CW27" s="20">
        <f t="shared" si="13"/>
        <v>106.5994826390658</v>
      </c>
      <c r="CX27" s="59">
        <f t="shared" si="14"/>
        <v>399.93281597239911</v>
      </c>
      <c r="CY27" s="59">
        <f ca="1">AVERAGE(OFFSET($CX$3,0,0,'Données projet'!$E$13+1,1))-AVERAGE(OFFSET($H$3,0,0,'Données projet'!$E$13+1,1))</f>
        <v>263.15518481854753</v>
      </c>
      <c r="CZ27" s="59">
        <f t="shared" si="42"/>
        <v>210.80755370263819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7</v>
      </c>
      <c r="DO27" s="12">
        <f>IF('Données projet'!$A$166&gt;35,DO26+DN27-DW26,IF(A27&lt;'Données projet'!$A$166,$DL$205^A27,IF(A27='Données projet'!$A$166,'Données projet'!$B$166,DO26+DN27-DW26)))</f>
        <v>93</v>
      </c>
      <c r="DP27" s="17">
        <f>DO27*VLOOKUP('Données projet'!$B$14,Paramètres!$A$1:$I$89,3,0)*VLOOKUP('Données projet'!$B$14,Paramètres!$A$1:$I$89,5,0)</f>
        <v>75.441600000000008</v>
      </c>
      <c r="DQ27" s="13">
        <f t="shared" si="43"/>
        <v>21.018854688556068</v>
      </c>
      <c r="DR27" s="20">
        <f t="shared" si="16"/>
        <v>168.00195858256848</v>
      </c>
      <c r="DS27" s="59">
        <f t="shared" si="17"/>
        <v>461.33529191590179</v>
      </c>
      <c r="DT27" s="59">
        <f ca="1">AVERAGE(OFFSET($DS$3,0,0,'Données projet'!$E$14+1,1))-AVERAGE(OFFSET($H$3,0,0,'Données projet'!$E$14+1,1))</f>
        <v>203.21935660591021</v>
      </c>
      <c r="DU27" s="59">
        <f t="shared" si="44"/>
        <v>180.54762778843178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1.5469556545840153</v>
      </c>
      <c r="EC27" s="21">
        <f>EXP(-LN(2)/2)*EC26+(1-EXP(-LN(2)/2))/(LN(2)/2)*DW27*DZ27*VLOOKUP('Données projet'!$B$14,Paramètres!$A$1:$I$89,3,0)*0.475*44/12</f>
        <v>0.8610626622688774</v>
      </c>
      <c r="ED27" s="22">
        <f t="shared" si="18"/>
        <v>2.4080183168528926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14.5</v>
      </c>
      <c r="EJ27" s="12">
        <f>IF('Données projet'!$A$192&gt;35,EJ26+EI27-ER26,IF(A27&lt;'Données projet'!$A$192,$EG$205^A27,IF(A27='Données projet'!$A$192,'Données projet'!$B$192,EJ26+EI27-ER26)))</f>
        <v>125</v>
      </c>
      <c r="EK27" s="17">
        <f>EJ27*VLOOKUP('Données projet'!$B$15,Paramètres!$A$1:$I$89,3,0)*VLOOKUP('Données projet'!$B$15,Paramètres!$A$1:$I$89,5,0)</f>
        <v>83.850000000000009</v>
      </c>
      <c r="EL27" s="13">
        <f t="shared" si="45"/>
        <v>23.075938604999987</v>
      </c>
      <c r="EM27" s="20">
        <f t="shared" si="19"/>
        <v>186.22934307037499</v>
      </c>
      <c r="EN27" s="59">
        <f t="shared" si="20"/>
        <v>479.56267640370834</v>
      </c>
      <c r="EO27" s="59">
        <f ca="1">AVERAGE(OFFSET($EN$3,0,0,'Données projet'!$E$15+1,1))-AVERAGE(OFFSET($H$3,0,0,'Données projet'!$E$15+1,1))</f>
        <v>207.93042467236967</v>
      </c>
      <c r="EP27" s="59">
        <f t="shared" si="46"/>
        <v>250.70954318710835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5.8688456510981188</v>
      </c>
      <c r="EX27" s="21">
        <f>EXP(-LN(2)/2)*EX26+(1-EXP(-LN(2)/2))/(LN(2)/2)*ER27*EU27*VLOOKUP('Données projet'!$B$15,Paramètres!$A$1:$I$89,3,0)*0.475*44/12</f>
        <v>2.6503435149536716</v>
      </c>
      <c r="EY27" s="22">
        <f t="shared" si="21"/>
        <v>8.51918916605179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22.828205128205127</v>
      </c>
      <c r="N28" s="13">
        <f>IF('Données projet'!$A$36&gt;35,N27+M28-V27,IF(A28&lt;'Données projet'!$A$36,$K$205^A28,IF(A28='Données projet'!$A$36,'Données projet'!$B$36,N27+M28-V27)))</f>
        <v>217.72820512820502</v>
      </c>
      <c r="O28" s="13">
        <f>N28*VLOOKUP('Données projet'!$B$9,Paramètres!$A$1:$I$89,3,0)*VLOOKUP('Données projet'!$B$9,Paramètres!$A$1:$I$89,5,0)</f>
        <v>121.71006666666661</v>
      </c>
      <c r="P28" s="13">
        <f t="shared" si="33"/>
        <v>32.073515207801002</v>
      </c>
      <c r="Q28" s="20">
        <f t="shared" si="2"/>
        <v>267.83973843136442</v>
      </c>
      <c r="R28" s="59">
        <f t="shared" si="0"/>
        <v>561.17307176469774</v>
      </c>
      <c r="S28" s="59">
        <f ca="1">AVERAGE(OFFSET($R$3,0,0,'Données projet'!$E$9+1,1))-AVERAGE(OFFSET($H$3,0,0,'Données projet'!$E$9+1,1))</f>
        <v>255.5374979188561</v>
      </c>
      <c r="T28" s="59">
        <f t="shared" si="34"/>
        <v>343.10418468620901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3.4116816955044831</v>
      </c>
      <c r="AA28" s="21">
        <f>EXP(-LN(2)/25)*AA27+(1-EXP(-LN(2)/25))/(LN(2)/25)*Calculateur!V28*Calculateur!X28*VLOOKUP('Données projet'!$B$9,Paramètres!$A$1:$I$89,3,0)*0.475*44/12</f>
        <v>18.333523408265268</v>
      </c>
      <c r="AB28" s="21">
        <f>EXP(-LN(2)/2)*AB27+(1-EXP(-LN(2)/2))/(LN(2)/2)*V28*Y28*VLOOKUP('Données projet'!$B$9,Paramètres!$A$1:$I$89,3,0)*0.475*44/12</f>
        <v>9.5750861085718437</v>
      </c>
      <c r="AC28" s="22">
        <f t="shared" si="3"/>
        <v>31.320291212341594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7.2264102564102561</v>
      </c>
      <c r="AI28" s="13">
        <f>IF('Données projet'!$A$62&gt;35,AI27+AH28-AQ27,IF(A28&lt;'Données projet'!$A$62,$AF$205^A28,IF(A28='Données projet'!$A$62,'Données projet'!$B$62,AI27+AH28-AQ27)))</f>
        <v>88.451097014195071</v>
      </c>
      <c r="AJ28" s="13">
        <f>AI28*VLOOKUP('Données projet'!$B$10,Paramètres!$A$1:$I$89,3,0)*VLOOKUP('Données projet'!$B$10,Paramètres!$A$1:$I$89,5,0)</f>
        <v>41.39511340264329</v>
      </c>
      <c r="AK28" s="13">
        <f t="shared" si="35"/>
        <v>12.367680831528276</v>
      </c>
      <c r="AL28" s="20">
        <f t="shared" si="4"/>
        <v>93.636866624515463</v>
      </c>
      <c r="AM28" s="59">
        <f t="shared" si="5"/>
        <v>386.97019995784876</v>
      </c>
      <c r="AN28" s="59">
        <f ca="1">AVERAGE(OFFSET($AM$3,0,0,'Données projet'!$E$10+1,1))-AVERAGE(OFFSET($H$3,0,0,'Données projet'!$E$10+1,1))</f>
        <v>158.58786357608489</v>
      </c>
      <c r="AO28" s="59">
        <f t="shared" si="36"/>
        <v>163.20074068819849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15.3</v>
      </c>
      <c r="BD28" s="12">
        <f>IF('Données projet'!$A$88&gt;35,BD27+BC28-BL27,IF(A28&lt;'Données projet'!$A$88,$BA$205^A28,IF(A28='Données projet'!$A$88,'Données projet'!$B$88,BD27+BC28-BL27)))</f>
        <v>153.5</v>
      </c>
      <c r="BE28" s="13">
        <f>BD28*VLOOKUP('Données projet'!$B$11,Paramètres!$A$1:$I$89,3,0)*VLOOKUP('Données projet'!$B$11,Paramètres!$A$1:$I$89,5,0)</f>
        <v>91.793000000000006</v>
      </c>
      <c r="BF28" s="13">
        <f t="shared" si="37"/>
        <v>24.997155707793262</v>
      </c>
      <c r="BG28" s="20">
        <f t="shared" si="7"/>
        <v>203.40952119107328</v>
      </c>
      <c r="BH28" s="59">
        <f t="shared" si="8"/>
        <v>496.7428545244066</v>
      </c>
      <c r="BI28" s="59">
        <f ca="1">AVERAGE(OFFSET($BH$3,0,0,'Données projet'!$E$11+1,1))-AVERAGE(OFFSET($H$3,0,0,'Données projet'!$E$11+1,1))</f>
        <v>316.58509520829671</v>
      </c>
      <c r="BJ28" s="59">
        <f t="shared" si="38"/>
        <v>240.71332110643596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4.4883911684376354</v>
      </c>
      <c r="BR28" s="21">
        <f>EXP(-LN(2)/2)*BR27+(1-EXP(-LN(2)/2))/(LN(2)/2)*BL28*BO28*VLOOKUP('Données projet'!$B$11,Paramètres!$A$1:$I$89,3,0)*0.475*44/12</f>
        <v>1.73552045339209</v>
      </c>
      <c r="BS28" s="22">
        <f t="shared" si="9"/>
        <v>6.2239116218297257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14.5</v>
      </c>
      <c r="BY28" s="12">
        <f>IF('Données projet'!$A$114&gt;35,BY27+BX28-CG27,IF(A28&lt;'Données projet'!$A$114,$BV$205^A28,IF(A28='Données projet'!$A$114,'Données projet'!$B$114,BY27+BX28-CG27)))</f>
        <v>139.5</v>
      </c>
      <c r="BZ28" s="13">
        <f>BY28*VLOOKUP('Données projet'!$B$12,Paramètres!$A$1:$I$89,3,0)*VLOOKUP('Données projet'!$B$12,Paramètres!$A$1:$I$89,5,0)</f>
        <v>110.9862</v>
      </c>
      <c r="CA28" s="13">
        <f t="shared" si="39"/>
        <v>29.563220146103436</v>
      </c>
      <c r="CB28" s="20">
        <f t="shared" si="10"/>
        <v>244.79024008779683</v>
      </c>
      <c r="CC28" s="59">
        <f t="shared" si="11"/>
        <v>538.12357342113012</v>
      </c>
      <c r="CD28" s="59">
        <f ca="1">AVERAGE(OFFSET($CC$3,0,0,'Données projet'!$E$12+1,1))-AVERAGE(OFFSET($H$3,0,0,'Données projet'!$E$12+1,1))</f>
        <v>260.20517190557814</v>
      </c>
      <c r="CE28" s="59">
        <f t="shared" si="40"/>
        <v>307.22009971147133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6.7703825503516901</v>
      </c>
      <c r="CM28" s="21">
        <f>EXP(-LN(2)/2)*CM27+(1-EXP(-LN(2)/2))/(LN(2)/2)*CG28*CJ28*VLOOKUP('Données projet'!$B$12,Paramètres!$A$1:$I$89,3,0)*0.475*44/12</f>
        <v>2.2227411503900951</v>
      </c>
      <c r="CN28" s="22">
        <f t="shared" si="12"/>
        <v>8.9931237007417852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4.0628205128205126</v>
      </c>
      <c r="CT28" s="12">
        <f>IF('Données projet'!$A$140&gt;35,CT27+CS28-DB27,IF(A28&lt;'Données projet'!$A$140,$CQ$205^A28,IF(A28='Données projet'!$A$140,'Données projet'!$B$140,CT27+CS28-DB27)))</f>
        <v>54.738229068051083</v>
      </c>
      <c r="CU28" s="17">
        <f>CT28*VLOOKUP('Données projet'!$B$13,Paramètres!$A$1:$I$89,3,0)*VLOOKUP('Données projet'!$B$13,Paramètres!$A$1:$I$89,5,0)</f>
        <v>55.504564275003808</v>
      </c>
      <c r="CV28" s="13">
        <f t="shared" si="41"/>
        <v>16.026581711739372</v>
      </c>
      <c r="CW28" s="20">
        <f t="shared" si="13"/>
        <v>124.58341259357769</v>
      </c>
      <c r="CX28" s="59">
        <f t="shared" si="14"/>
        <v>417.91674592691101</v>
      </c>
      <c r="CY28" s="59">
        <f ca="1">AVERAGE(OFFSET($CX$3,0,0,'Données projet'!$E$13+1,1))-AVERAGE(OFFSET($H$3,0,0,'Données projet'!$E$13+1,1))</f>
        <v>263.15518481854753</v>
      </c>
      <c r="CZ28" s="59">
        <f t="shared" si="42"/>
        <v>210.80755370263819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7</v>
      </c>
      <c r="DO28" s="12">
        <f>IF('Données projet'!$A$166&gt;35,DO27+DN28-DW27,IF(A28&lt;'Données projet'!$A$166,$DL$205^A28,IF(A28='Données projet'!$A$166,'Données projet'!$B$166,DO27+DN28-DW27)))</f>
        <v>100</v>
      </c>
      <c r="DP28" s="17">
        <f>DO28*VLOOKUP('Données projet'!$B$14,Paramètres!$A$1:$I$89,3,0)*VLOOKUP('Données projet'!$B$14,Paramètres!$A$1:$I$89,5,0)</f>
        <v>81.12</v>
      </c>
      <c r="DQ28" s="13">
        <f t="shared" si="43"/>
        <v>22.410807975569174</v>
      </c>
      <c r="DR28" s="20">
        <f t="shared" si="16"/>
        <v>180.31615722411632</v>
      </c>
      <c r="DS28" s="59">
        <f t="shared" si="17"/>
        <v>473.64949055744967</v>
      </c>
      <c r="DT28" s="59">
        <f ca="1">AVERAGE(OFFSET($DS$3,0,0,'Données projet'!$E$14+1,1))-AVERAGE(OFFSET($H$3,0,0,'Données projet'!$E$14+1,1))</f>
        <v>203.21935660591021</v>
      </c>
      <c r="DU28" s="59">
        <f t="shared" si="44"/>
        <v>180.54762778843178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1.5046540708585532</v>
      </c>
      <c r="EC28" s="21">
        <f>EXP(-LN(2)/2)*EC27+(1-EXP(-LN(2)/2))/(LN(2)/2)*DW28*DZ28*VLOOKUP('Données projet'!$B$14,Paramètres!$A$1:$I$89,3,0)*0.475*44/12</f>
        <v>0.60886324751686516</v>
      </c>
      <c r="ED28" s="22">
        <f t="shared" si="18"/>
        <v>2.1135173183754183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14.5</v>
      </c>
      <c r="EJ28" s="12">
        <f>IF('Données projet'!$A$192&gt;35,EJ27+EI28-ER27,IF(A28&lt;'Données projet'!$A$192,$EG$205^A28,IF(A28='Données projet'!$A$192,'Données projet'!$B$192,EJ27+EI28-ER27)))</f>
        <v>139.5</v>
      </c>
      <c r="EK28" s="17">
        <f>EJ28*VLOOKUP('Données projet'!$B$15,Paramètres!$A$1:$I$89,3,0)*VLOOKUP('Données projet'!$B$15,Paramètres!$A$1:$I$89,5,0)</f>
        <v>93.576599999999999</v>
      </c>
      <c r="EL28" s="13">
        <f t="shared" si="45"/>
        <v>25.42584863187091</v>
      </c>
      <c r="EM28" s="20">
        <f t="shared" si="19"/>
        <v>207.26259803384178</v>
      </c>
      <c r="EN28" s="59">
        <f t="shared" si="20"/>
        <v>500.59593136717513</v>
      </c>
      <c r="EO28" s="59">
        <f ca="1">AVERAGE(OFFSET($EN$3,0,0,'Données projet'!$E$15+1,1))-AVERAGE(OFFSET($H$3,0,0,'Données projet'!$E$15+1,1))</f>
        <v>207.93042467236967</v>
      </c>
      <c r="EP28" s="59">
        <f t="shared" si="46"/>
        <v>250.70954318710835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5.7083617581396613</v>
      </c>
      <c r="EX28" s="21">
        <f>EXP(-LN(2)/2)*EX27+(1-EXP(-LN(2)/2))/(LN(2)/2)*ER28*EU28*VLOOKUP('Données projet'!$B$15,Paramètres!$A$1:$I$89,3,0)*0.475*44/12</f>
        <v>1.8740758718975312</v>
      </c>
      <c r="EY28" s="22">
        <f t="shared" si="21"/>
        <v>7.5824376300371927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22.828205128205127</v>
      </c>
      <c r="N29" s="13">
        <f>IF('Données projet'!$A$36&gt;35,N28+M29-V28,IF(A29&lt;'Données projet'!$A$36,$K$205^A29,IF(A29='Données projet'!$A$36,'Données projet'!$B$36,N28+M29-V28)))</f>
        <v>240.55641025641015</v>
      </c>
      <c r="O29" s="13">
        <f>N29*VLOOKUP('Données projet'!$B$9,Paramètres!$A$1:$I$89,3,0)*VLOOKUP('Données projet'!$B$9,Paramètres!$A$1:$I$89,5,0)</f>
        <v>134.47103333333328</v>
      </c>
      <c r="P29" s="13">
        <f t="shared" si="33"/>
        <v>35.027441907439481</v>
      </c>
      <c r="Q29" s="20">
        <f t="shared" si="2"/>
        <v>295.20984437767919</v>
      </c>
      <c r="R29" s="59">
        <f t="shared" si="0"/>
        <v>588.5431777110125</v>
      </c>
      <c r="S29" s="59">
        <f ca="1">AVERAGE(OFFSET($R$3,0,0,'Données projet'!$E$9+1,1))-AVERAGE(OFFSET($H$3,0,0,'Données projet'!$E$9+1,1))</f>
        <v>255.5374979188561</v>
      </c>
      <c r="T29" s="59">
        <f t="shared" si="34"/>
        <v>343.10418468620901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3.3447806983760007</v>
      </c>
      <c r="AA29" s="21">
        <f>EXP(-LN(2)/25)*AA28+(1-EXP(-LN(2)/25))/(LN(2)/25)*Calculateur!V29*Calculateur!X29*VLOOKUP('Données projet'!$B$9,Paramètres!$A$1:$I$89,3,0)*0.475*44/12</f>
        <v>17.832192246548161</v>
      </c>
      <c r="AB29" s="21">
        <f>EXP(-LN(2)/2)*AB28+(1-EXP(-LN(2)/2))/(LN(2)/2)*V29*Y29*VLOOKUP('Données projet'!$B$9,Paramètres!$A$1:$I$89,3,0)*0.475*44/12</f>
        <v>6.7706083178162624</v>
      </c>
      <c r="AC29" s="22">
        <f t="shared" si="3"/>
        <v>27.947581262740421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7.2264102564102561</v>
      </c>
      <c r="AI29" s="13">
        <f>IF('Données projet'!$A$62&gt;35,AI28+AH29-AQ28,IF(A29&lt;'Données projet'!$A$62,$AF$205^A29,IF(A29='Données projet'!$A$62,'Données projet'!$B$62,AI28+AH29-AQ28)))</f>
        <v>105.82087604801265</v>
      </c>
      <c r="AJ29" s="13">
        <f>AI29*VLOOKUP('Données projet'!$B$10,Paramètres!$A$1:$I$89,3,0)*VLOOKUP('Données projet'!$B$10,Paramètres!$A$1:$I$89,5,0)</f>
        <v>49.524169990469915</v>
      </c>
      <c r="AK29" s="13">
        <f t="shared" si="35"/>
        <v>14.490806184311312</v>
      </c>
      <c r="AL29" s="20">
        <f t="shared" si="4"/>
        <v>111.4927501710773</v>
      </c>
      <c r="AM29" s="59">
        <f t="shared" si="5"/>
        <v>404.82608350441063</v>
      </c>
      <c r="AN29" s="59">
        <f ca="1">AVERAGE(OFFSET($AM$3,0,0,'Données projet'!$E$10+1,1))-AVERAGE(OFFSET($H$3,0,0,'Données projet'!$E$10+1,1))</f>
        <v>158.58786357608489</v>
      </c>
      <c r="AO29" s="59">
        <f t="shared" si="36"/>
        <v>163.20074068819849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15.3</v>
      </c>
      <c r="BD29" s="12">
        <f>IF('Données projet'!$A$88&gt;35,BD28+BC29-BL28,IF(A29&lt;'Données projet'!$A$88,$BA$205^A29,IF(A29='Données projet'!$A$88,'Données projet'!$B$88,BD28+BC29-BL28)))</f>
        <v>168.8</v>
      </c>
      <c r="BE29" s="13">
        <f>BD29*VLOOKUP('Données projet'!$B$11,Paramètres!$A$1:$I$89,3,0)*VLOOKUP('Données projet'!$B$11,Paramètres!$A$1:$I$89,5,0)</f>
        <v>100.94240000000002</v>
      </c>
      <c r="BF29" s="13">
        <f t="shared" si="37"/>
        <v>27.186388642071154</v>
      </c>
      <c r="BG29" s="20">
        <f t="shared" si="7"/>
        <v>223.15764021827397</v>
      </c>
      <c r="BH29" s="59">
        <f t="shared" si="8"/>
        <v>516.49097355160734</v>
      </c>
      <c r="BI29" s="59">
        <f ca="1">AVERAGE(OFFSET($BH$3,0,0,'Données projet'!$E$11+1,1))-AVERAGE(OFFSET($H$3,0,0,'Données projet'!$E$11+1,1))</f>
        <v>316.58509520829671</v>
      </c>
      <c r="BJ29" s="59">
        <f t="shared" si="38"/>
        <v>240.71332110643596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4.3656558759024753</v>
      </c>
      <c r="BR29" s="21">
        <f>EXP(-LN(2)/2)*BR28+(1-EXP(-LN(2)/2))/(LN(2)/2)*BL29*BO29*VLOOKUP('Données projet'!$B$11,Paramètres!$A$1:$I$89,3,0)*0.475*44/12</f>
        <v>1.2271982814814983</v>
      </c>
      <c r="BS29" s="22">
        <f t="shared" si="9"/>
        <v>5.5928541573839734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14.5</v>
      </c>
      <c r="BY29" s="12">
        <f>IF('Données projet'!$A$114&gt;35,BY28+BX29-CG28,IF(A29&lt;'Données projet'!$A$114,$BV$205^A29,IF(A29='Données projet'!$A$114,'Données projet'!$B$114,BY28+BX29-CG28)))</f>
        <v>154</v>
      </c>
      <c r="BZ29" s="13">
        <f>BY29*VLOOKUP('Données projet'!$B$12,Paramètres!$A$1:$I$89,3,0)*VLOOKUP('Données projet'!$B$12,Paramètres!$A$1:$I$89,5,0)</f>
        <v>122.52240000000002</v>
      </c>
      <c r="CA29" s="13">
        <f t="shared" si="39"/>
        <v>32.26259352430629</v>
      </c>
      <c r="CB29" s="20">
        <f t="shared" si="10"/>
        <v>269.58386372150017</v>
      </c>
      <c r="CC29" s="59">
        <f t="shared" si="11"/>
        <v>562.91719705483342</v>
      </c>
      <c r="CD29" s="59">
        <f ca="1">AVERAGE(OFFSET($CC$3,0,0,'Données projet'!$E$12+1,1))-AVERAGE(OFFSET($H$3,0,0,'Données projet'!$E$12+1,1))</f>
        <v>260.20517190557814</v>
      </c>
      <c r="CE29" s="59">
        <f t="shared" si="40"/>
        <v>307.22009971147133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6.585246083473379</v>
      </c>
      <c r="CM29" s="21">
        <f>EXP(-LN(2)/2)*CM28+(1-EXP(-LN(2)/2))/(LN(2)/2)*CG29*CJ29*VLOOKUP('Données projet'!$B$12,Paramètres!$A$1:$I$89,3,0)*0.475*44/12</f>
        <v>1.571715340263224</v>
      </c>
      <c r="CN29" s="22">
        <f t="shared" si="12"/>
        <v>8.1569614237366039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4.0628205128205126</v>
      </c>
      <c r="CT29" s="12">
        <f>IF('Données projet'!$A$140&gt;35,CT28+CS29-DB28,IF(A29&lt;'Données projet'!$A$140,$CQ$205^A29,IF(A29='Données projet'!$A$140,'Données projet'!$B$140,CT28+CS29-DB28)))</f>
        <v>64.242491006222849</v>
      </c>
      <c r="CU29" s="17">
        <f>CT29*VLOOKUP('Données projet'!$B$13,Paramètres!$A$1:$I$89,3,0)*VLOOKUP('Données projet'!$B$13,Paramètres!$A$1:$I$89,5,0)</f>
        <v>65.141885880309971</v>
      </c>
      <c r="CV29" s="13">
        <f t="shared" si="41"/>
        <v>18.462012902656809</v>
      </c>
      <c r="CW29" s="20">
        <f t="shared" si="13"/>
        <v>145.61012371366715</v>
      </c>
      <c r="CX29" s="59">
        <f t="shared" si="14"/>
        <v>438.94345704700049</v>
      </c>
      <c r="CY29" s="59">
        <f ca="1">AVERAGE(OFFSET($CX$3,0,0,'Données projet'!$E$13+1,1))-AVERAGE(OFFSET($H$3,0,0,'Données projet'!$E$13+1,1))</f>
        <v>263.15518481854753</v>
      </c>
      <c r="CZ29" s="59">
        <f t="shared" si="42"/>
        <v>210.80755370263819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7</v>
      </c>
      <c r="DO29" s="12">
        <f>IF('Données projet'!$A$166&gt;35,DO28+DN29-DW28,IF(A29&lt;'Données projet'!$A$166,$DL$205^A29,IF(A29='Données projet'!$A$166,'Données projet'!$B$166,DO28+DN29-DW28)))</f>
        <v>107</v>
      </c>
      <c r="DP29" s="17">
        <f>DO29*VLOOKUP('Données projet'!$B$14,Paramètres!$A$1:$I$89,3,0)*VLOOKUP('Données projet'!$B$14,Paramètres!$A$1:$I$89,5,0)</f>
        <v>86.798400000000001</v>
      </c>
      <c r="DQ29" s="13">
        <f t="shared" si="43"/>
        <v>23.791455965948352</v>
      </c>
      <c r="DR29" s="20">
        <f t="shared" si="16"/>
        <v>192.61066580735999</v>
      </c>
      <c r="DS29" s="59">
        <f t="shared" si="17"/>
        <v>485.94399914069334</v>
      </c>
      <c r="DT29" s="59">
        <f ca="1">AVERAGE(OFFSET($DS$3,0,0,'Données projet'!$E$14+1,1))-AVERAGE(OFFSET($H$3,0,0,'Données projet'!$E$14+1,1))</f>
        <v>203.21935660591021</v>
      </c>
      <c r="DU29" s="59">
        <f t="shared" si="44"/>
        <v>180.54762778843178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1.4635092261646074</v>
      </c>
      <c r="EC29" s="21">
        <f>EXP(-LN(2)/2)*EC28+(1-EXP(-LN(2)/2))/(LN(2)/2)*DW29*DZ29*VLOOKUP('Données projet'!$B$14,Paramètres!$A$1:$I$89,3,0)*0.475*44/12</f>
        <v>0.4305313311344387</v>
      </c>
      <c r="ED29" s="22">
        <f t="shared" si="18"/>
        <v>1.8940405572990462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14.5</v>
      </c>
      <c r="EJ29" s="12">
        <f>IF('Données projet'!$A$192&gt;35,EJ28+EI29-ER28,IF(A29&lt;'Données projet'!$A$192,$EG$205^A29,IF(A29='Données projet'!$A$192,'Données projet'!$B$192,EJ28+EI29-ER28)))</f>
        <v>154</v>
      </c>
      <c r="EK29" s="17">
        <f>EJ29*VLOOKUP('Données projet'!$B$15,Paramètres!$A$1:$I$89,3,0)*VLOOKUP('Données projet'!$B$15,Paramètres!$A$1:$I$89,5,0)</f>
        <v>103.3032</v>
      </c>
      <c r="EL29" s="13">
        <f t="shared" si="45"/>
        <v>27.747444810362108</v>
      </c>
      <c r="EM29" s="20">
        <f t="shared" si="19"/>
        <v>228.24653971138068</v>
      </c>
      <c r="EN29" s="59">
        <f t="shared" si="20"/>
        <v>521.57987304471396</v>
      </c>
      <c r="EO29" s="59">
        <f ca="1">AVERAGE(OFFSET($EN$3,0,0,'Données projet'!$E$15+1,1))-AVERAGE(OFFSET($H$3,0,0,'Données projet'!$E$15+1,1))</f>
        <v>207.93042467236967</v>
      </c>
      <c r="EP29" s="59">
        <f t="shared" si="46"/>
        <v>250.70954318710835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5.5522663056736343</v>
      </c>
      <c r="EX29" s="21">
        <f>EXP(-LN(2)/2)*EX28+(1-EXP(-LN(2)/2))/(LN(2)/2)*ER29*EU29*VLOOKUP('Données projet'!$B$15,Paramètres!$A$1:$I$89,3,0)*0.475*44/12</f>
        <v>1.325171757476836</v>
      </c>
      <c r="EY29" s="22">
        <f t="shared" si="21"/>
        <v>6.8774380631504703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22.828205128205127</v>
      </c>
      <c r="N30" s="13">
        <f>IF('Données projet'!$A$36&gt;35,N29+M30-V29,IF(A30&lt;'Données projet'!$A$36,$K$205^A30,IF(A30='Données projet'!$A$36,'Données projet'!$B$36,N29+M30-V29)))</f>
        <v>263.38461538461524</v>
      </c>
      <c r="O30" s="13">
        <f>N30*VLOOKUP('Données projet'!$B$9,Paramètres!$A$1:$I$89,3,0)*VLOOKUP('Données projet'!$B$9,Paramètres!$A$1:$I$89,5,0)</f>
        <v>147.23199999999994</v>
      </c>
      <c r="P30" s="13">
        <f t="shared" si="33"/>
        <v>37.948867426510738</v>
      </c>
      <c r="Q30" s="20">
        <f t="shared" si="2"/>
        <v>322.52334410117277</v>
      </c>
      <c r="R30" s="59">
        <f t="shared" si="0"/>
        <v>615.85667743450608</v>
      </c>
      <c r="S30" s="59">
        <f ca="1">AVERAGE(OFFSET($R$3,0,0,'Données projet'!$E$9+1,1))-AVERAGE(OFFSET($H$3,0,0,'Données projet'!$E$9+1,1))</f>
        <v>255.5374979188561</v>
      </c>
      <c r="T30" s="59">
        <f t="shared" si="34"/>
        <v>343.10418468620901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3.2791915889956287</v>
      </c>
      <c r="AA30" s="21">
        <f>EXP(-LN(2)/25)*AA29+(1-EXP(-LN(2)/25))/(LN(2)/25)*Calculateur!V30*Calculateur!X30*VLOOKUP('Données projet'!$B$9,Paramètres!$A$1:$I$89,3,0)*0.475*44/12</f>
        <v>17.344570011812067</v>
      </c>
      <c r="AB30" s="21">
        <f>EXP(-LN(2)/2)*AB29+(1-EXP(-LN(2)/2))/(LN(2)/2)*V30*Y30*VLOOKUP('Données projet'!$B$9,Paramètres!$A$1:$I$89,3,0)*0.475*44/12</f>
        <v>4.7875430542859228</v>
      </c>
      <c r="AC30" s="22">
        <f t="shared" si="3"/>
        <v>25.41130465509362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7.2264102564102561</v>
      </c>
      <c r="AI30" s="13">
        <f>IF('Données projet'!$A$62&gt;35,AI29+AH30-AQ29,IF(A30&lt;'Données projet'!$A$62,$AF$205^A30,IF(A30='Données projet'!$A$62,'Données projet'!$B$62,AI29+AH30-AQ29)))</f>
        <v>126.60168370519743</v>
      </c>
      <c r="AJ30" s="13">
        <f>AI30*VLOOKUP('Données projet'!$B$10,Paramètres!$A$1:$I$89,3,0)*VLOOKUP('Données projet'!$B$10,Paramètres!$A$1:$I$89,5,0)</f>
        <v>59.249587974032401</v>
      </c>
      <c r="AK30" s="13">
        <f t="shared" si="35"/>
        <v>16.97840255838226</v>
      </c>
      <c r="AL30" s="20">
        <f t="shared" si="4"/>
        <v>132.76375017728887</v>
      </c>
      <c r="AM30" s="59">
        <f t="shared" si="5"/>
        <v>426.09708351062216</v>
      </c>
      <c r="AN30" s="59">
        <f ca="1">AVERAGE(OFFSET($AM$3,0,0,'Données projet'!$E$10+1,1))-AVERAGE(OFFSET($H$3,0,0,'Données projet'!$E$10+1,1))</f>
        <v>158.58786357608489</v>
      </c>
      <c r="AO30" s="59">
        <f t="shared" si="36"/>
        <v>163.20074068819849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15.3</v>
      </c>
      <c r="BD30" s="12">
        <f>IF('Données projet'!$A$88&gt;35,BD29+BC30-BL29,IF(A30&lt;'Données projet'!$A$88,$BA$205^A30,IF(A30='Données projet'!$A$88,'Données projet'!$B$88,BD29+BC30-BL29)))</f>
        <v>184.10000000000002</v>
      </c>
      <c r="BE30" s="13">
        <f>BD30*VLOOKUP('Données projet'!$B$11,Paramètres!$A$1:$I$89,3,0)*VLOOKUP('Données projet'!$B$11,Paramètres!$A$1:$I$89,5,0)</f>
        <v>110.09180000000001</v>
      </c>
      <c r="BF30" s="13">
        <f t="shared" si="37"/>
        <v>29.352612318376288</v>
      </c>
      <c r="BG30" s="20">
        <f t="shared" si="7"/>
        <v>242.86568478783872</v>
      </c>
      <c r="BH30" s="59">
        <f t="shared" si="8"/>
        <v>536.199018121172</v>
      </c>
      <c r="BI30" s="59">
        <f ca="1">AVERAGE(OFFSET($BH$3,0,0,'Données projet'!$E$11+1,1))-AVERAGE(OFFSET($H$3,0,0,'Données projet'!$E$11+1,1))</f>
        <v>316.58509520829671</v>
      </c>
      <c r="BJ30" s="59">
        <f t="shared" si="38"/>
        <v>240.71332110643596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4.2462767863960575</v>
      </c>
      <c r="BR30" s="21">
        <f>EXP(-LN(2)/2)*BR29+(1-EXP(-LN(2)/2))/(LN(2)/2)*BL30*BO30*VLOOKUP('Données projet'!$B$11,Paramètres!$A$1:$I$89,3,0)*0.475*44/12</f>
        <v>0.86776022669604502</v>
      </c>
      <c r="BS30" s="22">
        <f t="shared" si="9"/>
        <v>5.1140370130921022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14.5</v>
      </c>
      <c r="BY30" s="12">
        <f>IF('Données projet'!$A$114&gt;35,BY29+BX30-CG29,IF(A30&lt;'Données projet'!$A$114,$BV$205^A30,IF(A30='Données projet'!$A$114,'Données projet'!$B$114,BY29+BX30-CG29)))</f>
        <v>168.5</v>
      </c>
      <c r="BZ30" s="13">
        <f>BY30*VLOOKUP('Données projet'!$B$12,Paramètres!$A$1:$I$89,3,0)*VLOOKUP('Données projet'!$B$12,Paramètres!$A$1:$I$89,5,0)</f>
        <v>134.05860000000001</v>
      </c>
      <c r="CA30" s="13">
        <f t="shared" si="39"/>
        <v>34.932498076856362</v>
      </c>
      <c r="CB30" s="20">
        <f t="shared" si="10"/>
        <v>294.32616248385813</v>
      </c>
      <c r="CC30" s="59">
        <f t="shared" si="11"/>
        <v>587.65949581719144</v>
      </c>
      <c r="CD30" s="59">
        <f ca="1">AVERAGE(OFFSET($CC$3,0,0,'Données projet'!$E$12+1,1))-AVERAGE(OFFSET($H$3,0,0,'Données projet'!$E$12+1,1))</f>
        <v>260.20517190557814</v>
      </c>
      <c r="CE30" s="59">
        <f t="shared" si="40"/>
        <v>307.22009971147133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6.4051721830177586</v>
      </c>
      <c r="CM30" s="21">
        <f>EXP(-LN(2)/2)*CM29+(1-EXP(-LN(2)/2))/(LN(2)/2)*CG30*CJ30*VLOOKUP('Données projet'!$B$12,Paramètres!$A$1:$I$89,3,0)*0.475*44/12</f>
        <v>1.1113705751950478</v>
      </c>
      <c r="CN30" s="22">
        <f t="shared" si="12"/>
        <v>7.5165427582128066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4.0628205128205126</v>
      </c>
      <c r="CT30" s="12">
        <f>IF('Données projet'!$A$140&gt;35,CT29+CS30-DB29,IF(A30&lt;'Données projet'!$A$140,$CQ$205^A30,IF(A30='Données projet'!$A$140,'Données projet'!$B$140,CT29+CS30-DB29)))</f>
        <v>75.396988922564091</v>
      </c>
      <c r="CU30" s="17">
        <f>CT30*VLOOKUP('Données projet'!$B$13,Paramètres!$A$1:$I$89,3,0)*VLOOKUP('Données projet'!$B$13,Paramètres!$A$1:$I$89,5,0)</f>
        <v>76.452546767480001</v>
      </c>
      <c r="CV30" s="13">
        <f t="shared" si="41"/>
        <v>21.267537054904178</v>
      </c>
      <c r="CW30" s="20">
        <f t="shared" si="13"/>
        <v>170.19581265731912</v>
      </c>
      <c r="CX30" s="59">
        <f t="shared" si="14"/>
        <v>463.52914599065241</v>
      </c>
      <c r="CY30" s="59">
        <f ca="1">AVERAGE(OFFSET($CX$3,0,0,'Données projet'!$E$13+1,1))-AVERAGE(OFFSET($H$3,0,0,'Données projet'!$E$13+1,1))</f>
        <v>263.15518481854753</v>
      </c>
      <c r="CZ30" s="59">
        <f t="shared" si="42"/>
        <v>210.80755370263819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7</v>
      </c>
      <c r="DO30" s="12">
        <f>IF('Données projet'!$A$166&gt;35,DO29+DN30-DW29,IF(A30&lt;'Données projet'!$A$166,$DL$205^A30,IF(A30='Données projet'!$A$166,'Données projet'!$B$166,DO29+DN30-DW29)))</f>
        <v>114</v>
      </c>
      <c r="DP30" s="17">
        <f>DO30*VLOOKUP('Données projet'!$B$14,Paramètres!$A$1:$I$89,3,0)*VLOOKUP('Données projet'!$B$14,Paramètres!$A$1:$I$89,5,0)</f>
        <v>92.476800000000011</v>
      </c>
      <c r="DQ30" s="13">
        <f t="shared" si="43"/>
        <v>25.161622425346422</v>
      </c>
      <c r="DR30" s="20">
        <f t="shared" si="16"/>
        <v>204.88691905747837</v>
      </c>
      <c r="DS30" s="59">
        <f t="shared" si="17"/>
        <v>498.22025239081165</v>
      </c>
      <c r="DT30" s="59">
        <f ca="1">AVERAGE(OFFSET($DS$3,0,0,'Données projet'!$E$14+1,1))-AVERAGE(OFFSET($H$3,0,0,'Données projet'!$E$14+1,1))</f>
        <v>203.21935660591021</v>
      </c>
      <c r="DU30" s="59">
        <f t="shared" si="44"/>
        <v>180.54762778843178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1.423489489412531</v>
      </c>
      <c r="EC30" s="21">
        <f>EXP(-LN(2)/2)*EC29+(1-EXP(-LN(2)/2))/(LN(2)/2)*DW30*DZ30*VLOOKUP('Données projet'!$B$14,Paramètres!$A$1:$I$89,3,0)*0.475*44/12</f>
        <v>0.30443162375843258</v>
      </c>
      <c r="ED30" s="22">
        <f t="shared" si="18"/>
        <v>1.7279211131709635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14.5</v>
      </c>
      <c r="EJ30" s="12">
        <f>IF('Données projet'!$A$192&gt;35,EJ29+EI30-ER29,IF(A30&lt;'Données projet'!$A$192,$EG$205^A30,IF(A30='Données projet'!$A$192,'Données projet'!$B$192,EJ29+EI30-ER29)))</f>
        <v>168.5</v>
      </c>
      <c r="EK30" s="17">
        <f>EJ30*VLOOKUP('Données projet'!$B$15,Paramètres!$A$1:$I$89,3,0)*VLOOKUP('Données projet'!$B$15,Paramètres!$A$1:$I$89,5,0)</f>
        <v>113.02979999999999</v>
      </c>
      <c r="EL30" s="13">
        <f t="shared" si="45"/>
        <v>30.043696324209073</v>
      </c>
      <c r="EM30" s="20">
        <f t="shared" si="19"/>
        <v>249.18633943133077</v>
      </c>
      <c r="EN30" s="59">
        <f t="shared" si="20"/>
        <v>542.51967276466405</v>
      </c>
      <c r="EO30" s="59">
        <f ca="1">AVERAGE(OFFSET($EN$3,0,0,'Données projet'!$E$15+1,1))-AVERAGE(OFFSET($H$3,0,0,'Données projet'!$E$15+1,1))</f>
        <v>207.93042467236967</v>
      </c>
      <c r="EP30" s="59">
        <f t="shared" si="46"/>
        <v>250.70954318710835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5.4004392915639938</v>
      </c>
      <c r="EX30" s="21">
        <f>EXP(-LN(2)/2)*EX29+(1-EXP(-LN(2)/2))/(LN(2)/2)*ER30*EU30*VLOOKUP('Données projet'!$B$15,Paramètres!$A$1:$I$89,3,0)*0.475*44/12</f>
        <v>0.93703793594876572</v>
      </c>
      <c r="EY30" s="22">
        <f t="shared" si="21"/>
        <v>6.3374772275127595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22.828205128205127</v>
      </c>
      <c r="N31" s="13">
        <f>IF('Données projet'!$A$36&gt;35,N30+M31-V30,IF(A31&lt;'Données projet'!$A$36,$K$205^A31,IF(A31='Données projet'!$A$36,'Données projet'!$B$36,N30+M31-V30)))</f>
        <v>286.21282051282037</v>
      </c>
      <c r="O31" s="13">
        <f>N31*VLOOKUP('Données projet'!$B$9,Paramètres!$A$1:$I$89,3,0)*VLOOKUP('Données projet'!$B$9,Paramètres!$A$1:$I$89,5,0)</f>
        <v>159.99296666666658</v>
      </c>
      <c r="P31" s="13">
        <f t="shared" si="33"/>
        <v>40.840929014671453</v>
      </c>
      <c r="Q31" s="20">
        <f t="shared" si="2"/>
        <v>349.785701644997</v>
      </c>
      <c r="R31" s="59">
        <f t="shared" si="0"/>
        <v>643.11903497833032</v>
      </c>
      <c r="S31" s="59">
        <f ca="1">AVERAGE(OFFSET($R$3,0,0,'Données projet'!$E$9+1,1))-AVERAGE(OFFSET($H$3,0,0,'Données projet'!$E$9+1,1))</f>
        <v>255.5374979188561</v>
      </c>
      <c r="T31" s="59">
        <f t="shared" si="34"/>
        <v>343.10418468620901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3.2148886420447993</v>
      </c>
      <c r="AA31" s="21">
        <f>EXP(-LN(2)/25)*AA30+(1-EXP(-LN(2)/25))/(LN(2)/25)*Calculateur!V31*Calculateur!X31*VLOOKUP('Données projet'!$B$9,Paramètres!$A$1:$I$89,3,0)*0.475*44/12</f>
        <v>16.87028183272777</v>
      </c>
      <c r="AB31" s="21">
        <f>EXP(-LN(2)/2)*AB30+(1-EXP(-LN(2)/2))/(LN(2)/2)*V31*Y31*VLOOKUP('Données projet'!$B$9,Paramètres!$A$1:$I$89,3,0)*0.475*44/12</f>
        <v>3.3853041589081316</v>
      </c>
      <c r="AC31" s="22">
        <f t="shared" si="3"/>
        <v>23.470474633680698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7.2264102564102561</v>
      </c>
      <c r="AI31" s="13">
        <f>IF('Données projet'!$A$62&gt;35,AI30+AH31-AQ30,IF(A31&lt;'Données projet'!$A$62,$AF$205^A31,IF(A31='Données projet'!$A$62,'Données projet'!$B$62,AI30+AH31-AQ30)))</f>
        <v>151.46336824615491</v>
      </c>
      <c r="AJ31" s="13">
        <f>AI31*VLOOKUP('Données projet'!$B$10,Paramètres!$A$1:$I$89,3,0)*VLOOKUP('Données projet'!$B$10,Paramètres!$A$1:$I$89,5,0)</f>
        <v>70.884856339200496</v>
      </c>
      <c r="AK31" s="13">
        <f t="shared" si="35"/>
        <v>19.893037679751526</v>
      </c>
      <c r="AL31" s="20">
        <f t="shared" si="4"/>
        <v>158.10483208300809</v>
      </c>
      <c r="AM31" s="59">
        <f t="shared" si="5"/>
        <v>451.43816541634141</v>
      </c>
      <c r="AN31" s="59">
        <f ca="1">AVERAGE(OFFSET($AM$3,0,0,'Données projet'!$E$10+1,1))-AVERAGE(OFFSET($H$3,0,0,'Données projet'!$E$10+1,1))</f>
        <v>158.58786357608489</v>
      </c>
      <c r="AO31" s="59">
        <f t="shared" si="36"/>
        <v>163.20074068819849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15.3</v>
      </c>
      <c r="BD31" s="12">
        <f>IF('Données projet'!$A$88&gt;35,BD30+BC31-BL30,IF(A31&lt;'Données projet'!$A$88,$BA$205^A31,IF(A31='Données projet'!$A$88,'Données projet'!$B$88,BD30+BC31-BL30)))</f>
        <v>199.40000000000003</v>
      </c>
      <c r="BE31" s="13">
        <f>BD31*VLOOKUP('Données projet'!$B$11,Paramètres!$A$1:$I$89,3,0)*VLOOKUP('Données projet'!$B$11,Paramètres!$A$1:$I$89,5,0)</f>
        <v>119.24120000000002</v>
      </c>
      <c r="BF31" s="13">
        <f t="shared" si="37"/>
        <v>31.497956370300944</v>
      </c>
      <c r="BG31" s="20">
        <f t="shared" si="7"/>
        <v>262.53736401160751</v>
      </c>
      <c r="BH31" s="59">
        <f t="shared" si="8"/>
        <v>555.87069734494082</v>
      </c>
      <c r="BI31" s="59">
        <f ca="1">AVERAGE(OFFSET($BH$3,0,0,'Données projet'!$E$11+1,1))-AVERAGE(OFFSET($H$3,0,0,'Données projet'!$E$11+1,1))</f>
        <v>316.58509520829671</v>
      </c>
      <c r="BJ31" s="59">
        <f t="shared" si="38"/>
        <v>240.71332110643596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4.1301621243700666</v>
      </c>
      <c r="BR31" s="21">
        <f>EXP(-LN(2)/2)*BR30+(1-EXP(-LN(2)/2))/(LN(2)/2)*BL31*BO31*VLOOKUP('Données projet'!$B$11,Paramètres!$A$1:$I$89,3,0)*0.475*44/12</f>
        <v>0.61359914074074917</v>
      </c>
      <c r="BS31" s="22">
        <f t="shared" si="9"/>
        <v>4.7437612651108161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14.5</v>
      </c>
      <c r="BY31" s="12">
        <f>IF('Données projet'!$A$114&gt;35,BY30+BX31-CG30,IF(A31&lt;'Données projet'!$A$114,$BV$205^A31,IF(A31='Données projet'!$A$114,'Données projet'!$B$114,BY30+BX31-CG30)))</f>
        <v>183</v>
      </c>
      <c r="BZ31" s="13">
        <f>BY31*VLOOKUP('Données projet'!$B$12,Paramètres!$A$1:$I$89,3,0)*VLOOKUP('Données projet'!$B$12,Paramètres!$A$1:$I$89,5,0)</f>
        <v>145.59479999999999</v>
      </c>
      <c r="CA31" s="13">
        <f t="shared" si="39"/>
        <v>37.575758023691719</v>
      </c>
      <c r="CB31" s="20">
        <f t="shared" si="10"/>
        <v>319.02205522459639</v>
      </c>
      <c r="CC31" s="59">
        <f t="shared" si="11"/>
        <v>612.3553885579297</v>
      </c>
      <c r="CD31" s="59">
        <f ca="1">AVERAGE(OFFSET($CC$3,0,0,'Données projet'!$E$12+1,1))-AVERAGE(OFFSET($H$3,0,0,'Données projet'!$E$12+1,1))</f>
        <v>260.20517190557814</v>
      </c>
      <c r="CE31" s="59">
        <f t="shared" si="40"/>
        <v>307.22009971147133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6.2300224128397721</v>
      </c>
      <c r="CM31" s="21">
        <f>EXP(-LN(2)/2)*CM30+(1-EXP(-LN(2)/2))/(LN(2)/2)*CG31*CJ31*VLOOKUP('Données projet'!$B$12,Paramètres!$A$1:$I$89,3,0)*0.475*44/12</f>
        <v>0.78585767013161212</v>
      </c>
      <c r="CN31" s="22">
        <f t="shared" si="12"/>
        <v>7.0158800829713845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4.0628205128205126</v>
      </c>
      <c r="CT31" s="12">
        <f>IF('Données projet'!$A$140&gt;35,CT30+CS31-DB30,IF(A31&lt;'Données projet'!$A$140,$CQ$205^A31,IF(A31='Données projet'!$A$140,'Données projet'!$B$140,CT30+CS31-DB30)))</f>
        <v>88.488255196060223</v>
      </c>
      <c r="CU31" s="17">
        <f>CT31*VLOOKUP('Données projet'!$B$13,Paramètres!$A$1:$I$89,3,0)*VLOOKUP('Données projet'!$B$13,Paramètres!$A$1:$I$89,5,0)</f>
        <v>89.72709076880507</v>
      </c>
      <c r="CV31" s="13">
        <f t="shared" si="41"/>
        <v>24.499394230010086</v>
      </c>
      <c r="CW31" s="20">
        <f t="shared" si="13"/>
        <v>198.94446137293639</v>
      </c>
      <c r="CX31" s="59">
        <f t="shared" si="14"/>
        <v>492.27779470626967</v>
      </c>
      <c r="CY31" s="59">
        <f ca="1">AVERAGE(OFFSET($CX$3,0,0,'Données projet'!$E$13+1,1))-AVERAGE(OFFSET($H$3,0,0,'Données projet'!$E$13+1,1))</f>
        <v>263.15518481854753</v>
      </c>
      <c r="CZ31" s="59">
        <f t="shared" si="42"/>
        <v>210.80755370263819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7</v>
      </c>
      <c r="DO31" s="12">
        <f>IF('Données projet'!$A$166&gt;35,DO30+DN31-DW30,IF(A31&lt;'Données projet'!$A$166,$DL$205^A31,IF(A31='Données projet'!$A$166,'Données projet'!$B$166,DO30+DN31-DW30)))</f>
        <v>121</v>
      </c>
      <c r="DP31" s="17">
        <f>DO31*VLOOKUP('Données projet'!$B$14,Paramètres!$A$1:$I$89,3,0)*VLOOKUP('Données projet'!$B$14,Paramètres!$A$1:$I$89,5,0)</f>
        <v>98.155200000000008</v>
      </c>
      <c r="DQ31" s="13">
        <f t="shared" si="43"/>
        <v>26.522024238465775</v>
      </c>
      <c r="DR31" s="20">
        <f t="shared" si="16"/>
        <v>217.14616554866123</v>
      </c>
      <c r="DS31" s="59">
        <f t="shared" si="17"/>
        <v>510.47949888199457</v>
      </c>
      <c r="DT31" s="59">
        <f ca="1">AVERAGE(OFFSET($DS$3,0,0,'Données projet'!$E$14+1,1))-AVERAGE(OFFSET($H$3,0,0,'Données projet'!$E$14+1,1))</f>
        <v>203.21935660591021</v>
      </c>
      <c r="DU31" s="59">
        <f t="shared" si="44"/>
        <v>180.54762778843178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1.3845640944664865</v>
      </c>
      <c r="EC31" s="21">
        <f>EXP(-LN(2)/2)*EC30+(1-EXP(-LN(2)/2))/(LN(2)/2)*DW31*DZ31*VLOOKUP('Données projet'!$B$14,Paramètres!$A$1:$I$89,3,0)*0.475*44/12</f>
        <v>0.21526566556721935</v>
      </c>
      <c r="ED31" s="22">
        <f t="shared" si="18"/>
        <v>1.5998297600337059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14.5</v>
      </c>
      <c r="EJ31" s="12">
        <f>IF('Données projet'!$A$192&gt;35,EJ30+EI31-ER30,IF(A31&lt;'Données projet'!$A$192,$EG$205^A31,IF(A31='Données projet'!$A$192,'Données projet'!$B$192,EJ30+EI31-ER30)))</f>
        <v>183</v>
      </c>
      <c r="EK31" s="17">
        <f>EJ31*VLOOKUP('Données projet'!$B$15,Paramètres!$A$1:$I$89,3,0)*VLOOKUP('Données projet'!$B$15,Paramètres!$A$1:$I$89,5,0)</f>
        <v>122.7564</v>
      </c>
      <c r="EL31" s="13">
        <f t="shared" si="45"/>
        <v>32.317032143878919</v>
      </c>
      <c r="EM31" s="20">
        <f t="shared" si="19"/>
        <v>270.08622765058908</v>
      </c>
      <c r="EN31" s="59">
        <f t="shared" si="20"/>
        <v>563.41956098392234</v>
      </c>
      <c r="EO31" s="59">
        <f ca="1">AVERAGE(OFFSET($EN$3,0,0,'Données projet'!$E$15+1,1))-AVERAGE(OFFSET($H$3,0,0,'Données projet'!$E$15+1,1))</f>
        <v>207.93042467236967</v>
      </c>
      <c r="EP31" s="59">
        <f t="shared" si="46"/>
        <v>250.70954318710835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5.2527639951394169</v>
      </c>
      <c r="EX31" s="21">
        <f>EXP(-LN(2)/2)*EX30+(1-EXP(-LN(2)/2))/(LN(2)/2)*ER31*EU31*VLOOKUP('Données projet'!$B$15,Paramètres!$A$1:$I$89,3,0)*0.475*44/12</f>
        <v>0.66258587873841801</v>
      </c>
      <c r="EY31" s="22">
        <f t="shared" si="21"/>
        <v>5.915349873877835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22.828205128205127</v>
      </c>
      <c r="N32" s="13">
        <f>IF('Données projet'!$A$36&gt;35,N31+M32-V31,IF(A32&lt;'Données projet'!$A$36,$K$205^A32,IF(A32='Données projet'!$A$36,'Données projet'!$B$36,N31+M32-V31)))</f>
        <v>309.0410256410255</v>
      </c>
      <c r="O32" s="13">
        <f>N32*VLOOKUP('Données projet'!$B$9,Paramètres!$A$1:$I$89,3,0)*VLOOKUP('Données projet'!$B$9,Paramètres!$A$1:$I$89,5,0)</f>
        <v>172.75393333333326</v>
      </c>
      <c r="P32" s="13">
        <f t="shared" si="33"/>
        <v>43.706234996805463</v>
      </c>
      <c r="Q32" s="20">
        <f t="shared" si="2"/>
        <v>377.00145984165829</v>
      </c>
      <c r="R32" s="59">
        <f t="shared" si="0"/>
        <v>670.33479317499155</v>
      </c>
      <c r="S32" s="59">
        <f ca="1">AVERAGE(OFFSET($R$3,0,0,'Données projet'!$E$9+1,1))-AVERAGE(OFFSET($H$3,0,0,'Données projet'!$E$9+1,1))</f>
        <v>255.5374979188561</v>
      </c>
      <c r="T32" s="59">
        <f t="shared" si="34"/>
        <v>343.10418468620901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3.1518466366627509</v>
      </c>
      <c r="AA32" s="21">
        <f>EXP(-LN(2)/25)*AA31+(1-EXP(-LN(2)/25))/(LN(2)/25)*Calculateur!V32*Calculateur!X32*VLOOKUP('Données projet'!$B$9,Paramètres!$A$1:$I$89,3,0)*0.475*44/12</f>
        <v>16.408963088842263</v>
      </c>
      <c r="AB32" s="21">
        <f>EXP(-LN(2)/2)*AB31+(1-EXP(-LN(2)/2))/(LN(2)/2)*V32*Y32*VLOOKUP('Données projet'!$B$9,Paramètres!$A$1:$I$89,3,0)*0.475*44/12</f>
        <v>2.3937715271429618</v>
      </c>
      <c r="AC32" s="22">
        <f t="shared" si="3"/>
        <v>21.954581252647976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7.2264102564102561</v>
      </c>
      <c r="AI32" s="13">
        <f>IF('Données projet'!$A$62&gt;35,AI31+AH32-AQ31,IF(A32&lt;'Données projet'!$A$62,$AF$205^A32,IF(A32='Données projet'!$A$62,'Données projet'!$B$62,AI31+AH32-AQ31)))</f>
        <v>181.20732085910257</v>
      </c>
      <c r="AJ32" s="13">
        <f>AI32*VLOOKUP('Données projet'!$B$10,Paramètres!$A$1:$I$89,3,0)*VLOOKUP('Données projet'!$B$10,Paramètres!$A$1:$I$89,5,0)</f>
        <v>84.805026162060003</v>
      </c>
      <c r="AK32" s="13">
        <f t="shared" si="35"/>
        <v>23.308020101846395</v>
      </c>
      <c r="AL32" s="20">
        <f t="shared" si="4"/>
        <v>188.29688890963698</v>
      </c>
      <c r="AM32" s="59">
        <f t="shared" si="5"/>
        <v>481.63022224297026</v>
      </c>
      <c r="AN32" s="59">
        <f ca="1">AVERAGE(OFFSET($AM$3,0,0,'Données projet'!$E$10+1,1))-AVERAGE(OFFSET($H$3,0,0,'Données projet'!$E$10+1,1))</f>
        <v>158.58786357608489</v>
      </c>
      <c r="AO32" s="59">
        <f t="shared" si="36"/>
        <v>163.20074068819849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15.3</v>
      </c>
      <c r="BD32" s="12">
        <f>IF('Données projet'!$A$88&gt;35,BD31+BC32-BL31,IF(A32&lt;'Données projet'!$A$88,$BA$205^A32,IF(A32='Données projet'!$A$88,'Données projet'!$B$88,BD31+BC32-BL31)))</f>
        <v>214.70000000000005</v>
      </c>
      <c r="BE32" s="13">
        <f>BD32*VLOOKUP('Données projet'!$B$11,Paramètres!$A$1:$I$89,3,0)*VLOOKUP('Données projet'!$B$11,Paramètres!$A$1:$I$89,5,0)</f>
        <v>128.39060000000003</v>
      </c>
      <c r="BF32" s="13">
        <f t="shared" si="37"/>
        <v>33.624205053748</v>
      </c>
      <c r="BG32" s="20">
        <f t="shared" si="7"/>
        <v>282.17578546861114</v>
      </c>
      <c r="BH32" s="59">
        <f t="shared" si="8"/>
        <v>575.5091188019444</v>
      </c>
      <c r="BI32" s="59">
        <f ca="1">AVERAGE(OFFSET($BH$3,0,0,'Données projet'!$E$11+1,1))-AVERAGE(OFFSET($H$3,0,0,'Données projet'!$E$11+1,1))</f>
        <v>316.58509520829671</v>
      </c>
      <c r="BJ32" s="59">
        <f t="shared" si="38"/>
        <v>240.71332110643596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4.0172226238833808</v>
      </c>
      <c r="BR32" s="21">
        <f>EXP(-LN(2)/2)*BR31+(1-EXP(-LN(2)/2))/(LN(2)/2)*BL32*BO32*VLOOKUP('Données projet'!$B$11,Paramètres!$A$1:$I$89,3,0)*0.475*44/12</f>
        <v>0.43388011334802251</v>
      </c>
      <c r="BS32" s="22">
        <f t="shared" si="9"/>
        <v>4.4511027372314036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14.5</v>
      </c>
      <c r="BY32" s="12">
        <f>IF('Données projet'!$A$114&gt;35,BY31+BX32-CG31,IF(A32&lt;'Données projet'!$A$114,$BV$205^A32,IF(A32='Données projet'!$A$114,'Données projet'!$B$114,BY31+BX32-CG31)))</f>
        <v>197.5</v>
      </c>
      <c r="BZ32" s="13">
        <f>BY32*VLOOKUP('Données projet'!$B$12,Paramètres!$A$1:$I$89,3,0)*VLOOKUP('Données projet'!$B$12,Paramètres!$A$1:$I$89,5,0)</f>
        <v>157.13100000000003</v>
      </c>
      <c r="CA32" s="13">
        <f t="shared" si="39"/>
        <v>40.194724574621844</v>
      </c>
      <c r="CB32" s="20">
        <f t="shared" si="10"/>
        <v>343.67563696746635</v>
      </c>
      <c r="CC32" s="59">
        <f t="shared" si="11"/>
        <v>637.00897030079966</v>
      </c>
      <c r="CD32" s="59">
        <f ca="1">AVERAGE(OFFSET($CC$3,0,0,'Données projet'!$E$12+1,1))-AVERAGE(OFFSET($H$3,0,0,'Données projet'!$E$12+1,1))</f>
        <v>260.20517190557814</v>
      </c>
      <c r="CE32" s="59">
        <f t="shared" si="40"/>
        <v>307.22009971147133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6.0596621223380289</v>
      </c>
      <c r="CM32" s="21">
        <f>EXP(-LN(2)/2)*CM31+(1-EXP(-LN(2)/2))/(LN(2)/2)*CG32*CJ32*VLOOKUP('Données projet'!$B$12,Paramètres!$A$1:$I$89,3,0)*0.475*44/12</f>
        <v>0.55568528759752389</v>
      </c>
      <c r="CN32" s="22">
        <f t="shared" si="12"/>
        <v>6.6153474099355529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4.0628205128205126</v>
      </c>
      <c r="CT32" s="12">
        <f>IF('Données projet'!$A$140&gt;35,CT31+CS32-DB31,IF(A32&lt;'Données projet'!$A$140,$CQ$205^A32,IF(A32='Données projet'!$A$140,'Données projet'!$B$140,CT31+CS32-DB31)))</f>
        <v>103.85257315361756</v>
      </c>
      <c r="CU32" s="17">
        <f>CT32*VLOOKUP('Données projet'!$B$13,Paramètres!$A$1:$I$89,3,0)*VLOOKUP('Données projet'!$B$13,Paramètres!$A$1:$I$89,5,0)</f>
        <v>105.30650917776822</v>
      </c>
      <c r="CV32" s="13">
        <f t="shared" si="41"/>
        <v>28.222370840964146</v>
      </c>
      <c r="CW32" s="20">
        <f t="shared" si="13"/>
        <v>232.56279936595885</v>
      </c>
      <c r="CX32" s="59">
        <f t="shared" si="14"/>
        <v>525.89613269929214</v>
      </c>
      <c r="CY32" s="59">
        <f ca="1">AVERAGE(OFFSET($CX$3,0,0,'Données projet'!$E$13+1,1))-AVERAGE(OFFSET($H$3,0,0,'Données projet'!$E$13+1,1))</f>
        <v>263.15518481854753</v>
      </c>
      <c r="CZ32" s="59">
        <f t="shared" si="42"/>
        <v>210.80755370263819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7</v>
      </c>
      <c r="DO32" s="12">
        <f>IF('Données projet'!$A$166&gt;35,DO31+DN32-DW31,IF(A32&lt;'Données projet'!$A$166,$DL$205^A32,IF(A32='Données projet'!$A$166,'Données projet'!$B$166,DO31+DN32-DW31)))</f>
        <v>128</v>
      </c>
      <c r="DP32" s="17">
        <f>DO32*VLOOKUP('Données projet'!$B$14,Paramètres!$A$1:$I$89,3,0)*VLOOKUP('Données projet'!$B$14,Paramètres!$A$1:$I$89,5,0)</f>
        <v>103.8336</v>
      </c>
      <c r="DQ32" s="13">
        <f t="shared" si="43"/>
        <v>27.873290659436211</v>
      </c>
      <c r="DR32" s="20">
        <f t="shared" si="16"/>
        <v>229.38950123185143</v>
      </c>
      <c r="DS32" s="59">
        <f t="shared" si="17"/>
        <v>522.72283456518471</v>
      </c>
      <c r="DT32" s="59">
        <f ca="1">AVERAGE(OFFSET($DS$3,0,0,'Données projet'!$E$14+1,1))-AVERAGE(OFFSET($H$3,0,0,'Données projet'!$E$14+1,1))</f>
        <v>203.21935660591021</v>
      </c>
      <c r="DU32" s="59">
        <f t="shared" si="44"/>
        <v>180.54762778843178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1.3467031164922392</v>
      </c>
      <c r="EC32" s="21">
        <f>EXP(-LN(2)/2)*EC31+(1-EXP(-LN(2)/2))/(LN(2)/2)*DW32*DZ32*VLOOKUP('Données projet'!$B$14,Paramètres!$A$1:$I$89,3,0)*0.475*44/12</f>
        <v>0.15221581187921629</v>
      </c>
      <c r="ED32" s="22">
        <f t="shared" si="18"/>
        <v>1.4989189283714555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14.5</v>
      </c>
      <c r="EJ32" s="12">
        <f>IF('Données projet'!$A$192&gt;35,EJ31+EI32-ER31,IF(A32&lt;'Données projet'!$A$192,$EG$205^A32,IF(A32='Données projet'!$A$192,'Données projet'!$B$192,EJ31+EI32-ER31)))</f>
        <v>197.5</v>
      </c>
      <c r="EK32" s="17">
        <f>EJ32*VLOOKUP('Données projet'!$B$15,Paramètres!$A$1:$I$89,3,0)*VLOOKUP('Données projet'!$B$15,Paramètres!$A$1:$I$89,5,0)</f>
        <v>132.483</v>
      </c>
      <c r="EL32" s="13">
        <f t="shared" si="45"/>
        <v>34.569474427459426</v>
      </c>
      <c r="EM32" s="20">
        <f t="shared" si="19"/>
        <v>290.94972629449177</v>
      </c>
      <c r="EN32" s="59">
        <f t="shared" si="20"/>
        <v>584.28305962782508</v>
      </c>
      <c r="EO32" s="59">
        <f ca="1">AVERAGE(OFFSET($EN$3,0,0,'Données projet'!$E$15+1,1))-AVERAGE(OFFSET($H$3,0,0,'Données projet'!$E$15+1,1))</f>
        <v>207.93042467236967</v>
      </c>
      <c r="EP32" s="59">
        <f t="shared" si="46"/>
        <v>250.70954318710835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5.1091268874614766</v>
      </c>
      <c r="EX32" s="21">
        <f>EXP(-LN(2)/2)*EX31+(1-EXP(-LN(2)/2))/(LN(2)/2)*ER32*EU32*VLOOKUP('Données projet'!$B$15,Paramètres!$A$1:$I$89,3,0)*0.475*44/12</f>
        <v>0.46851896797438286</v>
      </c>
      <c r="EY32" s="22">
        <f t="shared" si="21"/>
        <v>5.5776458554358594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331.86923076923074</v>
      </c>
      <c r="L33" s="12">
        <f>VLOOKUP(A33,'Données projet'!$A$35:$I$55,9,0)</f>
        <v>22.828205128205127</v>
      </c>
      <c r="M33" s="12">
        <f t="array" ref="M33">INDEX(L:L,MIN(IF(ISNUMBER(L33:L229),ROW(L33:L229),"")))</f>
        <v>22.828205128205127</v>
      </c>
      <c r="N33" s="13">
        <f>IF('Données projet'!$A$36&gt;35,N32+M33-V32,IF(A33&lt;'Données projet'!$A$36,$K$205^A33,IF(A33='Données projet'!$A$36,'Données projet'!$B$36,N32+M33-V32)))</f>
        <v>331.86923076923063</v>
      </c>
      <c r="O33" s="13">
        <f>N33*VLOOKUP('Données projet'!$B$9,Paramètres!$A$1:$I$89,3,0)*VLOOKUP('Données projet'!$B$9,Paramètres!$A$1:$I$89,5,0)</f>
        <v>185.5148999999999</v>
      </c>
      <c r="P33" s="13">
        <f t="shared" si="33"/>
        <v>46.546986497298995</v>
      </c>
      <c r="Q33" s="20">
        <f t="shared" si="2"/>
        <v>404.17445231612891</v>
      </c>
      <c r="R33" s="59">
        <f t="shared" si="0"/>
        <v>697.50778564946222</v>
      </c>
      <c r="S33" s="59">
        <f ca="1">AVERAGE(OFFSET($R$3,0,0,'Données projet'!$E$9+1,1))-AVERAGE(OFFSET($H$3,0,0,'Données projet'!$E$9+1,1))</f>
        <v>255.5374979188561</v>
      </c>
      <c r="T33" s="59">
        <f t="shared" si="34"/>
        <v>343.10418468620901</v>
      </c>
      <c r="U33" s="15">
        <f>IF(ISNA(VLOOKUP(A33,'Données projet'!$A$35:$I$55,3,0)),0,VLOOKUP(A33,'Données projet'!$A$35:$I$55,3,0))</f>
        <v>3</v>
      </c>
      <c r="V33" s="15">
        <f>IF(ISNA(VLOOKUP(A33,'Données projet'!$A$35:$I$55,4,0)),0,VLOOKUP(A33,'Données projet'!$A$35:$I$55,4,0))</f>
        <v>65.669230769230765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3.0900408465544178</v>
      </c>
      <c r="AA33" s="21">
        <f>EXP(-LN(2)/25)*AA32+(1-EXP(-LN(2)/25))/(LN(2)/25)*Calculateur!V33*Calculateur!X33*VLOOKUP('Données projet'!$B$9,Paramètres!$A$1:$I$89,3,0)*0.475*44/12</f>
        <v>15.960259130268007</v>
      </c>
      <c r="AB33" s="21">
        <f>EXP(-LN(2)/2)*AB32+(1-EXP(-LN(2)/2))/(LN(2)/2)*V33*Y33*VLOOKUP('Données projet'!$B$9,Paramètres!$A$1:$I$89,3,0)*0.475*44/12</f>
        <v>1.692652079454066</v>
      </c>
      <c r="AC33" s="22">
        <f t="shared" si="3"/>
        <v>20.74295205627649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216.79230769230767</v>
      </c>
      <c r="AG33" s="12">
        <f>VLOOKUP(A33,'Données projet'!$A$61:$I$81,9,0)</f>
        <v>7.2264102564102561</v>
      </c>
      <c r="AH33" s="12">
        <f t="array" ref="AH33">INDEX(AG:AG,MIN(IF(ISNUMBER(AG33:AG229),ROW(AG33:AG229),"")))</f>
        <v>7.2264102564102561</v>
      </c>
      <c r="AI33" s="13">
        <f>IF('Données projet'!$A$62&gt;35,AI32+AH33-AQ32,IF(A33&lt;'Données projet'!$A$62,$AF$205^A33,IF(A33='Données projet'!$A$62,'Données projet'!$B$62,AI32+AH33-AQ32)))</f>
        <v>216.79230769230767</v>
      </c>
      <c r="AJ33" s="13">
        <f>AI33*VLOOKUP('Données projet'!$B$10,Paramètres!$A$1:$I$89,3,0)*VLOOKUP('Données projet'!$B$10,Paramètres!$A$1:$I$89,5,0)</f>
        <v>101.45879999999998</v>
      </c>
      <c r="AK33" s="13">
        <f t="shared" si="35"/>
        <v>27.309243053465156</v>
      </c>
      <c r="AL33" s="20">
        <f t="shared" si="4"/>
        <v>224.27100831811845</v>
      </c>
      <c r="AM33" s="59">
        <f t="shared" si="5"/>
        <v>517.6043416514517</v>
      </c>
      <c r="AN33" s="59">
        <f ca="1">AVERAGE(OFFSET($AM$3,0,0,'Données projet'!$E$10+1,1))-AVERAGE(OFFSET($H$3,0,0,'Données projet'!$E$10+1,1))</f>
        <v>158.58786357608489</v>
      </c>
      <c r="AO33" s="59">
        <f t="shared" si="36"/>
        <v>163.20074068819849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230</v>
      </c>
      <c r="BB33" s="12">
        <f>VLOOKUP(A33,'Données projet'!$A$87:$I$107,9,0)</f>
        <v>15.3</v>
      </c>
      <c r="BC33" s="12">
        <f t="array" ref="BC33">INDEX(BB:BB,MIN(IF(ISNUMBER(BB33:BB229),ROW(BB33:BB229),"")))</f>
        <v>15.3</v>
      </c>
      <c r="BD33" s="12">
        <f>IF('Données projet'!$A$88&gt;35,BD32+BC33-BL32,IF(A33&lt;'Données projet'!$A$88,$BA$205^A33,IF(A33='Données projet'!$A$88,'Données projet'!$B$88,BD32+BC33-BL32)))</f>
        <v>230.00000000000006</v>
      </c>
      <c r="BE33" s="13">
        <f>BD33*VLOOKUP('Données projet'!$B$11,Paramètres!$A$1:$I$89,3,0)*VLOOKUP('Données projet'!$B$11,Paramètres!$A$1:$I$89,5,0)</f>
        <v>137.54000000000005</v>
      </c>
      <c r="BF33" s="13">
        <f t="shared" si="37"/>
        <v>35.73287391561098</v>
      </c>
      <c r="BG33" s="20">
        <f t="shared" si="7"/>
        <v>301.78358873635585</v>
      </c>
      <c r="BH33" s="59">
        <f t="shared" si="8"/>
        <v>595.11692206968917</v>
      </c>
      <c r="BI33" s="59">
        <f ca="1">AVERAGE(OFFSET($BH$3,0,0,'Données projet'!$E$11+1,1))-AVERAGE(OFFSET($H$3,0,0,'Données projet'!$E$11+1,1))</f>
        <v>316.58509520829671</v>
      </c>
      <c r="BJ33" s="59">
        <f t="shared" si="38"/>
        <v>240.71332110643596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71</v>
      </c>
      <c r="BM33" s="16">
        <f>IF(ISNA(VLOOKUP(A33,'Données projet'!$A$87:$I$107,5,0)),0%,VLOOKUP(A33,'Données projet'!$A$87:$I$107,5,0)*VLOOKUP('Données projet'!$B$11,Paramètres!$A$1:$I$89,7,0))</f>
        <v>4.5000000000000005E-2</v>
      </c>
      <c r="BN33" s="16">
        <f>IF(ISNA(VLOOKUP(A33,'Données projet'!$A$87:$I$107,6,0)),0%,VLOOKUP(A33,'Données projet'!$A$87:$I$107,6,0)*VLOOKUP('Données projet'!$B$11,Paramètres!$A$1:$I$89,7,0))</f>
        <v>0.20250000000000001</v>
      </c>
      <c r="BO33" s="16">
        <f>IF(ISNA(VLOOKUP(A33,'Données projet'!$A$87:$I$107,7,0)),0%,VLOOKUP(A33,'Données projet'!$A$87:$I$107,7,0))</f>
        <v>0.45</v>
      </c>
      <c r="BP33" s="21">
        <f>EXP(-LN(2)/35)*BP32+(1-EXP(-LN(2)/35))/(LN(2)/35)*BL33*BM33*VLOOKUP('Données projet'!$B$11,Paramètres!$A$1:$I$89,3,0)*0.475*44/12</f>
        <v>2.5345473142073405</v>
      </c>
      <c r="BQ33" s="21">
        <f>EXP(-LN(2)/25)*BQ32+(1-EXP(-LN(2)/25))/(LN(2)/25)*Calculateur!BL33*Calculateur!BN33*VLOOKUP('Données projet'!$B$11,Paramètres!$A$1:$I$89,3,0)*0.475*44/12</f>
        <v>15.267926720595529</v>
      </c>
      <c r="BR33" s="21">
        <f>EXP(-LN(2)/2)*BR32+(1-EXP(-LN(2)/2))/(LN(2)/2)*BL33*BO33*VLOOKUP('Données projet'!$B$11,Paramètres!$A$1:$I$89,3,0)*0.475*44/12</f>
        <v>21.939343070140783</v>
      </c>
      <c r="BS33" s="22">
        <f t="shared" si="9"/>
        <v>39.741817104943649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212</v>
      </c>
      <c r="BW33" s="12">
        <f>VLOOKUP(A33,'Données projet'!$A$113:$I$133,9,0)</f>
        <v>14.5</v>
      </c>
      <c r="BX33" s="12">
        <f t="array" ref="BX33">INDEX(BW:BW,MIN(IF(ISNUMBER(BW33:BW229),ROW(BW33:BW229),"")))</f>
        <v>14.5</v>
      </c>
      <c r="BY33" s="12">
        <f>IF('Données projet'!$A$114&gt;35,BY32+BX33-CG32,IF(A33&lt;'Données projet'!$A$114,$BV$205^A33,IF(A33='Données projet'!$A$114,'Données projet'!$B$114,BY32+BX33-CG32)))</f>
        <v>212</v>
      </c>
      <c r="BZ33" s="13">
        <f>BY33*VLOOKUP('Données projet'!$B$12,Paramètres!$A$1:$I$89,3,0)*VLOOKUP('Données projet'!$B$12,Paramètres!$A$1:$I$89,5,0)</f>
        <v>168.66720000000001</v>
      </c>
      <c r="CA33" s="13">
        <f t="shared" si="39"/>
        <v>42.791384119459089</v>
      </c>
      <c r="CB33" s="20">
        <f t="shared" si="10"/>
        <v>368.29036734139123</v>
      </c>
      <c r="CC33" s="59">
        <f t="shared" si="11"/>
        <v>661.62370067472455</v>
      </c>
      <c r="CD33" s="59">
        <f ca="1">AVERAGE(OFFSET($CC$3,0,0,'Données projet'!$E$12+1,1))-AVERAGE(OFFSET($H$3,0,0,'Données projet'!$E$12+1,1))</f>
        <v>260.20517190557814</v>
      </c>
      <c r="CE33" s="59">
        <f t="shared" si="40"/>
        <v>307.22009971147133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70</v>
      </c>
      <c r="CH33" s="16">
        <f>IF(ISNA(VLOOKUP(A33,'Données projet'!$A$113:$I$133,5,0)),0%,VLOOKUP(A33,'Données projet'!$A$113:$I$133,5,0)*VLOOKUP('Données projet'!$B$12,Paramètres!$A$1:$I$89,7,0))</f>
        <v>5.3000000000000005E-2</v>
      </c>
      <c r="CI33" s="16">
        <f>IF(ISNA(VLOOKUP(A33,'Données projet'!$A$113:$I$133,6,0)),0%,VLOOKUP(A33,'Données projet'!$A$113:$I$133,6,0)*VLOOKUP('Données projet'!$B$12,Paramètres!$A$1:$I$89,7,0))</f>
        <v>0.23850000000000002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3.2629903879783009</v>
      </c>
      <c r="CL33" s="21">
        <f>EXP(-LN(2)/25)*CL32+(1-EXP(-LN(2)/25))/(LN(2)/25)*Calculateur!CG33*Calculateur!CI33*VLOOKUP('Données projet'!$B$12,Paramètres!$A$1:$I$89,3,0)*0.475*44/12</f>
        <v>20.519602724797</v>
      </c>
      <c r="CM33" s="21">
        <f>EXP(-LN(2)/2)*CM32+(1-EXP(-LN(2)/2))/(LN(2)/2)*CG33*CJ33*VLOOKUP('Données projet'!$B$12,Paramètres!$A$1:$I$89,3,0)*0.475*44/12</f>
        <v>24.039034252757283</v>
      </c>
      <c r="CN33" s="22">
        <f t="shared" si="12"/>
        <v>47.821627365532585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121.88461538461537</v>
      </c>
      <c r="CR33" s="12">
        <f>VLOOKUP(A33,'Données projet'!$A$139:$I$159,9,0)</f>
        <v>4.0628205128205126</v>
      </c>
      <c r="CS33" s="12">
        <f t="array" ref="CS33">INDEX(CR:CR,MIN(IF(ISNUMBER(CR33:CR229),ROW(CR33:CR229),"")))</f>
        <v>4.0628205128205126</v>
      </c>
      <c r="CT33" s="12">
        <f>IF('Données projet'!$A$140&gt;35,CT32+CS33-DB32,IF(A33&lt;'Données projet'!$A$140,$CQ$205^A33,IF(A33='Données projet'!$A$140,'Données projet'!$B$140,CT32+CS33-DB32)))</f>
        <v>121.88461538461537</v>
      </c>
      <c r="CU33" s="17">
        <f>CT33*VLOOKUP('Données projet'!$B$13,Paramètres!$A$1:$I$89,3,0)*VLOOKUP('Données projet'!$B$13,Paramètres!$A$1:$I$89,5,0)</f>
        <v>123.59099999999999</v>
      </c>
      <c r="CV33" s="13">
        <f t="shared" si="41"/>
        <v>32.511098372760657</v>
      </c>
      <c r="CW33" s="20">
        <f t="shared" si="13"/>
        <v>271.87782133255809</v>
      </c>
      <c r="CX33" s="59">
        <f t="shared" si="14"/>
        <v>565.2111546658914</v>
      </c>
      <c r="CY33" s="59">
        <f ca="1">AVERAGE(OFFSET($CX$3,0,0,'Données projet'!$E$13+1,1))-AVERAGE(OFFSET($H$3,0,0,'Données projet'!$E$13+1,1))</f>
        <v>263.15518481854753</v>
      </c>
      <c r="CZ33" s="59">
        <f t="shared" si="42"/>
        <v>210.80755370263819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135</v>
      </c>
      <c r="DM33" s="12">
        <f>VLOOKUP(A33,'Données projet'!$A$165:$I$185,9,0)</f>
        <v>7</v>
      </c>
      <c r="DN33" s="12">
        <f t="array" ref="DN33">INDEX(DM:DM,MIN(IF(ISNUMBER(DM33:DM229),ROW(DM33:DM229),"")))</f>
        <v>7</v>
      </c>
      <c r="DO33" s="12">
        <f>IF('Données projet'!$A$166&gt;35,DO32+DN33-DW32,IF(A33&lt;'Données projet'!$A$166,$DL$205^A33,IF(A33='Données projet'!$A$166,'Données projet'!$B$166,DO32+DN33-DW32)))</f>
        <v>135</v>
      </c>
      <c r="DP33" s="17">
        <f>DO33*VLOOKUP('Données projet'!$B$14,Paramètres!$A$1:$I$89,3,0)*VLOOKUP('Données projet'!$B$14,Paramètres!$A$1:$I$89,5,0)</f>
        <v>109.51200000000001</v>
      </c>
      <c r="DQ33" s="13">
        <f t="shared" si="43"/>
        <v>29.215978230632555</v>
      </c>
      <c r="DR33" s="20">
        <f t="shared" si="16"/>
        <v>241.61789541835174</v>
      </c>
      <c r="DS33" s="59">
        <f t="shared" si="17"/>
        <v>534.95122875168499</v>
      </c>
      <c r="DT33" s="59">
        <f ca="1">AVERAGE(OFFSET($DS$3,0,0,'Données projet'!$E$14+1,1))-AVERAGE(OFFSET($H$3,0,0,'Données projet'!$E$14+1,1))</f>
        <v>203.21935660591021</v>
      </c>
      <c r="DU33" s="59">
        <f t="shared" si="44"/>
        <v>180.54762778843178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26</v>
      </c>
      <c r="DX33" s="16">
        <f>IF(ISNA(VLOOKUP(A33,'Données projet'!$A$165:$I$185,5,0)),0%,VLOOKUP(A33,'Données projet'!$A$165:$I$185,5,0)*VLOOKUP('Données projet'!$B$14,Paramètres!$A$1:$I$89,7,0))</f>
        <v>4.3000000000000003E-2</v>
      </c>
      <c r="DY33" s="16">
        <f>IF(ISNA(VLOOKUP(A33,'Données projet'!$A$165:$I$185,6,0)),0%,VLOOKUP(A33,'Données projet'!$A$165:$I$185,6,0)*VLOOKUP('Données projet'!$B$14,Paramètres!$A$1:$I$89,7,0))</f>
        <v>0.19350000000000001</v>
      </c>
      <c r="DZ33" s="16">
        <f>IF(ISNA(VLOOKUP(A33,'Données projet'!$A$165:$I$185,7,0)),0%,VLOOKUP(A33,'Données projet'!$A$165:$I$185,7,0))</f>
        <v>0.45</v>
      </c>
      <c r="EA33" s="21">
        <f>EXP(-LN(2)/35)*EA32+(1-EXP(-LN(2)/35))/(LN(2)/35)*DW33*DX33*VLOOKUP('Données projet'!$B$14,Paramètres!$A$1:$I$89,3,0)*0.475*44/12</f>
        <v>1.0025749653586304</v>
      </c>
      <c r="EB33" s="21">
        <f>EXP(-LN(2)/25)*EB32+(1-EXP(-LN(2)/25))/(LN(2)/25)*Calculateur!DW33*Calculateur!DY33*VLOOKUP('Données projet'!$B$14,Paramètres!$A$1:$I$89,3,0)*0.475*44/12</f>
        <v>5.8037009546422311</v>
      </c>
      <c r="EC33" s="21">
        <f>EXP(-LN(2)/2)*EC32+(1-EXP(-LN(2)/2))/(LN(2)/2)*DW33*DZ33*VLOOKUP('Données projet'!$B$14,Paramètres!$A$1:$I$89,3,0)*0.475*44/12</f>
        <v>9.0626845203799338</v>
      </c>
      <c r="ED33" s="22">
        <f t="shared" si="18"/>
        <v>15.868960440380796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212</v>
      </c>
      <c r="EH33" s="12">
        <f>VLOOKUP(A33,'Données projet'!$A$191:$I$211,9,0)</f>
        <v>14.5</v>
      </c>
      <c r="EI33" s="12">
        <f t="array" ref="EI33">INDEX(EH:EH,MIN(IF(ISNUMBER(EH33:EH229),ROW(EH33:EH229),"")))</f>
        <v>14.5</v>
      </c>
      <c r="EJ33" s="12">
        <f>IF('Données projet'!$A$192&gt;35,EJ32+EI33-ER32,IF(A33&lt;'Données projet'!$A$192,$EG$205^A33,IF(A33='Données projet'!$A$192,'Données projet'!$B$192,EJ32+EI33-ER32)))</f>
        <v>212</v>
      </c>
      <c r="EK33" s="17">
        <f>EJ33*VLOOKUP('Données projet'!$B$15,Paramètres!$A$1:$I$89,3,0)*VLOOKUP('Données projet'!$B$15,Paramètres!$A$1:$I$89,5,0)</f>
        <v>142.20959999999999</v>
      </c>
      <c r="EL33" s="13">
        <f t="shared" si="45"/>
        <v>36.802731569585646</v>
      </c>
      <c r="EM33" s="20">
        <f t="shared" si="19"/>
        <v>311.77981081702825</v>
      </c>
      <c r="EN33" s="59">
        <f t="shared" si="20"/>
        <v>605.11314415036156</v>
      </c>
      <c r="EO33" s="59">
        <f ca="1">AVERAGE(OFFSET($EN$3,0,0,'Données projet'!$E$15+1,1))-AVERAGE(OFFSET($H$3,0,0,'Données projet'!$E$15+1,1))</f>
        <v>207.93042467236967</v>
      </c>
      <c r="EP33" s="59">
        <f t="shared" si="46"/>
        <v>250.70954318710835</v>
      </c>
      <c r="EQ33" s="15">
        <f>IF(ISNA(VLOOKUP(A33,'Données projet'!$A$191:$I$211,3,0)),0,VLOOKUP(A33,'Données projet'!$A$191:$I$211,3,0))</f>
        <v>2</v>
      </c>
      <c r="ER33" s="15">
        <f>IF(ISNA(VLOOKUP(A33,'Données projet'!$A$191:$I$211,4,0)),0,VLOOKUP(A33,'Données projet'!$A$191:$I$211,4,0))</f>
        <v>70</v>
      </c>
      <c r="ES33" s="16">
        <f>IF(ISNA(VLOOKUP(A33,'Données projet'!$A$191:$I$211,5,0)),0%,VLOOKUP(A33,'Données projet'!$A$191:$I$211,5,0)*VLOOKUP('Données projet'!$B$15,Paramètres!$A$1:$I$89,7,0))</f>
        <v>5.3000000000000005E-2</v>
      </c>
      <c r="ET33" s="16">
        <f>IF(ISNA(VLOOKUP(A33,'Données projet'!$A$191:$I$211,6,0)),0%,VLOOKUP(A33,'Données projet'!$A$191:$I$211,6,0)*VLOOKUP('Données projet'!$B$15,Paramètres!$A$1:$I$89,7,0))</f>
        <v>0.23850000000000002</v>
      </c>
      <c r="EU33" s="16">
        <f>IF(ISNA(VLOOKUP(A33,'Données projet'!$A$191:$I$211,7,0)),0%,VLOOKUP(A33,'Données projet'!$A$191:$I$211,7,0))</f>
        <v>0.45</v>
      </c>
      <c r="EV33" s="21">
        <f>EXP(-LN(2)/35)*EV32+(1-EXP(-LN(2)/35))/(LN(2)/35)*ER33*ES33*VLOOKUP('Données projet'!$B$15,Paramètres!$A$1:$I$89,3,0)*0.475*44/12</f>
        <v>2.7511487584915084</v>
      </c>
      <c r="EW33" s="21">
        <f>EXP(-LN(2)/25)*EW32+(1-EXP(-LN(2)/25))/(LN(2)/25)*Calculateur!ER33*Calculateur!ET33*VLOOKUP('Données projet'!$B$15,Paramètres!$A$1:$I$89,3,0)*0.475*44/12</f>
        <v>17.300841513064139</v>
      </c>
      <c r="EX33" s="21">
        <f>EXP(-LN(2)/2)*EX32+(1-EXP(-LN(2)/2))/(LN(2)/2)*ER33*EU33*VLOOKUP('Données projet'!$B$15,Paramètres!$A$1:$I$89,3,0)*0.475*44/12</f>
        <v>20.268205350363985</v>
      </c>
      <c r="EY33" s="22">
        <f t="shared" si="21"/>
        <v>40.32019562191963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22.884615384615376</v>
      </c>
      <c r="N34" s="13">
        <f>IF('Données projet'!$A$36&gt;35,N33+M34-V33,IF(A34&lt;'Données projet'!$A$36,$K$205^A34,IF(A34='Données projet'!$A$36,'Données projet'!$B$36,N33+M34-V33)))</f>
        <v>289.08461538461523</v>
      </c>
      <c r="O34" s="13">
        <f>N34*VLOOKUP('Données projet'!$B$9,Paramètres!$A$1:$I$89,3,0)*VLOOKUP('Données projet'!$B$9,Paramètres!$A$1:$I$89,5,0)</f>
        <v>161.59829999999991</v>
      </c>
      <c r="P34" s="13">
        <f t="shared" si="33"/>
        <v>41.202807619439696</v>
      </c>
      <c r="Q34" s="20">
        <f t="shared" si="2"/>
        <v>353.2119291038573</v>
      </c>
      <c r="R34" s="59">
        <f t="shared" si="0"/>
        <v>646.54526243719056</v>
      </c>
      <c r="S34" s="59">
        <f ca="1">AVERAGE(OFFSET($R$3,0,0,'Données projet'!$E$9+1,1))-AVERAGE(OFFSET($H$3,0,0,'Données projet'!$E$9+1,1))</f>
        <v>255.5374979188561</v>
      </c>
      <c r="T34" s="59">
        <f t="shared" si="34"/>
        <v>343.10418468620901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3.0294470302922996</v>
      </c>
      <c r="AA34" s="21">
        <f>EXP(-LN(2)/25)*AA33+(1-EXP(-LN(2)/25))/(LN(2)/25)*Calculateur!V34*Calculateur!X34*VLOOKUP('Données projet'!$B$9,Paramètres!$A$1:$I$89,3,0)*0.475*44/12</f>
        <v>15.523825005037278</v>
      </c>
      <c r="AB34" s="21">
        <f>EXP(-LN(2)/2)*AB33+(1-EXP(-LN(2)/2))/(LN(2)/2)*V34*Y34*VLOOKUP('Données projet'!$B$9,Paramètres!$A$1:$I$89,3,0)*0.475*44/12</f>
        <v>1.1968857635714809</v>
      </c>
      <c r="AC34" s="22">
        <f t="shared" si="3"/>
        <v>19.750157798901057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16.131410256410259</v>
      </c>
      <c r="AI34" s="13">
        <f>IF('Données projet'!$A$62&gt;35,AI33+AH34-AQ33,IF(A34&lt;'Données projet'!$A$62,$AF$205^A34,IF(A34='Données projet'!$A$62,'Données projet'!$B$62,AI33+AH34-AQ33)))</f>
        <v>232.92371794871792</v>
      </c>
      <c r="AJ34" s="13">
        <f>AI34*VLOOKUP('Données projet'!$B$10,Paramètres!$A$1:$I$89,3,0)*VLOOKUP('Données projet'!$B$10,Paramètres!$A$1:$I$89,5,0)</f>
        <v>109.00829999999998</v>
      </c>
      <c r="AK34" s="13">
        <f t="shared" si="35"/>
        <v>29.097209307093255</v>
      </c>
      <c r="AL34" s="20">
        <f t="shared" si="4"/>
        <v>240.53376204318738</v>
      </c>
      <c r="AM34" s="59">
        <f t="shared" si="5"/>
        <v>533.86709537652064</v>
      </c>
      <c r="AN34" s="59">
        <f ca="1">AVERAGE(OFFSET($AM$3,0,0,'Données projet'!$E$10+1,1))-AVERAGE(OFFSET($H$3,0,0,'Données projet'!$E$10+1,1))</f>
        <v>158.58786357608489</v>
      </c>
      <c r="AO34" s="59">
        <f t="shared" si="36"/>
        <v>163.20074068819849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18.2</v>
      </c>
      <c r="BD34" s="12">
        <f>IF('Données projet'!$A$88&gt;35,BD33+BC34-BL33,IF(A34&lt;'Données projet'!$A$88,$BA$205^A34,IF(A34='Données projet'!$A$88,'Données projet'!$B$88,BD33+BC34-BL33)))</f>
        <v>177.20000000000005</v>
      </c>
      <c r="BE34" s="13">
        <f>BD34*VLOOKUP('Données projet'!$B$11,Paramètres!$A$1:$I$89,3,0)*VLOOKUP('Données projet'!$B$11,Paramètres!$A$1:$I$89,5,0)</f>
        <v>105.96560000000004</v>
      </c>
      <c r="BF34" s="13">
        <f t="shared" si="37"/>
        <v>28.378391242376729</v>
      </c>
      <c r="BG34" s="20">
        <f t="shared" si="7"/>
        <v>233.98245141380619</v>
      </c>
      <c r="BH34" s="59">
        <f t="shared" si="8"/>
        <v>527.31578474713956</v>
      </c>
      <c r="BI34" s="59">
        <f ca="1">AVERAGE(OFFSET($BH$3,0,0,'Données projet'!$E$11+1,1))-AVERAGE(OFFSET($H$3,0,0,'Données projet'!$E$11+1,1))</f>
        <v>316.58509520829671</v>
      </c>
      <c r="BJ34" s="59">
        <f t="shared" si="38"/>
        <v>240.71332110643596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2.4848463872969493</v>
      </c>
      <c r="BQ34" s="21">
        <f>EXP(-LN(2)/25)*BQ33+(1-EXP(-LN(2)/25))/(LN(2)/25)*Calculateur!BL34*Calculateur!BN34*VLOOKUP('Données projet'!$B$11,Paramètres!$A$1:$I$89,3,0)*0.475*44/12</f>
        <v>14.850424461515473</v>
      </c>
      <c r="BR34" s="21">
        <f>EXP(-LN(2)/2)*BR33+(1-EXP(-LN(2)/2))/(LN(2)/2)*BL34*BO34*VLOOKUP('Données projet'!$B$11,Paramètres!$A$1:$I$89,3,0)*0.475*44/12</f>
        <v>15.513458259674637</v>
      </c>
      <c r="BS34" s="22">
        <f t="shared" si="9"/>
        <v>32.848729108487056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12.1</v>
      </c>
      <c r="BY34" s="12">
        <f>IF('Données projet'!$A$114&gt;35,BY33+BX34-CG33,IF(A34&lt;'Données projet'!$A$114,$BV$205^A34,IF(A34='Données projet'!$A$114,'Données projet'!$B$114,BY33+BX34-CG33)))</f>
        <v>154.1</v>
      </c>
      <c r="BZ34" s="13">
        <f>BY34*VLOOKUP('Données projet'!$B$12,Paramètres!$A$1:$I$89,3,0)*VLOOKUP('Données projet'!$B$12,Paramètres!$A$1:$I$89,5,0)</f>
        <v>122.60195999999999</v>
      </c>
      <c r="CA34" s="13">
        <f t="shared" si="39"/>
        <v>32.281104011674643</v>
      </c>
      <c r="CB34" s="20">
        <f t="shared" si="10"/>
        <v>269.75466982033333</v>
      </c>
      <c r="CC34" s="59">
        <f t="shared" si="11"/>
        <v>563.0880031536667</v>
      </c>
      <c r="CD34" s="59">
        <f ca="1">AVERAGE(OFFSET($CC$3,0,0,'Données projet'!$E$12+1,1))-AVERAGE(OFFSET($H$3,0,0,'Données projet'!$E$12+1,1))</f>
        <v>260.20517190557814</v>
      </c>
      <c r="CE34" s="59">
        <f t="shared" si="40"/>
        <v>307.22009971147133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3.1990051366976644</v>
      </c>
      <c r="CL34" s="21">
        <f>EXP(-LN(2)/25)*CL33+(1-EXP(-LN(2)/25))/(LN(2)/25)*Calculateur!CG34*Calculateur!CI34*VLOOKUP('Données projet'!$B$12,Paramètres!$A$1:$I$89,3,0)*0.475*44/12</f>
        <v>19.958493109208415</v>
      </c>
      <c r="CM34" s="21">
        <f>EXP(-LN(2)/2)*CM33+(1-EXP(-LN(2)/2))/(LN(2)/2)*CG34*CJ34*VLOOKUP('Données projet'!$B$12,Paramètres!$A$1:$I$89,3,0)*0.475*44/12</f>
        <v>16.998164133300367</v>
      </c>
      <c r="CN34" s="22">
        <f t="shared" si="12"/>
        <v>40.155662379206447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8.0564102564102562</v>
      </c>
      <c r="CT34" s="12">
        <f>IF('Données projet'!$A$140&gt;35,CT33+CS34-DB33,IF(A34&lt;'Données projet'!$A$140,$CQ$205^A34,IF(A34='Données projet'!$A$140,'Données projet'!$B$140,CT33+CS34-DB33)))</f>
        <v>129.94102564102562</v>
      </c>
      <c r="CU34" s="17">
        <f>CT34*VLOOKUP('Données projet'!$B$13,Paramètres!$A$1:$I$89,3,0)*VLOOKUP('Données projet'!$B$13,Paramètres!$A$1:$I$89,5,0)</f>
        <v>131.7602</v>
      </c>
      <c r="CV34" s="13">
        <f t="shared" si="41"/>
        <v>34.402770960054035</v>
      </c>
      <c r="CW34" s="20">
        <f t="shared" si="13"/>
        <v>289.40050775542738</v>
      </c>
      <c r="CX34" s="59">
        <f t="shared" si="14"/>
        <v>582.73384108876076</v>
      </c>
      <c r="CY34" s="59">
        <f ca="1">AVERAGE(OFFSET($CX$3,0,0,'Données projet'!$E$13+1,1))-AVERAGE(OFFSET($H$3,0,0,'Données projet'!$E$13+1,1))</f>
        <v>263.15518481854753</v>
      </c>
      <c r="CZ34" s="59">
        <f t="shared" si="42"/>
        <v>210.80755370263819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7.2</v>
      </c>
      <c r="DO34" s="12">
        <f>IF('Données projet'!$A$166&gt;35,DO33+DN34-DW33,IF(A34&lt;'Données projet'!$A$166,$DL$205^A34,IF(A34='Données projet'!$A$166,'Données projet'!$B$166,DO33+DN34-DW33)))</f>
        <v>116.19999999999999</v>
      </c>
      <c r="DP34" s="17">
        <f>DO34*VLOOKUP('Données projet'!$B$14,Paramètres!$A$1:$I$89,3,0)*VLOOKUP('Données projet'!$B$14,Paramètres!$A$1:$I$89,5,0)</f>
        <v>94.261440000000007</v>
      </c>
      <c r="DQ34" s="13">
        <f t="shared" si="43"/>
        <v>25.590198175407465</v>
      </c>
      <c r="DR34" s="20">
        <f t="shared" si="16"/>
        <v>208.74160315550134</v>
      </c>
      <c r="DS34" s="59">
        <f t="shared" si="17"/>
        <v>502.07493648883462</v>
      </c>
      <c r="DT34" s="59">
        <f ca="1">AVERAGE(OFFSET($DS$3,0,0,'Données projet'!$E$14+1,1))-AVERAGE(OFFSET($H$3,0,0,'Données projet'!$E$14+1,1))</f>
        <v>203.21935660591021</v>
      </c>
      <c r="DU34" s="59">
        <f t="shared" si="44"/>
        <v>180.54762778843178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0.9829150817982949</v>
      </c>
      <c r="EB34" s="21">
        <f>EXP(-LN(2)/25)*EB33+(1-EXP(-LN(2)/25))/(LN(2)/25)*Calculateur!DW34*Calculateur!DY34*VLOOKUP('Données projet'!$B$14,Paramètres!$A$1:$I$89,3,0)*0.475*44/12</f>
        <v>5.6449984468341707</v>
      </c>
      <c r="EC34" s="21">
        <f>EXP(-LN(2)/2)*EC33+(1-EXP(-LN(2)/2))/(LN(2)/2)*DW34*DZ34*VLOOKUP('Données projet'!$B$14,Paramètres!$A$1:$I$89,3,0)*0.475*44/12</f>
        <v>6.4082856801150054</v>
      </c>
      <c r="ED34" s="22">
        <f t="shared" si="18"/>
        <v>13.036199208747471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12.1</v>
      </c>
      <c r="EJ34" s="12">
        <f>IF('Données projet'!$A$192&gt;35,EJ33+EI34-ER33,IF(A34&lt;'Données projet'!$A$192,$EG$205^A34,IF(A34='Données projet'!$A$192,'Données projet'!$B$192,EJ33+EI34-ER33)))</f>
        <v>154.1</v>
      </c>
      <c r="EK34" s="17">
        <f>EJ34*VLOOKUP('Données projet'!$B$15,Paramètres!$A$1:$I$89,3,0)*VLOOKUP('Données projet'!$B$15,Paramètres!$A$1:$I$89,5,0)</f>
        <v>103.37027999999999</v>
      </c>
      <c r="EL34" s="13">
        <f t="shared" si="45"/>
        <v>27.763364755740294</v>
      </c>
      <c r="EM34" s="20">
        <f t="shared" si="19"/>
        <v>228.39109794958097</v>
      </c>
      <c r="EN34" s="59">
        <f t="shared" si="20"/>
        <v>521.72443128291434</v>
      </c>
      <c r="EO34" s="59">
        <f ca="1">AVERAGE(OFFSET($EN$3,0,0,'Données projet'!$E$15+1,1))-AVERAGE(OFFSET($H$3,0,0,'Données projet'!$E$15+1,1))</f>
        <v>207.93042467236967</v>
      </c>
      <c r="EP34" s="59">
        <f t="shared" si="46"/>
        <v>250.70954318710835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2.6972004093725404</v>
      </c>
      <c r="EW34" s="21">
        <f>EXP(-LN(2)/25)*EW33+(1-EXP(-LN(2)/25))/(LN(2)/25)*Calculateur!ER34*Calculateur!ET34*VLOOKUP('Données projet'!$B$15,Paramètres!$A$1:$I$89,3,0)*0.475*44/12</f>
        <v>16.827749092077685</v>
      </c>
      <c r="EX34" s="21">
        <f>EXP(-LN(2)/2)*EX33+(1-EXP(-LN(2)/2))/(LN(2)/2)*ER34*EU34*VLOOKUP('Données projet'!$B$15,Paramètres!$A$1:$I$89,3,0)*0.475*44/12</f>
        <v>14.331785445723838</v>
      </c>
      <c r="EY34" s="22">
        <f t="shared" si="21"/>
        <v>33.856734947174061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22.884615384615376</v>
      </c>
      <c r="N35" s="13">
        <f>IF('Données projet'!$A$36&gt;35,N34+M35-V34,IF(A35&lt;'Données projet'!$A$36,$K$205^A35,IF(A35='Données projet'!$A$36,'Données projet'!$B$36,N34+M35-V34)))</f>
        <v>311.96923076923059</v>
      </c>
      <c r="O35" s="13">
        <f>N35*VLOOKUP('Données projet'!$B$9,Paramètres!$A$1:$I$89,3,0)*VLOOKUP('Données projet'!$B$9,Paramètres!$A$1:$I$89,5,0)</f>
        <v>174.39079999999993</v>
      </c>
      <c r="P35" s="13">
        <f t="shared" si="33"/>
        <v>44.071952499783528</v>
      </c>
      <c r="Q35" s="20">
        <f t="shared" ref="Q35:Q66" si="53">(O35+P35)*0.475*44/12</f>
        <v>380.4892939371228</v>
      </c>
      <c r="R35" s="59">
        <f t="shared" si="0"/>
        <v>673.82262727045611</v>
      </c>
      <c r="S35" s="59">
        <f ca="1">AVERAGE(OFFSET($R$3,0,0,'Données projet'!$E$9+1,1))-AVERAGE(OFFSET($H$3,0,0,'Données projet'!$E$9+1,1))</f>
        <v>255.5374979188561</v>
      </c>
      <c r="T35" s="59">
        <f t="shared" si="34"/>
        <v>343.10418468620901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2.9700414218085029</v>
      </c>
      <c r="AA35" s="21">
        <f>EXP(-LN(2)/25)*AA34+(1-EXP(-LN(2)/25))/(LN(2)/25)*Calculateur!V35*Calculateur!X35*VLOOKUP('Données projet'!$B$9,Paramètres!$A$1:$I$89,3,0)*0.475*44/12</f>
        <v>15.099325193912057</v>
      </c>
      <c r="AB35" s="21">
        <f>EXP(-LN(2)/2)*AB34+(1-EXP(-LN(2)/2))/(LN(2)/2)*V35*Y35*VLOOKUP('Données projet'!$B$9,Paramètres!$A$1:$I$89,3,0)*0.475*44/12</f>
        <v>0.84632603972703302</v>
      </c>
      <c r="AC35" s="22">
        <f t="shared" si="3"/>
        <v>18.915692655447593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16.131410256410259</v>
      </c>
      <c r="AI35" s="13">
        <f>IF('Données projet'!$A$62&gt;35,AI34+AH35-AQ34,IF(A35&lt;'Données projet'!$A$62,$AF$205^A35,IF(A35='Données projet'!$A$62,'Données projet'!$B$62,AI34+AH35-AQ34)))</f>
        <v>249.05512820512817</v>
      </c>
      <c r="AJ35" s="13">
        <f>AI35*VLOOKUP('Données projet'!$B$10,Paramètres!$A$1:$I$89,3,0)*VLOOKUP('Données projet'!$B$10,Paramètres!$A$1:$I$89,5,0)</f>
        <v>116.55779999999997</v>
      </c>
      <c r="AK35" s="13">
        <f t="shared" si="35"/>
        <v>30.870807833785406</v>
      </c>
      <c r="AL35" s="20">
        <f t="shared" si="4"/>
        <v>256.7714919771762</v>
      </c>
      <c r="AM35" s="59">
        <f t="shared" si="5"/>
        <v>550.10482531050957</v>
      </c>
      <c r="AN35" s="59">
        <f ca="1">AVERAGE(OFFSET($AM$3,0,0,'Données projet'!$E$10+1,1))-AVERAGE(OFFSET($H$3,0,0,'Données projet'!$E$10+1,1))</f>
        <v>158.58786357608489</v>
      </c>
      <c r="AO35" s="59">
        <f t="shared" si="36"/>
        <v>163.20074068819849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18.2</v>
      </c>
      <c r="BD35" s="12">
        <f>IF('Données projet'!$A$88&gt;35,BD34+BC35-BL34,IF(A35&lt;'Données projet'!$A$88,$BA$205^A35,IF(A35='Données projet'!$A$88,'Données projet'!$B$88,BD34+BC35-BL34)))</f>
        <v>195.40000000000003</v>
      </c>
      <c r="BE35" s="13">
        <f>BD35*VLOOKUP('Données projet'!$B$11,Paramètres!$A$1:$I$89,3,0)*VLOOKUP('Données projet'!$B$11,Paramètres!$A$1:$I$89,5,0)</f>
        <v>116.84920000000002</v>
      </c>
      <c r="BF35" s="13">
        <f t="shared" si="37"/>
        <v>30.938992822101849</v>
      </c>
      <c r="BG35" s="20">
        <f t="shared" si="7"/>
        <v>257.39776916516081</v>
      </c>
      <c r="BH35" s="59">
        <f t="shared" si="8"/>
        <v>550.73110249849412</v>
      </c>
      <c r="BI35" s="59">
        <f ca="1">AVERAGE(OFFSET($BH$3,0,0,'Données projet'!$E$11+1,1))-AVERAGE(OFFSET($H$3,0,0,'Données projet'!$E$11+1,1))</f>
        <v>316.58509520829671</v>
      </c>
      <c r="BJ35" s="59">
        <f t="shared" si="38"/>
        <v>240.71332110643596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2.4361200652486987</v>
      </c>
      <c r="BQ35" s="21">
        <f>EXP(-LN(2)/25)*BQ34+(1-EXP(-LN(2)/25))/(LN(2)/25)*Calculateur!BL35*Calculateur!BN35*VLOOKUP('Données projet'!$B$11,Paramètres!$A$1:$I$89,3,0)*0.475*44/12</f>
        <v>14.444338823665451</v>
      </c>
      <c r="BR35" s="21">
        <f>EXP(-LN(2)/2)*BR34+(1-EXP(-LN(2)/2))/(LN(2)/2)*BL35*BO35*VLOOKUP('Données projet'!$B$11,Paramètres!$A$1:$I$89,3,0)*0.475*44/12</f>
        <v>10.969671535070393</v>
      </c>
      <c r="BS35" s="22">
        <f t="shared" si="9"/>
        <v>27.850130423984542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12.1</v>
      </c>
      <c r="BY35" s="12">
        <f>IF('Données projet'!$A$114&gt;35,BY34+BX35-CG34,IF(A35&lt;'Données projet'!$A$114,$BV$205^A35,IF(A35='Données projet'!$A$114,'Données projet'!$B$114,BY34+BX35-CG34)))</f>
        <v>166.2</v>
      </c>
      <c r="BZ35" s="13">
        <f>BY35*VLOOKUP('Données projet'!$B$12,Paramètres!$A$1:$I$89,3,0)*VLOOKUP('Données projet'!$B$12,Paramètres!$A$1:$I$89,5,0)</f>
        <v>132.22872000000001</v>
      </c>
      <c r="CA35" s="13">
        <f t="shared" si="39"/>
        <v>34.510840487492601</v>
      </c>
      <c r="CB35" s="20">
        <f t="shared" si="10"/>
        <v>290.40473451571626</v>
      </c>
      <c r="CC35" s="59">
        <f t="shared" si="11"/>
        <v>583.73806784904957</v>
      </c>
      <c r="CD35" s="59">
        <f ca="1">AVERAGE(OFFSET($CC$3,0,0,'Données projet'!$E$12+1,1))-AVERAGE(OFFSET($H$3,0,0,'Données projet'!$E$12+1,1))</f>
        <v>260.20517190557814</v>
      </c>
      <c r="CE35" s="59">
        <f t="shared" si="40"/>
        <v>307.22009971147133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3.1362745971674917</v>
      </c>
      <c r="CL35" s="21">
        <f>EXP(-LN(2)/25)*CL34+(1-EXP(-LN(2)/25))/(LN(2)/25)*Calculateur!CG35*Calculateur!CI35*VLOOKUP('Données projet'!$B$12,Paramètres!$A$1:$I$89,3,0)*0.475*44/12</f>
        <v>19.412727065565573</v>
      </c>
      <c r="CM35" s="21">
        <f>EXP(-LN(2)/2)*CM34+(1-EXP(-LN(2)/2))/(LN(2)/2)*CG35*CJ35*VLOOKUP('Données projet'!$B$12,Paramètres!$A$1:$I$89,3,0)*0.475*44/12</f>
        <v>12.019517126378643</v>
      </c>
      <c r="CN35" s="22">
        <f t="shared" si="12"/>
        <v>34.568518789111707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8.0564102564102562</v>
      </c>
      <c r="CT35" s="12">
        <f>IF('Données projet'!$A$140&gt;35,CT34+CS35-DB34,IF(A35&lt;'Données projet'!$A$140,$CQ$205^A35,IF(A35='Données projet'!$A$140,'Données projet'!$B$140,CT34+CS35-DB34)))</f>
        <v>137.99743589743588</v>
      </c>
      <c r="CU35" s="17">
        <f>CT35*VLOOKUP('Données projet'!$B$13,Paramètres!$A$1:$I$89,3,0)*VLOOKUP('Données projet'!$B$13,Paramètres!$A$1:$I$89,5,0)</f>
        <v>139.92939999999999</v>
      </c>
      <c r="CV35" s="13">
        <f t="shared" si="41"/>
        <v>36.280831551634627</v>
      </c>
      <c r="CW35" s="20">
        <f t="shared" si="13"/>
        <v>306.89948661909699</v>
      </c>
      <c r="CX35" s="59">
        <f t="shared" si="14"/>
        <v>600.2328199524303</v>
      </c>
      <c r="CY35" s="59">
        <f ca="1">AVERAGE(OFFSET($CX$3,0,0,'Données projet'!$E$13+1,1))-AVERAGE(OFFSET($H$3,0,0,'Données projet'!$E$13+1,1))</f>
        <v>263.15518481854753</v>
      </c>
      <c r="CZ35" s="59">
        <f t="shared" si="42"/>
        <v>210.80755370263819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7.2</v>
      </c>
      <c r="DO35" s="12">
        <f>IF('Données projet'!$A$166&gt;35,DO34+DN35-DW34,IF(A35&lt;'Données projet'!$A$166,$DL$205^A35,IF(A35='Données projet'!$A$166,'Données projet'!$B$166,DO34+DN35-DW34)))</f>
        <v>123.39999999999999</v>
      </c>
      <c r="DP35" s="17">
        <f>DO35*VLOOKUP('Données projet'!$B$14,Paramètres!$A$1:$I$89,3,0)*VLOOKUP('Données projet'!$B$14,Paramètres!$A$1:$I$89,5,0)</f>
        <v>100.10207999999999</v>
      </c>
      <c r="DQ35" s="13">
        <f t="shared" si="43"/>
        <v>26.986315256436303</v>
      </c>
      <c r="DR35" s="20">
        <f t="shared" si="16"/>
        <v>221.34562173829318</v>
      </c>
      <c r="DS35" s="59">
        <f t="shared" si="17"/>
        <v>514.67895507162643</v>
      </c>
      <c r="DT35" s="59">
        <f ca="1">AVERAGE(OFFSET($DS$3,0,0,'Données projet'!$E$14+1,1))-AVERAGE(OFFSET($H$3,0,0,'Données projet'!$E$14+1,1))</f>
        <v>203.21935660591021</v>
      </c>
      <c r="DU35" s="59">
        <f t="shared" si="44"/>
        <v>180.54762778843178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0.96364071656323269</v>
      </c>
      <c r="EB35" s="21">
        <f>EXP(-LN(2)/25)*EB34+(1-EXP(-LN(2)/25))/(LN(2)/25)*Calculateur!DW35*Calculateur!DY35*VLOOKUP('Données projet'!$B$14,Paramètres!$A$1:$I$89,3,0)*0.475*44/12</f>
        <v>5.4906356674479238</v>
      </c>
      <c r="EC35" s="21">
        <f>EXP(-LN(2)/2)*EC34+(1-EXP(-LN(2)/2))/(LN(2)/2)*DW35*DZ35*VLOOKUP('Données projet'!$B$14,Paramètres!$A$1:$I$89,3,0)*0.475*44/12</f>
        <v>4.5313422601899678</v>
      </c>
      <c r="ED35" s="22">
        <f t="shared" si="18"/>
        <v>10.985618644201125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12.1</v>
      </c>
      <c r="EJ35" s="12">
        <f>IF('Données projet'!$A$192&gt;35,EJ34+EI35-ER34,IF(A35&lt;'Données projet'!$A$192,$EG$205^A35,IF(A35='Données projet'!$A$192,'Données projet'!$B$192,EJ34+EI35-ER34)))</f>
        <v>166.2</v>
      </c>
      <c r="EK35" s="17">
        <f>EJ35*VLOOKUP('Données projet'!$B$15,Paramètres!$A$1:$I$89,3,0)*VLOOKUP('Données projet'!$B$15,Paramètres!$A$1:$I$89,5,0)</f>
        <v>111.48696</v>
      </c>
      <c r="EL35" s="13">
        <f t="shared" si="45"/>
        <v>29.681049698142655</v>
      </c>
      <c r="EM35" s="20">
        <f t="shared" si="19"/>
        <v>245.86761689093177</v>
      </c>
      <c r="EN35" s="59">
        <f t="shared" si="20"/>
        <v>539.20095022426506</v>
      </c>
      <c r="EO35" s="59">
        <f ca="1">AVERAGE(OFFSET($EN$3,0,0,'Données projet'!$E$15+1,1))-AVERAGE(OFFSET($H$3,0,0,'Données projet'!$E$15+1,1))</f>
        <v>207.93042467236967</v>
      </c>
      <c r="EP35" s="59">
        <f t="shared" si="46"/>
        <v>250.70954318710835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2.6443099544745516</v>
      </c>
      <c r="EW35" s="21">
        <f>EXP(-LN(2)/25)*EW34+(1-EXP(-LN(2)/25))/(LN(2)/25)*Calculateur!ER35*Calculateur!ET35*VLOOKUP('Données projet'!$B$15,Paramètres!$A$1:$I$89,3,0)*0.475*44/12</f>
        <v>16.367593408221957</v>
      </c>
      <c r="EX35" s="21">
        <f>EXP(-LN(2)/2)*EX34+(1-EXP(-LN(2)/2))/(LN(2)/2)*ER35*EU35*VLOOKUP('Données projet'!$B$15,Paramètres!$A$1:$I$89,3,0)*0.475*44/12</f>
        <v>10.134102675181992</v>
      </c>
      <c r="EY35" s="22">
        <f t="shared" si="21"/>
        <v>29.1460060378785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22.884615384615376</v>
      </c>
      <c r="N36" s="13">
        <f>IF('Données projet'!$A$36&gt;35,N35+M36-V35,IF(A36&lt;'Données projet'!$A$36,$K$205^A36,IF(A36='Données projet'!$A$36,'Données projet'!$B$36,N35+M36-V35)))</f>
        <v>334.85384615384595</v>
      </c>
      <c r="O36" s="13">
        <f>N36*VLOOKUP('Données projet'!$B$9,Paramètres!$A$1:$I$89,3,0)*VLOOKUP('Données projet'!$B$9,Paramètres!$A$1:$I$89,5,0)</f>
        <v>187.18329999999989</v>
      </c>
      <c r="P36" s="13">
        <f t="shared" si="33"/>
        <v>46.91668019244311</v>
      </c>
      <c r="Q36" s="20">
        <f t="shared" si="53"/>
        <v>407.72413216850492</v>
      </c>
      <c r="R36" s="59">
        <f t="shared" si="0"/>
        <v>701.05746550183824</v>
      </c>
      <c r="S36" s="59">
        <f ca="1">AVERAGE(OFFSET($R$3,0,0,'Données projet'!$E$9+1,1))-AVERAGE(OFFSET($H$3,0,0,'Données projet'!$E$9+1,1))</f>
        <v>255.5374979188561</v>
      </c>
      <c r="T36" s="59">
        <f t="shared" si="34"/>
        <v>343.10418468620901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2.91180072107323</v>
      </c>
      <c r="AA36" s="21">
        <f>EXP(-LN(2)/25)*AA35+(1-EXP(-LN(2)/25))/(LN(2)/25)*Calculateur!V36*Calculateur!X36*VLOOKUP('Données projet'!$B$9,Paramètres!$A$1:$I$89,3,0)*0.475*44/12</f>
        <v>14.68643335244553</v>
      </c>
      <c r="AB36" s="21">
        <f>EXP(-LN(2)/2)*AB35+(1-EXP(-LN(2)/2))/(LN(2)/2)*V36*Y36*VLOOKUP('Données projet'!$B$9,Paramètres!$A$1:$I$89,3,0)*0.475*44/12</f>
        <v>0.59844288178574045</v>
      </c>
      <c r="AC36" s="22">
        <f t="shared" si="3"/>
        <v>18.1966769553045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16.131410256410259</v>
      </c>
      <c r="AI36" s="13">
        <f>IF('Données projet'!$A$62&gt;35,AI35+AH36-AQ35,IF(A36&lt;'Données projet'!$A$62,$AF$205^A36,IF(A36='Données projet'!$A$62,'Données projet'!$B$62,AI35+AH36-AQ35)))</f>
        <v>265.18653846153842</v>
      </c>
      <c r="AJ36" s="13">
        <f>AI36*VLOOKUP('Données projet'!$B$10,Paramètres!$A$1:$I$89,3,0)*VLOOKUP('Données projet'!$B$10,Paramètres!$A$1:$I$89,5,0)</f>
        <v>124.10729999999997</v>
      </c>
      <c r="AK36" s="13">
        <f t="shared" si="35"/>
        <v>32.631075149258578</v>
      </c>
      <c r="AL36" s="20">
        <f t="shared" si="4"/>
        <v>272.98600338495862</v>
      </c>
      <c r="AM36" s="59">
        <f t="shared" si="5"/>
        <v>566.31933671829188</v>
      </c>
      <c r="AN36" s="59">
        <f ca="1">AVERAGE(OFFSET($AM$3,0,0,'Données projet'!$E$10+1,1))-AVERAGE(OFFSET($H$3,0,0,'Données projet'!$E$10+1,1))</f>
        <v>158.58786357608489</v>
      </c>
      <c r="AO36" s="59">
        <f t="shared" si="36"/>
        <v>163.20074068819849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18.2</v>
      </c>
      <c r="BD36" s="12">
        <f>IF('Données projet'!$A$88&gt;35,BD35+BC36-BL35,IF(A36&lt;'Données projet'!$A$88,$BA$205^A36,IF(A36='Données projet'!$A$88,'Données projet'!$B$88,BD35+BC36-BL35)))</f>
        <v>213.60000000000002</v>
      </c>
      <c r="BE36" s="13">
        <f>BD36*VLOOKUP('Données projet'!$B$11,Paramètres!$A$1:$I$89,3,0)*VLOOKUP('Données projet'!$B$11,Paramètres!$A$1:$I$89,5,0)</f>
        <v>127.73280000000003</v>
      </c>
      <c r="BF36" s="13">
        <f t="shared" si="37"/>
        <v>33.471940749957469</v>
      </c>
      <c r="BG36" s="20">
        <f t="shared" si="7"/>
        <v>280.76492347284267</v>
      </c>
      <c r="BH36" s="59">
        <f t="shared" si="8"/>
        <v>574.09825680617598</v>
      </c>
      <c r="BI36" s="59">
        <f ca="1">AVERAGE(OFFSET($BH$3,0,0,'Données projet'!$E$11+1,1))-AVERAGE(OFFSET($H$3,0,0,'Données projet'!$E$11+1,1))</f>
        <v>316.58509520829671</v>
      </c>
      <c r="BJ36" s="59">
        <f t="shared" si="38"/>
        <v>240.71332110643596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2.3883492366556927</v>
      </c>
      <c r="BQ36" s="21">
        <f>EXP(-LN(2)/25)*BQ35+(1-EXP(-LN(2)/25))/(LN(2)/25)*Calculateur!BL36*Calculateur!BN36*VLOOKUP('Données projet'!$B$11,Paramètres!$A$1:$I$89,3,0)*0.475*44/12</f>
        <v>14.049357618937552</v>
      </c>
      <c r="BR36" s="21">
        <f>EXP(-LN(2)/2)*BR35+(1-EXP(-LN(2)/2))/(LN(2)/2)*BL36*BO36*VLOOKUP('Données projet'!$B$11,Paramètres!$A$1:$I$89,3,0)*0.475*44/12</f>
        <v>7.7567291298373204</v>
      </c>
      <c r="BS36" s="22">
        <f t="shared" si="9"/>
        <v>24.194435985430566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12.1</v>
      </c>
      <c r="BY36" s="12">
        <f>IF('Données projet'!$A$114&gt;35,BY35+BX36-CG35,IF(A36&lt;'Données projet'!$A$114,$BV$205^A36,IF(A36='Données projet'!$A$114,'Données projet'!$B$114,BY35+BX36-CG35)))</f>
        <v>178.29999999999998</v>
      </c>
      <c r="BZ36" s="13">
        <f>BY36*VLOOKUP('Données projet'!$B$12,Paramètres!$A$1:$I$89,3,0)*VLOOKUP('Données projet'!$B$12,Paramètres!$A$1:$I$89,5,0)</f>
        <v>141.85548</v>
      </c>
      <c r="CA36" s="13">
        <f t="shared" si="39"/>
        <v>36.721743640099248</v>
      </c>
      <c r="CB36" s="20">
        <f t="shared" si="10"/>
        <v>311.02199783983951</v>
      </c>
      <c r="CC36" s="59">
        <f t="shared" si="11"/>
        <v>604.35533117317277</v>
      </c>
      <c r="CD36" s="59">
        <f ca="1">AVERAGE(OFFSET($CC$3,0,0,'Données projet'!$E$12+1,1))-AVERAGE(OFFSET($H$3,0,0,'Données projet'!$E$12+1,1))</f>
        <v>260.20517190557814</v>
      </c>
      <c r="CE36" s="59">
        <f t="shared" si="40"/>
        <v>307.22009971147133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3.0747741652556546</v>
      </c>
      <c r="CL36" s="21">
        <f>EXP(-LN(2)/25)*CL35+(1-EXP(-LN(2)/25))/(LN(2)/25)*Calculateur!CG36*Calculateur!CI36*VLOOKUP('Données projet'!$B$12,Paramètres!$A$1:$I$89,3,0)*0.475*44/12</f>
        <v>18.881885023086735</v>
      </c>
      <c r="CM36" s="21">
        <f>EXP(-LN(2)/2)*CM35+(1-EXP(-LN(2)/2))/(LN(2)/2)*CG36*CJ36*VLOOKUP('Données projet'!$B$12,Paramètres!$A$1:$I$89,3,0)*0.475*44/12</f>
        <v>8.4990820666501836</v>
      </c>
      <c r="CN36" s="22">
        <f t="shared" si="12"/>
        <v>30.455741254992574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8.0564102564102562</v>
      </c>
      <c r="CT36" s="12">
        <f>IF('Données projet'!$A$140&gt;35,CT35+CS36-DB35,IF(A36&lt;'Données projet'!$A$140,$CQ$205^A36,IF(A36='Données projet'!$A$140,'Données projet'!$B$140,CT35+CS36-DB35)))</f>
        <v>146.05384615384614</v>
      </c>
      <c r="CU36" s="17">
        <f>CT36*VLOOKUP('Données projet'!$B$13,Paramètres!$A$1:$I$89,3,0)*VLOOKUP('Données projet'!$B$13,Paramètres!$A$1:$I$89,5,0)</f>
        <v>148.09859999999998</v>
      </c>
      <c r="CV36" s="13">
        <f t="shared" si="41"/>
        <v>38.146165355224731</v>
      </c>
      <c r="CW36" s="20">
        <f t="shared" si="13"/>
        <v>324.37629966034967</v>
      </c>
      <c r="CX36" s="59">
        <f t="shared" si="14"/>
        <v>617.70963299368304</v>
      </c>
      <c r="CY36" s="59">
        <f ca="1">AVERAGE(OFFSET($CX$3,0,0,'Données projet'!$E$13+1,1))-AVERAGE(OFFSET($H$3,0,0,'Données projet'!$E$13+1,1))</f>
        <v>263.15518481854753</v>
      </c>
      <c r="CZ36" s="59">
        <f t="shared" si="42"/>
        <v>210.80755370263819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7.2</v>
      </c>
      <c r="DO36" s="12">
        <f>IF('Données projet'!$A$166&gt;35,DO35+DN36-DW35,IF(A36&lt;'Données projet'!$A$166,$DL$205^A36,IF(A36='Données projet'!$A$166,'Données projet'!$B$166,DO35+DN36-DW35)))</f>
        <v>130.6</v>
      </c>
      <c r="DP36" s="17">
        <f>DO36*VLOOKUP('Données projet'!$B$14,Paramètres!$A$1:$I$89,3,0)*VLOOKUP('Données projet'!$B$14,Paramètres!$A$1:$I$89,5,0)</f>
        <v>105.94272000000001</v>
      </c>
      <c r="DQ36" s="13">
        <f t="shared" si="43"/>
        <v>28.372976970554706</v>
      </c>
      <c r="DR36" s="20">
        <f t="shared" si="16"/>
        <v>233.93317222371613</v>
      </c>
      <c r="DS36" s="59">
        <f t="shared" si="17"/>
        <v>527.26650555704941</v>
      </c>
      <c r="DT36" s="59">
        <f ca="1">AVERAGE(OFFSET($DS$3,0,0,'Données projet'!$E$14+1,1))-AVERAGE(OFFSET($H$3,0,0,'Données projet'!$E$14+1,1))</f>
        <v>203.21935660591021</v>
      </c>
      <c r="DU36" s="59">
        <f t="shared" si="44"/>
        <v>180.54762778843178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0.94474430987422808</v>
      </c>
      <c r="EB36" s="21">
        <f>EXP(-LN(2)/25)*EB35+(1-EXP(-LN(2)/25))/(LN(2)/25)*Calculateur!DW36*Calculateur!DY36*VLOOKUP('Données projet'!$B$14,Paramètres!$A$1:$I$89,3,0)*0.475*44/12</f>
        <v>5.3404939463815797</v>
      </c>
      <c r="EC36" s="21">
        <f>EXP(-LN(2)/2)*EC35+(1-EXP(-LN(2)/2))/(LN(2)/2)*DW36*DZ36*VLOOKUP('Données projet'!$B$14,Paramètres!$A$1:$I$89,3,0)*0.475*44/12</f>
        <v>3.2041428400575036</v>
      </c>
      <c r="ED36" s="22">
        <f t="shared" si="18"/>
        <v>9.4893810963133109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12.1</v>
      </c>
      <c r="EJ36" s="12">
        <f>IF('Données projet'!$A$192&gt;35,EJ35+EI36-ER35,IF(A36&lt;'Données projet'!$A$192,$EG$205^A36,IF(A36='Données projet'!$A$192,'Données projet'!$B$192,EJ35+EI36-ER35)))</f>
        <v>178.29999999999998</v>
      </c>
      <c r="EK36" s="17">
        <f>EJ36*VLOOKUP('Données projet'!$B$15,Paramètres!$A$1:$I$89,3,0)*VLOOKUP('Données projet'!$B$15,Paramètres!$A$1:$I$89,5,0)</f>
        <v>119.60364</v>
      </c>
      <c r="EL36" s="13">
        <f t="shared" si="45"/>
        <v>31.58253704018756</v>
      </c>
      <c r="EM36" s="20">
        <f t="shared" si="19"/>
        <v>263.31592501165994</v>
      </c>
      <c r="EN36" s="59">
        <f t="shared" si="20"/>
        <v>556.64925834499331</v>
      </c>
      <c r="EO36" s="59">
        <f ca="1">AVERAGE(OFFSET($EN$3,0,0,'Données projet'!$E$15+1,1))-AVERAGE(OFFSET($H$3,0,0,'Données projet'!$E$15+1,1))</f>
        <v>207.93042467236967</v>
      </c>
      <c r="EP36" s="59">
        <f t="shared" si="46"/>
        <v>250.70954318710835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2.5924566491371204</v>
      </c>
      <c r="EW36" s="21">
        <f>EXP(-LN(2)/25)*EW35+(1-EXP(-LN(2)/25))/(LN(2)/25)*Calculateur!ER36*Calculateur!ET36*VLOOKUP('Données projet'!$B$15,Paramètres!$A$1:$I$89,3,0)*0.475*44/12</f>
        <v>15.920020705739798</v>
      </c>
      <c r="EX36" s="21">
        <f>EXP(-LN(2)/2)*EX35+(1-EXP(-LN(2)/2))/(LN(2)/2)*ER36*EU36*VLOOKUP('Données projet'!$B$15,Paramètres!$A$1:$I$89,3,0)*0.475*44/12</f>
        <v>7.1658927228619191</v>
      </c>
      <c r="EY36" s="22">
        <f t="shared" si="21"/>
        <v>25.678370077738837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22.884615384615376</v>
      </c>
      <c r="N37" s="13">
        <f>IF('Données projet'!$A$36&gt;35,N36+M37-V36,IF(A37&lt;'Données projet'!$A$36,$K$205^A37,IF(A37='Données projet'!$A$36,'Données projet'!$B$36,N36+M37-V36)))</f>
        <v>357.73846153846131</v>
      </c>
      <c r="O37" s="13">
        <f>N37*VLOOKUP('Données projet'!$B$9,Paramètres!$A$1:$I$89,3,0)*VLOOKUP('Données projet'!$B$9,Paramètres!$A$1:$I$89,5,0)</f>
        <v>199.97579999999988</v>
      </c>
      <c r="P37" s="13">
        <f t="shared" si="33"/>
        <v>49.738849260389202</v>
      </c>
      <c r="Q37" s="20">
        <f t="shared" si="53"/>
        <v>434.91968079517761</v>
      </c>
      <c r="R37" s="59">
        <f t="shared" si="0"/>
        <v>728.25301412851093</v>
      </c>
      <c r="S37" s="59">
        <f ca="1">AVERAGE(OFFSET($R$3,0,0,'Données projet'!$E$9+1,1))-AVERAGE(OFFSET($H$3,0,0,'Données projet'!$E$9+1,1))</f>
        <v>255.5374979188561</v>
      </c>
      <c r="T37" s="59">
        <f t="shared" si="34"/>
        <v>343.10418468620901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2.854702084956056</v>
      </c>
      <c r="AA37" s="21">
        <f>EXP(-LN(2)/25)*AA36+(1-EXP(-LN(2)/25))/(LN(2)/25)*Calculateur!V37*Calculateur!X37*VLOOKUP('Données projet'!$B$9,Paramètres!$A$1:$I$89,3,0)*0.475*44/12</f>
        <v>14.284832060096942</v>
      </c>
      <c r="AB37" s="21">
        <f>EXP(-LN(2)/2)*AB36+(1-EXP(-LN(2)/2))/(LN(2)/2)*V37*Y37*VLOOKUP('Données projet'!$B$9,Paramètres!$A$1:$I$89,3,0)*0.475*44/12</f>
        <v>0.42316301986351651</v>
      </c>
      <c r="AC37" s="22">
        <f t="shared" si="3"/>
        <v>17.562697164916514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16.131410256410259</v>
      </c>
      <c r="AI37" s="13">
        <f>IF('Données projet'!$A$62&gt;35,AI36+AH37-AQ36,IF(A37&lt;'Données projet'!$A$62,$AF$205^A37,IF(A37='Données projet'!$A$62,'Données projet'!$B$62,AI36+AH37-AQ36)))</f>
        <v>281.3179487179487</v>
      </c>
      <c r="AJ37" s="13">
        <f>AI37*VLOOKUP('Données projet'!$B$10,Paramètres!$A$1:$I$89,3,0)*VLOOKUP('Données projet'!$B$10,Paramètres!$A$1:$I$89,5,0)</f>
        <v>131.65679999999998</v>
      </c>
      <c r="AK37" s="13">
        <f t="shared" si="35"/>
        <v>34.378914540413547</v>
      </c>
      <c r="AL37" s="20">
        <f t="shared" si="4"/>
        <v>289.17886949122021</v>
      </c>
      <c r="AM37" s="59">
        <f t="shared" si="5"/>
        <v>582.51220282455347</v>
      </c>
      <c r="AN37" s="59">
        <f ca="1">AVERAGE(OFFSET($AM$3,0,0,'Données projet'!$E$10+1,1))-AVERAGE(OFFSET($H$3,0,0,'Données projet'!$E$10+1,1))</f>
        <v>158.58786357608489</v>
      </c>
      <c r="AO37" s="59">
        <f t="shared" si="36"/>
        <v>163.20074068819849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18.2</v>
      </c>
      <c r="BD37" s="12">
        <f>IF('Données projet'!$A$88&gt;35,BD36+BC37-BL36,IF(A37&lt;'Données projet'!$A$88,$BA$205^A37,IF(A37='Données projet'!$A$88,'Données projet'!$B$88,BD36+BC37-BL36)))</f>
        <v>231.8</v>
      </c>
      <c r="BE37" s="13">
        <f>BD37*VLOOKUP('Données projet'!$B$11,Paramètres!$A$1:$I$89,3,0)*VLOOKUP('Données projet'!$B$11,Paramètres!$A$1:$I$89,5,0)</f>
        <v>138.61640000000003</v>
      </c>
      <c r="BF37" s="13">
        <f t="shared" si="37"/>
        <v>35.97985917844175</v>
      </c>
      <c r="BG37" s="20">
        <f t="shared" si="7"/>
        <v>304.08848473578604</v>
      </c>
      <c r="BH37" s="59">
        <f t="shared" si="8"/>
        <v>597.42181806911935</v>
      </c>
      <c r="BI37" s="59">
        <f ca="1">AVERAGE(OFFSET($BH$3,0,0,'Données projet'!$E$11+1,1))-AVERAGE(OFFSET($H$3,0,0,'Données projet'!$E$11+1,1))</f>
        <v>316.58509520829671</v>
      </c>
      <c r="BJ37" s="59">
        <f t="shared" si="38"/>
        <v>240.71332110643596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2.3415151648740666</v>
      </c>
      <c r="BQ37" s="21">
        <f>EXP(-LN(2)/25)*BQ36+(1-EXP(-LN(2)/25))/(LN(2)/25)*Calculateur!BL37*Calculateur!BN37*VLOOKUP('Données projet'!$B$11,Paramètres!$A$1:$I$89,3,0)*0.475*44/12</f>
        <v>13.665177196024098</v>
      </c>
      <c r="BR37" s="21">
        <f>EXP(-LN(2)/2)*BR36+(1-EXP(-LN(2)/2))/(LN(2)/2)*BL37*BO37*VLOOKUP('Données projet'!$B$11,Paramètres!$A$1:$I$89,3,0)*0.475*44/12</f>
        <v>5.4848357675351975</v>
      </c>
      <c r="BS37" s="22">
        <f t="shared" si="9"/>
        <v>21.491528128433362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12.1</v>
      </c>
      <c r="BY37" s="12">
        <f>IF('Données projet'!$A$114&gt;35,BY36+BX37-CG36,IF(A37&lt;'Données projet'!$A$114,$BV$205^A37,IF(A37='Données projet'!$A$114,'Données projet'!$B$114,BY36+BX37-CG36)))</f>
        <v>190.39999999999998</v>
      </c>
      <c r="BZ37" s="13">
        <f>BY37*VLOOKUP('Données projet'!$B$12,Paramètres!$A$1:$I$89,3,0)*VLOOKUP('Données projet'!$B$12,Paramètres!$A$1:$I$89,5,0)</f>
        <v>151.48223999999999</v>
      </c>
      <c r="CA37" s="13">
        <f t="shared" si="39"/>
        <v>38.915236966075291</v>
      </c>
      <c r="CB37" s="20">
        <f t="shared" si="10"/>
        <v>331.60893904924779</v>
      </c>
      <c r="CC37" s="59">
        <f t="shared" si="11"/>
        <v>624.94227238258111</v>
      </c>
      <c r="CD37" s="59">
        <f ca="1">AVERAGE(OFFSET($CC$3,0,0,'Données projet'!$E$12+1,1))-AVERAGE(OFFSET($H$3,0,0,'Données projet'!$E$12+1,1))</f>
        <v>260.20517190557814</v>
      </c>
      <c r="CE37" s="59">
        <f t="shared" si="40"/>
        <v>307.22009971147133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3.0144797193020492</v>
      </c>
      <c r="CL37" s="21">
        <f>EXP(-LN(2)/25)*CL36+(1-EXP(-LN(2)/25))/(LN(2)/25)*Calculateur!CG37*Calculateur!CI37*VLOOKUP('Données projet'!$B$12,Paramètres!$A$1:$I$89,3,0)*0.475*44/12</f>
        <v>18.36555888417525</v>
      </c>
      <c r="CM37" s="21">
        <f>EXP(-LN(2)/2)*CM36+(1-EXP(-LN(2)/2))/(LN(2)/2)*CG37*CJ37*VLOOKUP('Données projet'!$B$12,Paramètres!$A$1:$I$89,3,0)*0.475*44/12</f>
        <v>6.0097585631893216</v>
      </c>
      <c r="CN37" s="22">
        <f t="shared" si="12"/>
        <v>27.389797166666622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8.0564102564102562</v>
      </c>
      <c r="CT37" s="12">
        <f>IF('Données projet'!$A$140&gt;35,CT36+CS37-DB36,IF(A37&lt;'Données projet'!$A$140,$CQ$205^A37,IF(A37='Données projet'!$A$140,'Données projet'!$B$140,CT36+CS37-DB36)))</f>
        <v>154.1102564102564</v>
      </c>
      <c r="CU37" s="17">
        <f>CT37*VLOOKUP('Données projet'!$B$13,Paramètres!$A$1:$I$89,3,0)*VLOOKUP('Données projet'!$B$13,Paramètres!$A$1:$I$89,5,0)</f>
        <v>156.26779999999999</v>
      </c>
      <c r="CV37" s="13">
        <f t="shared" si="41"/>
        <v>39.999554405940785</v>
      </c>
      <c r="CW37" s="20">
        <f t="shared" si="13"/>
        <v>341.83230892368016</v>
      </c>
      <c r="CX37" s="59">
        <f t="shared" si="14"/>
        <v>635.16564225701347</v>
      </c>
      <c r="CY37" s="59">
        <f ca="1">AVERAGE(OFFSET($CX$3,0,0,'Données projet'!$E$13+1,1))-AVERAGE(OFFSET($H$3,0,0,'Données projet'!$E$13+1,1))</f>
        <v>263.15518481854753</v>
      </c>
      <c r="CZ37" s="59">
        <f t="shared" si="42"/>
        <v>210.80755370263819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7.2</v>
      </c>
      <c r="DO37" s="12">
        <f>IF('Données projet'!$A$166&gt;35,DO36+DN37-DW36,IF(A37&lt;'Données projet'!$A$166,$DL$205^A37,IF(A37='Données projet'!$A$166,'Données projet'!$B$166,DO36+DN37-DW36)))</f>
        <v>137.79999999999998</v>
      </c>
      <c r="DP37" s="17">
        <f>DO37*VLOOKUP('Données projet'!$B$14,Paramètres!$A$1:$I$89,3,0)*VLOOKUP('Données projet'!$B$14,Paramètres!$A$1:$I$89,5,0)</f>
        <v>111.78335999999999</v>
      </c>
      <c r="DQ37" s="13">
        <f t="shared" si="43"/>
        <v>29.750764011091608</v>
      </c>
      <c r="DR37" s="20">
        <f t="shared" si="16"/>
        <v>246.50526598598449</v>
      </c>
      <c r="DS37" s="59">
        <f t="shared" si="17"/>
        <v>539.83859931931784</v>
      </c>
      <c r="DT37" s="59">
        <f ca="1">AVERAGE(OFFSET($DS$3,0,0,'Données projet'!$E$14+1,1))-AVERAGE(OFFSET($H$3,0,0,'Données projet'!$E$14+1,1))</f>
        <v>203.21935660591021</v>
      </c>
      <c r="DU37" s="59">
        <f t="shared" si="44"/>
        <v>180.54762778843178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0.92621845019472482</v>
      </c>
      <c r="EB37" s="21">
        <f>EXP(-LN(2)/25)*EB36+(1-EXP(-LN(2)/25))/(LN(2)/25)*Calculateur!DW37*Calculateur!DY37*VLOOKUP('Données projet'!$B$14,Paramètres!$A$1:$I$89,3,0)*0.475*44/12</f>
        <v>5.1944578585734043</v>
      </c>
      <c r="EC37" s="21">
        <f>EXP(-LN(2)/2)*EC36+(1-EXP(-LN(2)/2))/(LN(2)/2)*DW37*DZ37*VLOOKUP('Données projet'!$B$14,Paramètres!$A$1:$I$89,3,0)*0.475*44/12</f>
        <v>2.2656711300949843</v>
      </c>
      <c r="ED37" s="22">
        <f t="shared" si="18"/>
        <v>8.3863474388631136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12.1</v>
      </c>
      <c r="EJ37" s="12">
        <f>IF('Données projet'!$A$192&gt;35,EJ36+EI37-ER36,IF(A37&lt;'Données projet'!$A$192,$EG$205^A37,IF(A37='Données projet'!$A$192,'Données projet'!$B$192,EJ36+EI37-ER36)))</f>
        <v>190.39999999999998</v>
      </c>
      <c r="EK37" s="17">
        <f>EJ37*VLOOKUP('Données projet'!$B$15,Paramètres!$A$1:$I$89,3,0)*VLOOKUP('Données projet'!$B$15,Paramètres!$A$1:$I$89,5,0)</f>
        <v>127.72031999999999</v>
      </c>
      <c r="EL37" s="13">
        <f t="shared" si="45"/>
        <v>33.469051060164404</v>
      </c>
      <c r="EM37" s="20">
        <f t="shared" si="19"/>
        <v>280.73815459645294</v>
      </c>
      <c r="EN37" s="59">
        <f t="shared" si="20"/>
        <v>574.07148792978626</v>
      </c>
      <c r="EO37" s="59">
        <f ca="1">AVERAGE(OFFSET($EN$3,0,0,'Données projet'!$E$15+1,1))-AVERAGE(OFFSET($H$3,0,0,'Données projet'!$E$15+1,1))</f>
        <v>207.93042467236967</v>
      </c>
      <c r="EP37" s="59">
        <f t="shared" si="46"/>
        <v>250.70954318710835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2.5416201554899627</v>
      </c>
      <c r="EW37" s="21">
        <f>EXP(-LN(2)/25)*EW36+(1-EXP(-LN(2)/25))/(LN(2)/25)*Calculateur!ER37*Calculateur!ET37*VLOOKUP('Données projet'!$B$15,Paramètres!$A$1:$I$89,3,0)*0.475*44/12</f>
        <v>15.48468690234384</v>
      </c>
      <c r="EX37" s="21">
        <f>EXP(-LN(2)/2)*EX36+(1-EXP(-LN(2)/2))/(LN(2)/2)*ER37*EU37*VLOOKUP('Données projet'!$B$15,Paramètres!$A$1:$I$89,3,0)*0.475*44/12</f>
        <v>5.0670513375909962</v>
      </c>
      <c r="EY37" s="22">
        <f t="shared" si="21"/>
        <v>23.093358395424801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22.884615384615376</v>
      </c>
      <c r="N38" s="13">
        <f>IF('Données projet'!$A$36&gt;35,N37+M38-V37,IF(A38&lt;'Données projet'!$A$36,$K$205^A38,IF(A38='Données projet'!$A$36,'Données projet'!$B$36,N37+M38-V37)))</f>
        <v>380.62307692307667</v>
      </c>
      <c r="O38" s="13">
        <f>N38*VLOOKUP('Données projet'!$B$9,Paramètres!$A$1:$I$89,3,0)*VLOOKUP('Données projet'!$B$9,Paramètres!$A$1:$I$89,5,0)</f>
        <v>212.76829999999987</v>
      </c>
      <c r="P38" s="13">
        <f t="shared" si="33"/>
        <v>52.540067037520458</v>
      </c>
      <c r="Q38" s="20">
        <f t="shared" si="53"/>
        <v>462.07873925701455</v>
      </c>
      <c r="R38" s="59">
        <f t="shared" si="0"/>
        <v>755.41207259034786</v>
      </c>
      <c r="S38" s="59">
        <f ca="1">AVERAGE(OFFSET($R$3,0,0,'Données projet'!$E$9+1,1))-AVERAGE(OFFSET($H$3,0,0,'Données projet'!$E$9+1,1))</f>
        <v>255.5374979188561</v>
      </c>
      <c r="T38" s="59">
        <f t="shared" si="34"/>
        <v>343.10418468620901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2.7987231182664107</v>
      </c>
      <c r="AA38" s="21">
        <f>EXP(-LN(2)/25)*AA37+(1-EXP(-LN(2)/25))/(LN(2)/25)*Calculateur!V38*Calculateur!X38*VLOOKUP('Données projet'!$B$9,Paramètres!$A$1:$I$89,3,0)*0.475*44/12</f>
        <v>13.894212576206922</v>
      </c>
      <c r="AB38" s="21">
        <f>EXP(-LN(2)/2)*AB37+(1-EXP(-LN(2)/2))/(LN(2)/2)*V38*Y38*VLOOKUP('Données projet'!$B$9,Paramètres!$A$1:$I$89,3,0)*0.475*44/12</f>
        <v>0.29922144089287023</v>
      </c>
      <c r="AC38" s="22">
        <f t="shared" si="3"/>
        <v>16.992157135366206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16.131410256410259</v>
      </c>
      <c r="AI38" s="13">
        <f>IF('Données projet'!$A$62&gt;35,AI37+AH38-AQ37,IF(A38&lt;'Données projet'!$A$62,$AF$205^A38,IF(A38='Données projet'!$A$62,'Données projet'!$B$62,AI37+AH38-AQ37)))</f>
        <v>297.44935897435897</v>
      </c>
      <c r="AJ38" s="13">
        <f>AI38*VLOOKUP('Données projet'!$B$10,Paramètres!$A$1:$I$89,3,0)*VLOOKUP('Données projet'!$B$10,Paramètres!$A$1:$I$89,5,0)</f>
        <v>139.2063</v>
      </c>
      <c r="AK38" s="13">
        <f t="shared" si="35"/>
        <v>36.115119849784641</v>
      </c>
      <c r="AL38" s="20">
        <f t="shared" si="4"/>
        <v>305.35147290504159</v>
      </c>
      <c r="AM38" s="59">
        <f t="shared" si="5"/>
        <v>598.6848062383749</v>
      </c>
      <c r="AN38" s="59">
        <f ca="1">AVERAGE(OFFSET($AM$3,0,0,'Données projet'!$E$10+1,1))-AVERAGE(OFFSET($H$3,0,0,'Données projet'!$E$10+1,1))</f>
        <v>158.58786357608489</v>
      </c>
      <c r="AO38" s="59">
        <f t="shared" si="36"/>
        <v>163.20074068819849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18.2</v>
      </c>
      <c r="BD38" s="12">
        <f>IF('Données projet'!$A$88&gt;35,BD37+BC38-BL37,IF(A38&lt;'Données projet'!$A$88,$BA$205^A38,IF(A38='Données projet'!$A$88,'Données projet'!$B$88,BD37+BC38-BL37)))</f>
        <v>250</v>
      </c>
      <c r="BE38" s="13">
        <f>BD38*VLOOKUP('Données projet'!$B$11,Paramètres!$A$1:$I$89,3,0)*VLOOKUP('Données projet'!$B$11,Paramètres!$A$1:$I$89,5,0)</f>
        <v>149.5</v>
      </c>
      <c r="BF38" s="13">
        <f t="shared" si="37"/>
        <v>38.464936755681478</v>
      </c>
      <c r="BG38" s="20">
        <f t="shared" si="7"/>
        <v>327.3722648494786</v>
      </c>
      <c r="BH38" s="59">
        <f t="shared" si="8"/>
        <v>620.70559818281185</v>
      </c>
      <c r="BI38" s="59">
        <f ca="1">AVERAGE(OFFSET($BH$3,0,0,'Données projet'!$E$11+1,1))-AVERAGE(OFFSET($H$3,0,0,'Données projet'!$E$11+1,1))</f>
        <v>316.58509520829671</v>
      </c>
      <c r="BJ38" s="59">
        <f t="shared" si="38"/>
        <v>240.71332110643596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2.2955994806741153</v>
      </c>
      <c r="BQ38" s="21">
        <f>EXP(-LN(2)/25)*BQ37+(1-EXP(-LN(2)/25))/(LN(2)/25)*Calculateur!BL38*Calculateur!BN38*VLOOKUP('Données projet'!$B$11,Paramètres!$A$1:$I$89,3,0)*0.475*44/12</f>
        <v>13.291502206978382</v>
      </c>
      <c r="BR38" s="21">
        <f>EXP(-LN(2)/2)*BR37+(1-EXP(-LN(2)/2))/(LN(2)/2)*BL38*BO38*VLOOKUP('Données projet'!$B$11,Paramètres!$A$1:$I$89,3,0)*0.475*44/12</f>
        <v>3.8783645649186607</v>
      </c>
      <c r="BS38" s="22">
        <f t="shared" si="9"/>
        <v>19.465466252571158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12.1</v>
      </c>
      <c r="BY38" s="12">
        <f>IF('Données projet'!$A$114&gt;35,BY37+BX38-CG37,IF(A38&lt;'Données projet'!$A$114,$BV$205^A38,IF(A38='Données projet'!$A$114,'Données projet'!$B$114,BY37+BX38-CG37)))</f>
        <v>202.49999999999997</v>
      </c>
      <c r="BZ38" s="13">
        <f>BY38*VLOOKUP('Données projet'!$B$12,Paramètres!$A$1:$I$89,3,0)*VLOOKUP('Données projet'!$B$12,Paramètres!$A$1:$I$89,5,0)</f>
        <v>161.10899999999998</v>
      </c>
      <c r="CA38" s="13">
        <f t="shared" si="39"/>
        <v>41.092552806229541</v>
      </c>
      <c r="CB38" s="20">
        <f t="shared" si="10"/>
        <v>352.16770447084974</v>
      </c>
      <c r="CC38" s="59">
        <f t="shared" si="11"/>
        <v>645.50103780418306</v>
      </c>
      <c r="CD38" s="59">
        <f ca="1">AVERAGE(OFFSET($CC$3,0,0,'Données projet'!$E$12+1,1))-AVERAGE(OFFSET($H$3,0,0,'Données projet'!$E$12+1,1))</f>
        <v>260.20517190557814</v>
      </c>
      <c r="CE38" s="59">
        <f t="shared" si="40"/>
        <v>307.22009971147133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2.9553676106576132</v>
      </c>
      <c r="CL38" s="21">
        <f>EXP(-LN(2)/25)*CL37+(1-EXP(-LN(2)/25))/(LN(2)/25)*Calculateur!CG38*Calculateur!CI38*VLOOKUP('Données projet'!$B$12,Paramètres!$A$1:$I$89,3,0)*0.475*44/12</f>
        <v>17.863351710684711</v>
      </c>
      <c r="CM38" s="21">
        <f>EXP(-LN(2)/2)*CM37+(1-EXP(-LN(2)/2))/(LN(2)/2)*CG38*CJ38*VLOOKUP('Données projet'!$B$12,Paramètres!$A$1:$I$89,3,0)*0.475*44/12</f>
        <v>4.2495410333250918</v>
      </c>
      <c r="CN38" s="22">
        <f t="shared" si="12"/>
        <v>25.068260354667416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>
        <f>VLOOKUP(A38,'Données projet'!$A$139:$I$159,2,0)</f>
        <v>162.16666666666666</v>
      </c>
      <c r="CR38" s="12">
        <f>VLOOKUP(A38,'Données projet'!$A$139:$I$159,9,0)</f>
        <v>8.0564102564102562</v>
      </c>
      <c r="CS38" s="12">
        <f t="array" ref="CS38">INDEX(CR:CR,MIN(IF(ISNUMBER(CR38:CR234),ROW(CR38:CR234),"")))</f>
        <v>8.0564102564102562</v>
      </c>
      <c r="CT38" s="12">
        <f>IF('Données projet'!$A$140&gt;35,CT37+CS38-DB37,IF(A38&lt;'Données projet'!$A$140,$CQ$205^A38,IF(A38='Données projet'!$A$140,'Données projet'!$B$140,CT37+CS38-DB37)))</f>
        <v>162.16666666666666</v>
      </c>
      <c r="CU38" s="17">
        <f>CT38*VLOOKUP('Données projet'!$B$13,Paramètres!$A$1:$I$89,3,0)*VLOOKUP('Données projet'!$B$13,Paramètres!$A$1:$I$89,5,0)</f>
        <v>164.43700000000001</v>
      </c>
      <c r="CV38" s="13">
        <f t="shared" si="41"/>
        <v>41.841694355997333</v>
      </c>
      <c r="CW38" s="20">
        <f t="shared" si="13"/>
        <v>359.26872600336202</v>
      </c>
      <c r="CX38" s="59">
        <f t="shared" si="14"/>
        <v>652.60205933669533</v>
      </c>
      <c r="CY38" s="59">
        <f ca="1">AVERAGE(OFFSET($CX$3,0,0,'Données projet'!$E$13+1,1))-AVERAGE(OFFSET($H$3,0,0,'Données projet'!$E$13+1,1))</f>
        <v>263.15518481854753</v>
      </c>
      <c r="CZ38" s="59">
        <f t="shared" si="42"/>
        <v>210.80755370263819</v>
      </c>
      <c r="DA38" s="15">
        <f>IF(ISNA(VLOOKUP(A38,'Données projet'!$A$139:$I$159,3,0)),0,VLOOKUP(A38,'Données projet'!$A$139:$I$159,3,0))</f>
        <v>1</v>
      </c>
      <c r="DB38" s="15">
        <f>IF(ISNA(VLOOKUP(A38,'Données projet'!$A$139:$I$159,4,0)),0,VLOOKUP(A38,'Données projet'!$A$139:$I$159,4,0))</f>
        <v>60.602564102564102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7.2</v>
      </c>
      <c r="DO38" s="12">
        <f>IF('Données projet'!$A$166&gt;35,DO37+DN38-DW37,IF(A38&lt;'Données projet'!$A$166,$DL$205^A38,IF(A38='Données projet'!$A$166,'Données projet'!$B$166,DO37+DN38-DW37)))</f>
        <v>144.99999999999997</v>
      </c>
      <c r="DP38" s="17">
        <f>DO38*VLOOKUP('Données projet'!$B$14,Paramètres!$A$1:$I$89,3,0)*VLOOKUP('Données projet'!$B$14,Paramètres!$A$1:$I$89,5,0)</f>
        <v>117.624</v>
      </c>
      <c r="DQ38" s="13">
        <f t="shared" si="43"/>
        <v>31.120192961985413</v>
      </c>
      <c r="DR38" s="20">
        <f t="shared" si="16"/>
        <v>259.06280274212457</v>
      </c>
      <c r="DS38" s="59">
        <f t="shared" si="17"/>
        <v>552.39613607545789</v>
      </c>
      <c r="DT38" s="59">
        <f ca="1">AVERAGE(OFFSET($DS$3,0,0,'Données projet'!$E$14+1,1))-AVERAGE(OFFSET($H$3,0,0,'Données projet'!$E$14+1,1))</f>
        <v>203.21935660591021</v>
      </c>
      <c r="DU38" s="59">
        <f t="shared" si="44"/>
        <v>180.54762778843178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0.90805587132387799</v>
      </c>
      <c r="EB38" s="21">
        <f>EXP(-LN(2)/25)*EB37+(1-EXP(-LN(2)/25))/(LN(2)/25)*Calculateur!DW38*Calculateur!DY38*VLOOKUP('Données projet'!$B$14,Paramètres!$A$1:$I$89,3,0)*0.475*44/12</f>
        <v>5.052415135266048</v>
      </c>
      <c r="EC38" s="21">
        <f>EXP(-LN(2)/2)*EC37+(1-EXP(-LN(2)/2))/(LN(2)/2)*DW38*DZ38*VLOOKUP('Données projet'!$B$14,Paramètres!$A$1:$I$89,3,0)*0.475*44/12</f>
        <v>1.602071420028752</v>
      </c>
      <c r="ED38" s="22">
        <f t="shared" si="18"/>
        <v>7.5625424266186778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12.1</v>
      </c>
      <c r="EJ38" s="12">
        <f>IF('Données projet'!$A$192&gt;35,EJ37+EI38-ER37,IF(A38&lt;'Données projet'!$A$192,$EG$205^A38,IF(A38='Données projet'!$A$192,'Données projet'!$B$192,EJ37+EI38-ER37)))</f>
        <v>202.49999999999997</v>
      </c>
      <c r="EK38" s="17">
        <f>EJ38*VLOOKUP('Données projet'!$B$15,Paramètres!$A$1:$I$89,3,0)*VLOOKUP('Données projet'!$B$15,Paramètres!$A$1:$I$89,5,0)</f>
        <v>135.83699999999999</v>
      </c>
      <c r="EL38" s="13">
        <f t="shared" si="45"/>
        <v>35.34165163283356</v>
      </c>
      <c r="EM38" s="20">
        <f t="shared" si="19"/>
        <v>298.13615159385171</v>
      </c>
      <c r="EN38" s="59">
        <f t="shared" si="20"/>
        <v>591.46948492718502</v>
      </c>
      <c r="EO38" s="59">
        <f ca="1">AVERAGE(OFFSET($EN$3,0,0,'Données projet'!$E$15+1,1))-AVERAGE(OFFSET($H$3,0,0,'Données projet'!$E$15+1,1))</f>
        <v>207.93042467236967</v>
      </c>
      <c r="EP38" s="59">
        <f t="shared" si="46"/>
        <v>250.70954318710835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2.4917805344760264</v>
      </c>
      <c r="EW38" s="21">
        <f>EXP(-LN(2)/25)*EW37+(1-EXP(-LN(2)/25))/(LN(2)/25)*Calculateur!ER38*Calculateur!ET38*VLOOKUP('Données projet'!$B$15,Paramètres!$A$1:$I$89,3,0)*0.475*44/12</f>
        <v>15.061257324694955</v>
      </c>
      <c r="EX38" s="21">
        <f>EXP(-LN(2)/2)*EX37+(1-EXP(-LN(2)/2))/(LN(2)/2)*ER38*EU38*VLOOKUP('Données projet'!$B$15,Paramètres!$A$1:$I$89,3,0)*0.475*44/12</f>
        <v>3.5829463614309596</v>
      </c>
      <c r="EY38" s="22">
        <f t="shared" si="21"/>
        <v>21.135984220601941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403.50769230769225</v>
      </c>
      <c r="L39" s="12">
        <f>VLOOKUP(A39,'Données projet'!$A$35:$I$55,9,0)</f>
        <v>22.884615384615376</v>
      </c>
      <c r="M39" s="12">
        <f t="array" ref="M39">INDEX(L:L,MIN(IF(ISNUMBER(L39:L235),ROW(L39:L235),"")))</f>
        <v>22.884615384615376</v>
      </c>
      <c r="N39" s="13">
        <f>IF('Données projet'!$A$36&gt;35,N38+M39-V38,IF(A39&lt;'Données projet'!$A$36,$K$205^A39,IF(A39='Données projet'!$A$36,'Données projet'!$B$36,N38+M39-V38)))</f>
        <v>403.50769230769203</v>
      </c>
      <c r="O39" s="13">
        <f>N39*VLOOKUP('Données projet'!$B$9,Paramètres!$A$1:$I$89,3,0)*VLOOKUP('Données projet'!$B$9,Paramètres!$A$1:$I$89,5,0)</f>
        <v>225.56079999999986</v>
      </c>
      <c r="P39" s="13">
        <f t="shared" si="33"/>
        <v>55.321736658663617</v>
      </c>
      <c r="Q39" s="20">
        <f t="shared" si="53"/>
        <v>489.20375134717227</v>
      </c>
      <c r="R39" s="59">
        <f t="shared" si="0"/>
        <v>782.53708468050559</v>
      </c>
      <c r="S39" s="59">
        <f ca="1">AVERAGE(OFFSET($R$3,0,0,'Données projet'!$E$9+1,1))-AVERAGE(OFFSET($H$3,0,0,'Données projet'!$E$9+1,1))</f>
        <v>255.5374979188561</v>
      </c>
      <c r="T39" s="59">
        <f t="shared" si="34"/>
        <v>343.10418468620901</v>
      </c>
      <c r="U39" s="15">
        <f>IF(ISNA(VLOOKUP(A39,'Données projet'!$A$35:$I$55,3,0)),0,VLOOKUP(A39,'Données projet'!$A$35:$I$55,3,0))</f>
        <v>4</v>
      </c>
      <c r="V39" s="15">
        <f>IF(ISNA(VLOOKUP(A39,'Données projet'!$A$35:$I$55,4,0)),0,VLOOKUP(A39,'Données projet'!$A$35:$I$55,4,0))</f>
        <v>69.3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2.7438418649697511</v>
      </c>
      <c r="AA39" s="21">
        <f>EXP(-LN(2)/25)*AA38+(1-EXP(-LN(2)/25))/(LN(2)/25)*Calculateur!V39*Calculateur!X39*VLOOKUP('Données projet'!$B$9,Paramètres!$A$1:$I$89,3,0)*0.475*44/12</f>
        <v>13.51427460264566</v>
      </c>
      <c r="AB39" s="21">
        <f>EXP(-LN(2)/2)*AB38+(1-EXP(-LN(2)/2))/(LN(2)/2)*V39*Y39*VLOOKUP('Données projet'!$B$9,Paramètres!$A$1:$I$89,3,0)*0.475*44/12</f>
        <v>0.21158150993175825</v>
      </c>
      <c r="AC39" s="22">
        <f t="shared" si="3"/>
        <v>16.46969797754717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16.131410256410259</v>
      </c>
      <c r="AI39" s="13">
        <f>IF('Données projet'!$A$62&gt;35,AI38+AH39-AQ38,IF(A39&lt;'Données projet'!$A$62,$AF$205^A39,IF(A39='Données projet'!$A$62,'Données projet'!$B$62,AI38+AH39-AQ38)))</f>
        <v>313.58076923076925</v>
      </c>
      <c r="AJ39" s="13">
        <f>AI39*VLOOKUP('Données projet'!$B$10,Paramètres!$A$1:$I$89,3,0)*VLOOKUP('Données projet'!$B$10,Paramètres!$A$1:$I$89,5,0)</f>
        <v>146.75580000000002</v>
      </c>
      <c r="AK39" s="13">
        <f t="shared" si="35"/>
        <v>37.840393952855997</v>
      </c>
      <c r="AL39" s="20">
        <f t="shared" si="4"/>
        <v>321.5050378012242</v>
      </c>
      <c r="AM39" s="59">
        <f t="shared" si="5"/>
        <v>614.83837113455752</v>
      </c>
      <c r="AN39" s="59">
        <f ca="1">AVERAGE(OFFSET($AM$3,0,0,'Données projet'!$E$10+1,1))-AVERAGE(OFFSET($H$3,0,0,'Données projet'!$E$10+1,1))</f>
        <v>158.58786357608489</v>
      </c>
      <c r="AO39" s="59">
        <f t="shared" si="36"/>
        <v>163.20074068819849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18.2</v>
      </c>
      <c r="BD39" s="12">
        <f>IF('Données projet'!$A$88&gt;35,BD38+BC39-BL38,IF(A39&lt;'Données projet'!$A$88,$BA$205^A39,IF(A39='Données projet'!$A$88,'Données projet'!$B$88,BD38+BC39-BL38)))</f>
        <v>268.2</v>
      </c>
      <c r="BE39" s="13">
        <f>BD39*VLOOKUP('Données projet'!$B$11,Paramètres!$A$1:$I$89,3,0)*VLOOKUP('Données projet'!$B$11,Paramètres!$A$1:$I$89,5,0)</f>
        <v>160.3836</v>
      </c>
      <c r="BF39" s="13">
        <f t="shared" si="37"/>
        <v>40.929025395397886</v>
      </c>
      <c r="BG39" s="20">
        <f t="shared" si="7"/>
        <v>350.61948923031804</v>
      </c>
      <c r="BH39" s="59">
        <f t="shared" si="8"/>
        <v>643.95282256365135</v>
      </c>
      <c r="BI39" s="59">
        <f ca="1">AVERAGE(OFFSET($BH$3,0,0,'Données projet'!$E$11+1,1))-AVERAGE(OFFSET($H$3,0,0,'Données projet'!$E$11+1,1))</f>
        <v>316.58509520829671</v>
      </c>
      <c r="BJ39" s="59">
        <f t="shared" si="38"/>
        <v>240.71332110643596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2.2505841750355233</v>
      </c>
      <c r="BQ39" s="21">
        <f>EXP(-LN(2)/25)*BQ38+(1-EXP(-LN(2)/25))/(LN(2)/25)*Calculateur!BL39*Calculateur!BN39*VLOOKUP('Données projet'!$B$11,Paramètres!$A$1:$I$89,3,0)*0.475*44/12</f>
        <v>12.928045380158835</v>
      </c>
      <c r="BR39" s="21">
        <f>EXP(-LN(2)/2)*BR38+(1-EXP(-LN(2)/2))/(LN(2)/2)*BL39*BO39*VLOOKUP('Données projet'!$B$11,Paramètres!$A$1:$I$89,3,0)*0.475*44/12</f>
        <v>2.7424178837675992</v>
      </c>
      <c r="BS39" s="22">
        <f t="shared" si="9"/>
        <v>17.921047438961956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12.1</v>
      </c>
      <c r="BY39" s="12">
        <f>IF('Données projet'!$A$114&gt;35,BY38+BX39-CG38,IF(A39&lt;'Données projet'!$A$114,$BV$205^A39,IF(A39='Données projet'!$A$114,'Données projet'!$B$114,BY38+BX39-CG38)))</f>
        <v>214.59999999999997</v>
      </c>
      <c r="BZ39" s="13">
        <f>BY39*VLOOKUP('Données projet'!$B$12,Paramètres!$A$1:$I$89,3,0)*VLOOKUP('Données projet'!$B$12,Paramètres!$A$1:$I$89,5,0)</f>
        <v>170.73575999999997</v>
      </c>
      <c r="CA39" s="13">
        <f t="shared" si="39"/>
        <v>43.254767908658785</v>
      </c>
      <c r="CB39" s="20">
        <f t="shared" si="10"/>
        <v>372.70016944091395</v>
      </c>
      <c r="CC39" s="59">
        <f t="shared" si="11"/>
        <v>666.03350277424727</v>
      </c>
      <c r="CD39" s="59">
        <f ca="1">AVERAGE(OFFSET($CC$3,0,0,'Données projet'!$E$12+1,1))-AVERAGE(OFFSET($H$3,0,0,'Données projet'!$E$12+1,1))</f>
        <v>260.20517190557814</v>
      </c>
      <c r="CE39" s="59">
        <f t="shared" si="40"/>
        <v>307.22009971147133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2.8974146544088684</v>
      </c>
      <c r="CL39" s="21">
        <f>EXP(-LN(2)/25)*CL38+(1-EXP(-LN(2)/25))/(LN(2)/25)*Calculateur!CG39*Calculateur!CI39*VLOOKUP('Données projet'!$B$12,Paramètres!$A$1:$I$89,3,0)*0.475*44/12</f>
        <v>17.374877418763198</v>
      </c>
      <c r="CM39" s="21">
        <f>EXP(-LN(2)/2)*CM38+(1-EXP(-LN(2)/2))/(LN(2)/2)*CG39*CJ39*VLOOKUP('Données projet'!$B$12,Paramètres!$A$1:$I$89,3,0)*0.475*44/12</f>
        <v>3.0048792815946608</v>
      </c>
      <c r="CN39" s="22">
        <f t="shared" si="12"/>
        <v>23.277171354766729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9.3141025641025674</v>
      </c>
      <c r="CT39" s="12">
        <f>IF('Données projet'!$A$140&gt;35,CT38+CS39-DB38,IF(A39&lt;'Données projet'!$A$140,$CQ$205^A39,IF(A39='Données projet'!$A$140,'Données projet'!$B$140,CT38+CS39-DB38)))</f>
        <v>110.87820512820512</v>
      </c>
      <c r="CU39" s="17">
        <f>CT39*VLOOKUP('Données projet'!$B$13,Paramètres!$A$1:$I$89,3,0)*VLOOKUP('Données projet'!$B$13,Paramètres!$A$1:$I$89,5,0)</f>
        <v>112.43050000000001</v>
      </c>
      <c r="CV39" s="13">
        <f t="shared" si="41"/>
        <v>29.902898919263393</v>
      </c>
      <c r="CW39" s="20">
        <f t="shared" si="13"/>
        <v>247.89733645105045</v>
      </c>
      <c r="CX39" s="59">
        <f t="shared" si="14"/>
        <v>541.23066978438374</v>
      </c>
      <c r="CY39" s="59">
        <f ca="1">AVERAGE(OFFSET($CX$3,0,0,'Données projet'!$E$13+1,1))-AVERAGE(OFFSET($H$3,0,0,'Données projet'!$E$13+1,1))</f>
        <v>263.15518481854753</v>
      </c>
      <c r="CZ39" s="59">
        <f t="shared" si="42"/>
        <v>210.80755370263819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7.2</v>
      </c>
      <c r="DO39" s="12">
        <f>IF('Données projet'!$A$166&gt;35,DO38+DN39-DW38,IF(A39&lt;'Données projet'!$A$166,$DL$205^A39,IF(A39='Données projet'!$A$166,'Données projet'!$B$166,DO38+DN39-DW38)))</f>
        <v>152.19999999999996</v>
      </c>
      <c r="DP39" s="17">
        <f>DO39*VLOOKUP('Données projet'!$B$14,Paramètres!$A$1:$I$89,3,0)*VLOOKUP('Données projet'!$B$14,Paramètres!$A$1:$I$89,5,0)</f>
        <v>123.46463999999997</v>
      </c>
      <c r="DQ39" s="13">
        <f t="shared" si="43"/>
        <v>32.481726206916214</v>
      </c>
      <c r="DR39" s="20">
        <f t="shared" si="16"/>
        <v>271.60658781037904</v>
      </c>
      <c r="DS39" s="59">
        <f t="shared" si="17"/>
        <v>564.93992114371235</v>
      </c>
      <c r="DT39" s="59">
        <f ca="1">AVERAGE(OFFSET($DS$3,0,0,'Données projet'!$E$14+1,1))-AVERAGE(OFFSET($H$3,0,0,'Données projet'!$E$14+1,1))</f>
        <v>203.21935660591021</v>
      </c>
      <c r="DU39" s="59">
        <f t="shared" si="44"/>
        <v>180.54762778843178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0.89024944954660923</v>
      </c>
      <c r="EB39" s="21">
        <f>EXP(-LN(2)/25)*EB38+(1-EXP(-LN(2)/25))/(LN(2)/25)*Calculateur!DW39*Calculateur!DY39*VLOOKUP('Données projet'!$B$14,Paramètres!$A$1:$I$89,3,0)*0.475*44/12</f>
        <v>4.9142565776972331</v>
      </c>
      <c r="EC39" s="21">
        <f>EXP(-LN(2)/2)*EC38+(1-EXP(-LN(2)/2))/(LN(2)/2)*DW39*DZ39*VLOOKUP('Données projet'!$B$14,Paramètres!$A$1:$I$89,3,0)*0.475*44/12</f>
        <v>1.1328355650474924</v>
      </c>
      <c r="ED39" s="22">
        <f t="shared" si="18"/>
        <v>6.9373415922913351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12.1</v>
      </c>
      <c r="EJ39" s="12">
        <f>IF('Données projet'!$A$192&gt;35,EJ38+EI39-ER38,IF(A39&lt;'Données projet'!$A$192,$EG$205^A39,IF(A39='Données projet'!$A$192,'Données projet'!$B$192,EJ38+EI39-ER38)))</f>
        <v>214.59999999999997</v>
      </c>
      <c r="EK39" s="17">
        <f>EJ39*VLOOKUP('Données projet'!$B$15,Paramètres!$A$1:$I$89,3,0)*VLOOKUP('Données projet'!$B$15,Paramètres!$A$1:$I$89,5,0)</f>
        <v>143.95367999999996</v>
      </c>
      <c r="EL39" s="13">
        <f t="shared" si="45"/>
        <v>37.20126481543732</v>
      </c>
      <c r="EM39" s="20">
        <f t="shared" si="19"/>
        <v>315.51152888688659</v>
      </c>
      <c r="EN39" s="59">
        <f t="shared" si="20"/>
        <v>608.84486222021997</v>
      </c>
      <c r="EO39" s="59">
        <f ca="1">AVERAGE(OFFSET($EN$3,0,0,'Données projet'!$E$15+1,1))-AVERAGE(OFFSET($H$3,0,0,'Données projet'!$E$15+1,1))</f>
        <v>207.93042467236967</v>
      </c>
      <c r="EP39" s="59">
        <f t="shared" si="46"/>
        <v>250.70954318710835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2.4429182380310062</v>
      </c>
      <c r="EW39" s="21">
        <f>EXP(-LN(2)/25)*EW38+(1-EXP(-LN(2)/25))/(LN(2)/25)*Calculateur!ER39*Calculateur!ET39*VLOOKUP('Données projet'!$B$15,Paramètres!$A$1:$I$89,3,0)*0.475*44/12</f>
        <v>14.649406451114071</v>
      </c>
      <c r="EX39" s="21">
        <f>EXP(-LN(2)/2)*EX38+(1-EXP(-LN(2)/2))/(LN(2)/2)*ER39*EU39*VLOOKUP('Données projet'!$B$15,Paramètres!$A$1:$I$89,3,0)*0.475*44/12</f>
        <v>2.5335256687954981</v>
      </c>
      <c r="EY39" s="22">
        <f t="shared" si="21"/>
        <v>19.625850357940575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22.419230769230779</v>
      </c>
      <c r="N40" s="13">
        <f>IF('Données projet'!$A$36&gt;35,N39+M40-V39,IF(A40&lt;'Données projet'!$A$36,$K$205^A40,IF(A40='Données projet'!$A$36,'Données projet'!$B$36,N39+M40-V39)))</f>
        <v>356.62692307692276</v>
      </c>
      <c r="O40" s="13">
        <f>N40*VLOOKUP('Données projet'!$B$9,Paramètres!$A$1:$I$89,3,0)*VLOOKUP('Données projet'!$B$9,Paramètres!$A$1:$I$89,5,0)</f>
        <v>199.35444999999984</v>
      </c>
      <c r="P40" s="13">
        <f t="shared" si="33"/>
        <v>49.602268690733197</v>
      </c>
      <c r="Q40" s="20">
        <f t="shared" si="53"/>
        <v>433.59961838636008</v>
      </c>
      <c r="R40" s="59">
        <f t="shared" si="0"/>
        <v>726.93295171969339</v>
      </c>
      <c r="S40" s="59">
        <f ca="1">AVERAGE(OFFSET($R$3,0,0,'Données projet'!$E$9+1,1))-AVERAGE(OFFSET($H$3,0,0,'Données projet'!$E$9+1,1))</f>
        <v>255.5374979188561</v>
      </c>
      <c r="T40" s="59">
        <f t="shared" si="34"/>
        <v>343.10418468620901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2.6900367995759797</v>
      </c>
      <c r="AA40" s="21">
        <f>EXP(-LN(2)/25)*AA39+(1-EXP(-LN(2)/25))/(LN(2)/25)*Calculateur!V40*Calculateur!X40*VLOOKUP('Données projet'!$B$9,Paramètres!$A$1:$I$89,3,0)*0.475*44/12</f>
        <v>13.1447260529515</v>
      </c>
      <c r="AB40" s="21">
        <f>EXP(-LN(2)/2)*AB39+(1-EXP(-LN(2)/2))/(LN(2)/2)*V40*Y40*VLOOKUP('Données projet'!$B$9,Paramètres!$A$1:$I$89,3,0)*0.475*44/12</f>
        <v>0.14961072044643511</v>
      </c>
      <c r="AC40" s="22">
        <f t="shared" si="3"/>
        <v>15.984373572973915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16.131410256410259</v>
      </c>
      <c r="AI40" s="13">
        <f>IF('Données projet'!$A$62&gt;35,AI39+AH40-AQ39,IF(A40&lt;'Données projet'!$A$62,$AF$205^A40,IF(A40='Données projet'!$A$62,'Données projet'!$B$62,AI39+AH40-AQ39)))</f>
        <v>329.71217948717953</v>
      </c>
      <c r="AJ40" s="13">
        <f>AI40*VLOOKUP('Données projet'!$B$10,Paramètres!$A$1:$I$89,3,0)*VLOOKUP('Données projet'!$B$10,Paramètres!$A$1:$I$89,5,0)</f>
        <v>154.30530000000002</v>
      </c>
      <c r="AK40" s="13">
        <f t="shared" si="35"/>
        <v>39.555363325024224</v>
      </c>
      <c r="AL40" s="20">
        <f t="shared" si="4"/>
        <v>337.64065529108387</v>
      </c>
      <c r="AM40" s="59">
        <f t="shared" si="5"/>
        <v>630.97398862441719</v>
      </c>
      <c r="AN40" s="59">
        <f ca="1">AVERAGE(OFFSET($AM$3,0,0,'Données projet'!$E$10+1,1))-AVERAGE(OFFSET($H$3,0,0,'Données projet'!$E$10+1,1))</f>
        <v>158.58786357608489</v>
      </c>
      <c r="AO40" s="59">
        <f t="shared" si="36"/>
        <v>163.20074068819849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18.2</v>
      </c>
      <c r="BD40" s="12">
        <f>IF('Données projet'!$A$88&gt;35,BD39+BC40-BL39,IF(A40&lt;'Données projet'!$A$88,$BA$205^A40,IF(A40='Données projet'!$A$88,'Données projet'!$B$88,BD39+BC40-BL39)))</f>
        <v>286.39999999999998</v>
      </c>
      <c r="BE40" s="13">
        <f>BD40*VLOOKUP('Données projet'!$B$11,Paramètres!$A$1:$I$89,3,0)*VLOOKUP('Données projet'!$B$11,Paramètres!$A$1:$I$89,5,0)</f>
        <v>171.2672</v>
      </c>
      <c r="BF40" s="13">
        <f t="shared" si="37"/>
        <v>43.373711445811836</v>
      </c>
      <c r="BG40" s="20">
        <f t="shared" si="7"/>
        <v>373.83292076812228</v>
      </c>
      <c r="BH40" s="59">
        <f t="shared" si="8"/>
        <v>667.16625410145559</v>
      </c>
      <c r="BI40" s="59">
        <f ca="1">AVERAGE(OFFSET($BH$3,0,0,'Données projet'!$E$11+1,1))-AVERAGE(OFFSET($H$3,0,0,'Données projet'!$E$11+1,1))</f>
        <v>316.58509520829671</v>
      </c>
      <c r="BJ40" s="59">
        <f t="shared" si="38"/>
        <v>240.71332110643596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2.2064515920838788</v>
      </c>
      <c r="BQ40" s="21">
        <f>EXP(-LN(2)/25)*BQ39+(1-EXP(-LN(2)/25))/(LN(2)/25)*Calculateur!BL40*Calculateur!BN40*VLOOKUP('Données projet'!$B$11,Paramètres!$A$1:$I$89,3,0)*0.475*44/12</f>
        <v>12.574527299382032</v>
      </c>
      <c r="BR40" s="21">
        <f>EXP(-LN(2)/2)*BR39+(1-EXP(-LN(2)/2))/(LN(2)/2)*BL40*BO40*VLOOKUP('Données projet'!$B$11,Paramètres!$A$1:$I$89,3,0)*0.475*44/12</f>
        <v>1.9391822824593306</v>
      </c>
      <c r="BS40" s="22">
        <f t="shared" si="9"/>
        <v>16.720161173925241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12.1</v>
      </c>
      <c r="BY40" s="12">
        <f>IF('Données projet'!$A$114&gt;35,BY39+BX40-CG39,IF(A40&lt;'Données projet'!$A$114,$BV$205^A40,IF(A40='Données projet'!$A$114,'Données projet'!$B$114,BY39+BX40-CG39)))</f>
        <v>226.69999999999996</v>
      </c>
      <c r="BZ40" s="13">
        <f>BY40*VLOOKUP('Données projet'!$B$12,Paramètres!$A$1:$I$89,3,0)*VLOOKUP('Données projet'!$B$12,Paramètres!$A$1:$I$89,5,0)</f>
        <v>180.36251999999996</v>
      </c>
      <c r="CA40" s="13">
        <f t="shared" si="39"/>
        <v>45.402830740762262</v>
      </c>
      <c r="CB40" s="20">
        <f t="shared" si="10"/>
        <v>393.20798587349418</v>
      </c>
      <c r="CC40" s="59">
        <f t="shared" si="11"/>
        <v>686.54131920682744</v>
      </c>
      <c r="CD40" s="59">
        <f ca="1">AVERAGE(OFFSET($CC$3,0,0,'Données projet'!$E$12+1,1))-AVERAGE(OFFSET($H$3,0,0,'Données projet'!$E$12+1,1))</f>
        <v>260.20517190557814</v>
      </c>
      <c r="CE40" s="59">
        <f t="shared" si="40"/>
        <v>307.22009971147133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2.8405981202843482</v>
      </c>
      <c r="CL40" s="21">
        <f>EXP(-LN(2)/25)*CL39+(1-EXP(-LN(2)/25))/(LN(2)/25)*Calculateur!CG40*Calculateur!CI40*VLOOKUP('Données projet'!$B$12,Paramètres!$A$1:$I$89,3,0)*0.475*44/12</f>
        <v>16.899760482042026</v>
      </c>
      <c r="CM40" s="21">
        <f>EXP(-LN(2)/2)*CM39+(1-EXP(-LN(2)/2))/(LN(2)/2)*CG40*CJ40*VLOOKUP('Données projet'!$B$12,Paramètres!$A$1:$I$89,3,0)*0.475*44/12</f>
        <v>2.1247705166625459</v>
      </c>
      <c r="CN40" s="22">
        <f t="shared" si="12"/>
        <v>21.865129118988921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9.3141025641025674</v>
      </c>
      <c r="CT40" s="12">
        <f>IF('Données projet'!$A$140&gt;35,CT39+CS40-DB39,IF(A40&lt;'Données projet'!$A$140,$CQ$205^A40,IF(A40='Données projet'!$A$140,'Données projet'!$B$140,CT39+CS40-DB39)))</f>
        <v>120.19230769230769</v>
      </c>
      <c r="CU40" s="17">
        <f>CT40*VLOOKUP('Données projet'!$B$13,Paramètres!$A$1:$I$89,3,0)*VLOOKUP('Données projet'!$B$13,Paramètres!$A$1:$I$89,5,0)</f>
        <v>121.875</v>
      </c>
      <c r="CV40" s="13">
        <f t="shared" si="41"/>
        <v>32.111916865075052</v>
      </c>
      <c r="CW40" s="20">
        <f t="shared" si="13"/>
        <v>268.19388020667236</v>
      </c>
      <c r="CX40" s="59">
        <f t="shared" si="14"/>
        <v>561.52721354000573</v>
      </c>
      <c r="CY40" s="59">
        <f ca="1">AVERAGE(OFFSET($CX$3,0,0,'Données projet'!$E$13+1,1))-AVERAGE(OFFSET($H$3,0,0,'Données projet'!$E$13+1,1))</f>
        <v>263.15518481854753</v>
      </c>
      <c r="CZ40" s="59">
        <f t="shared" si="42"/>
        <v>210.80755370263819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7.2</v>
      </c>
      <c r="DO40" s="12">
        <f>IF('Données projet'!$A$166&gt;35,DO39+DN40-DW39,IF(A40&lt;'Données projet'!$A$166,$DL$205^A40,IF(A40='Données projet'!$A$166,'Données projet'!$B$166,DO39+DN40-DW39)))</f>
        <v>159.39999999999995</v>
      </c>
      <c r="DP40" s="17">
        <f>DO40*VLOOKUP('Données projet'!$B$14,Paramètres!$A$1:$I$89,3,0)*VLOOKUP('Données projet'!$B$14,Paramètres!$A$1:$I$89,5,0)</f>
        <v>129.30527999999998</v>
      </c>
      <c r="DQ40" s="13">
        <f t="shared" si="43"/>
        <v>33.835779910277751</v>
      </c>
      <c r="DR40" s="20">
        <f t="shared" si="16"/>
        <v>284.13734601040034</v>
      </c>
      <c r="DS40" s="59">
        <f t="shared" si="17"/>
        <v>577.47067934373365</v>
      </c>
      <c r="DT40" s="59">
        <f ca="1">AVERAGE(OFFSET($DS$3,0,0,'Données projet'!$E$14+1,1))-AVERAGE(OFFSET($H$3,0,0,'Données projet'!$E$14+1,1))</f>
        <v>203.21935660591021</v>
      </c>
      <c r="DU40" s="59">
        <f t="shared" si="44"/>
        <v>180.54762778843178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0.87279220083954778</v>
      </c>
      <c r="EB40" s="21">
        <f>EXP(-LN(2)/25)*EB39+(1-EXP(-LN(2)/25))/(LN(2)/25)*Calculateur!DW40*Calculateur!DY40*VLOOKUP('Données projet'!$B$14,Paramètres!$A$1:$I$89,3,0)*0.475*44/12</f>
        <v>4.7798759731505802</v>
      </c>
      <c r="EC40" s="21">
        <f>EXP(-LN(2)/2)*EC39+(1-EXP(-LN(2)/2))/(LN(2)/2)*DW40*DZ40*VLOOKUP('Données projet'!$B$14,Paramètres!$A$1:$I$89,3,0)*0.475*44/12</f>
        <v>0.80103571001437623</v>
      </c>
      <c r="ED40" s="22">
        <f t="shared" si="18"/>
        <v>6.4537038840045042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12.1</v>
      </c>
      <c r="EJ40" s="12">
        <f>IF('Données projet'!$A$192&gt;35,EJ39+EI40-ER39,IF(A40&lt;'Données projet'!$A$192,$EG$205^A40,IF(A40='Données projet'!$A$192,'Données projet'!$B$192,EJ39+EI40-ER39)))</f>
        <v>226.69999999999996</v>
      </c>
      <c r="EK40" s="17">
        <f>EJ40*VLOOKUP('Données projet'!$B$15,Paramètres!$A$1:$I$89,3,0)*VLOOKUP('Données projet'!$B$15,Paramètres!$A$1:$I$89,5,0)</f>
        <v>152.07035999999997</v>
      </c>
      <c r="EL40" s="13">
        <f t="shared" si="45"/>
        <v>39.048706337399189</v>
      </c>
      <c r="EM40" s="20">
        <f t="shared" si="19"/>
        <v>332.86570720430353</v>
      </c>
      <c r="EN40" s="59">
        <f t="shared" si="20"/>
        <v>626.19904053763685</v>
      </c>
      <c r="EO40" s="59">
        <f ca="1">AVERAGE(OFFSET($EN$3,0,0,'Données projet'!$E$15+1,1))-AVERAGE(OFFSET($H$3,0,0,'Données projet'!$E$15+1,1))</f>
        <v>207.93042467236967</v>
      </c>
      <c r="EP40" s="59">
        <f t="shared" si="46"/>
        <v>250.70954318710835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2.3950141014162147</v>
      </c>
      <c r="EW40" s="21">
        <f>EXP(-LN(2)/25)*EW39+(1-EXP(-LN(2)/25))/(LN(2)/25)*Calculateur!ER40*Calculateur!ET40*VLOOKUP('Données projet'!$B$15,Paramètres!$A$1:$I$89,3,0)*0.475*44/12</f>
        <v>14.248817661329554</v>
      </c>
      <c r="EX40" s="21">
        <f>EXP(-LN(2)/2)*EX39+(1-EXP(-LN(2)/2))/(LN(2)/2)*ER40*EU40*VLOOKUP('Données projet'!$B$15,Paramètres!$A$1:$I$89,3,0)*0.475*44/12</f>
        <v>1.7914731807154798</v>
      </c>
      <c r="EY40" s="22">
        <f t="shared" si="21"/>
        <v>18.435304943461247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22.419230769230779</v>
      </c>
      <c r="N41" s="13">
        <f>IF('Données projet'!$A$36&gt;35,N40+M41-V40,IF(A41&lt;'Données projet'!$A$36,$K$205^A41,IF(A41='Données projet'!$A$36,'Données projet'!$B$36,N40+M41-V40)))</f>
        <v>379.04615384615352</v>
      </c>
      <c r="O41" s="13">
        <f>N41*VLOOKUP('Données projet'!$B$9,Paramètres!$A$1:$I$89,3,0)*VLOOKUP('Données projet'!$B$9,Paramètres!$A$1:$I$89,5,0)</f>
        <v>211.88679999999982</v>
      </c>
      <c r="P41" s="13">
        <f t="shared" si="33"/>
        <v>52.347684082939267</v>
      </c>
      <c r="Q41" s="20">
        <f t="shared" si="53"/>
        <v>460.20839311111894</v>
      </c>
      <c r="R41" s="59">
        <f t="shared" si="0"/>
        <v>753.54172644445225</v>
      </c>
      <c r="S41" s="59">
        <f ca="1">AVERAGE(OFFSET($R$3,0,0,'Données projet'!$E$9+1,1))-AVERAGE(OFFSET($H$3,0,0,'Données projet'!$E$9+1,1))</f>
        <v>255.5374979188561</v>
      </c>
      <c r="T41" s="59">
        <f t="shared" si="34"/>
        <v>343.10418468620901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2.6372868186967309</v>
      </c>
      <c r="AA41" s="21">
        <f>EXP(-LN(2)/25)*AA40+(1-EXP(-LN(2)/25))/(LN(2)/25)*Calculateur!V41*Calculateur!X41*VLOOKUP('Données projet'!$B$9,Paramètres!$A$1:$I$89,3,0)*0.475*44/12</f>
        <v>12.78528282778244</v>
      </c>
      <c r="AB41" s="21">
        <f>EXP(-LN(2)/2)*AB40+(1-EXP(-LN(2)/2))/(LN(2)/2)*V41*Y41*VLOOKUP('Données projet'!$B$9,Paramètres!$A$1:$I$89,3,0)*0.475*44/12</f>
        <v>0.10579075496587913</v>
      </c>
      <c r="AC41" s="22">
        <f t="shared" si="3"/>
        <v>15.528360401445051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16.131410256410259</v>
      </c>
      <c r="AI41" s="13">
        <f>IF('Données projet'!$A$62&gt;35,AI40+AH41-AQ40,IF(A41&lt;'Données projet'!$A$62,$AF$205^A41,IF(A41='Données projet'!$A$62,'Données projet'!$B$62,AI40+AH41-AQ40)))</f>
        <v>345.8435897435898</v>
      </c>
      <c r="AJ41" s="13">
        <f>AI41*VLOOKUP('Données projet'!$B$10,Paramètres!$A$1:$I$89,3,0)*VLOOKUP('Données projet'!$B$10,Paramètres!$A$1:$I$89,5,0)</f>
        <v>161.85480000000001</v>
      </c>
      <c r="AK41" s="13">
        <f t="shared" si="35"/>
        <v>41.260589676862445</v>
      </c>
      <c r="AL41" s="20">
        <f t="shared" si="4"/>
        <v>353.75930368720213</v>
      </c>
      <c r="AM41" s="59">
        <f t="shared" si="5"/>
        <v>647.09263702053545</v>
      </c>
      <c r="AN41" s="59">
        <f ca="1">AVERAGE(OFFSET($AM$3,0,0,'Données projet'!$E$10+1,1))-AVERAGE(OFFSET($H$3,0,0,'Données projet'!$E$10+1,1))</f>
        <v>158.58786357608489</v>
      </c>
      <c r="AO41" s="59">
        <f t="shared" si="36"/>
        <v>163.20074068819849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18.2</v>
      </c>
      <c r="BD41" s="12">
        <f>IF('Données projet'!$A$88&gt;35,BD40+BC41-BL40,IF(A41&lt;'Données projet'!$A$88,$BA$205^A41,IF(A41='Données projet'!$A$88,'Données projet'!$B$88,BD40+BC41-BL40)))</f>
        <v>304.59999999999997</v>
      </c>
      <c r="BE41" s="13">
        <f>BD41*VLOOKUP('Données projet'!$B$11,Paramètres!$A$1:$I$89,3,0)*VLOOKUP('Données projet'!$B$11,Paramètres!$A$1:$I$89,5,0)</f>
        <v>182.15079999999998</v>
      </c>
      <c r="BF41" s="13">
        <f t="shared" si="37"/>
        <v>45.800368240506849</v>
      </c>
      <c r="BG41" s="20">
        <f t="shared" si="7"/>
        <v>397.01495135221603</v>
      </c>
      <c r="BH41" s="59">
        <f t="shared" si="8"/>
        <v>690.34828468554929</v>
      </c>
      <c r="BI41" s="59">
        <f ca="1">AVERAGE(OFFSET($BH$3,0,0,'Données projet'!$E$11+1,1))-AVERAGE(OFFSET($H$3,0,0,'Données projet'!$E$11+1,1))</f>
        <v>316.58509520829671</v>
      </c>
      <c r="BJ41" s="59">
        <f t="shared" si="38"/>
        <v>240.71332110643596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2.1631844221656982</v>
      </c>
      <c r="BQ41" s="21">
        <f>EXP(-LN(2)/25)*BQ40+(1-EXP(-LN(2)/25))/(LN(2)/25)*Calculateur!BL41*Calculateur!BN41*VLOOKUP('Données projet'!$B$11,Paramètres!$A$1:$I$89,3,0)*0.475*44/12</f>
        <v>12.23067618911478</v>
      </c>
      <c r="BR41" s="21">
        <f>EXP(-LN(2)/2)*BR40+(1-EXP(-LN(2)/2))/(LN(2)/2)*BL41*BO41*VLOOKUP('Données projet'!$B$11,Paramètres!$A$1:$I$89,3,0)*0.475*44/12</f>
        <v>1.3712089418837998</v>
      </c>
      <c r="BS41" s="22">
        <f t="shared" si="9"/>
        <v>15.765069553164277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12.1</v>
      </c>
      <c r="BY41" s="12">
        <f>IF('Données projet'!$A$114&gt;35,BY40+BX41-CG40,IF(A41&lt;'Données projet'!$A$114,$BV$205^A41,IF(A41='Données projet'!$A$114,'Données projet'!$B$114,BY40+BX41-CG40)))</f>
        <v>238.79999999999995</v>
      </c>
      <c r="BZ41" s="13">
        <f>BY41*VLOOKUP('Données projet'!$B$12,Paramètres!$A$1:$I$89,3,0)*VLOOKUP('Données projet'!$B$12,Paramètres!$A$1:$I$89,5,0)</f>
        <v>189.98927999999998</v>
      </c>
      <c r="CA41" s="13">
        <f t="shared" si="39"/>
        <v>47.537582803650189</v>
      </c>
      <c r="CB41" s="20">
        <f t="shared" si="10"/>
        <v>413.69261938302407</v>
      </c>
      <c r="CC41" s="59">
        <f t="shared" si="11"/>
        <v>707.02595271635732</v>
      </c>
      <c r="CD41" s="59">
        <f ca="1">AVERAGE(OFFSET($CC$3,0,0,'Données projet'!$E$12+1,1))-AVERAGE(OFFSET($H$3,0,0,'Données projet'!$E$12+1,1))</f>
        <v>260.20517190557814</v>
      </c>
      <c r="CE41" s="59">
        <f t="shared" si="40"/>
        <v>307.22009971147133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2.7848957237393459</v>
      </c>
      <c r="CL41" s="21">
        <f>EXP(-LN(2)/25)*CL40+(1-EXP(-LN(2)/25))/(LN(2)/25)*Calculateur!CG41*Calculateur!CI41*VLOOKUP('Données projet'!$B$12,Paramètres!$A$1:$I$89,3,0)*0.475*44/12</f>
        <v>16.437635642940808</v>
      </c>
      <c r="CM41" s="21">
        <f>EXP(-LN(2)/2)*CM40+(1-EXP(-LN(2)/2))/(LN(2)/2)*CG41*CJ41*VLOOKUP('Données projet'!$B$12,Paramètres!$A$1:$I$89,3,0)*0.475*44/12</f>
        <v>1.5024396407973304</v>
      </c>
      <c r="CN41" s="22">
        <f t="shared" si="12"/>
        <v>20.724971007477485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9.3141025641025674</v>
      </c>
      <c r="CT41" s="12">
        <f>IF('Données projet'!$A$140&gt;35,CT40+CS41-DB40,IF(A41&lt;'Données projet'!$A$140,$CQ$205^A41,IF(A41='Données projet'!$A$140,'Données projet'!$B$140,CT40+CS41-DB40)))</f>
        <v>129.50641025641025</v>
      </c>
      <c r="CU41" s="17">
        <f>CT41*VLOOKUP('Données projet'!$B$13,Paramètres!$A$1:$I$89,3,0)*VLOOKUP('Données projet'!$B$13,Paramètres!$A$1:$I$89,5,0)</f>
        <v>131.31950000000001</v>
      </c>
      <c r="CV41" s="13">
        <f t="shared" si="41"/>
        <v>34.301077605333873</v>
      </c>
      <c r="CW41" s="20">
        <f t="shared" si="13"/>
        <v>288.45583932928986</v>
      </c>
      <c r="CX41" s="59">
        <f t="shared" si="14"/>
        <v>581.78917266262317</v>
      </c>
      <c r="CY41" s="59">
        <f ca="1">AVERAGE(OFFSET($CX$3,0,0,'Données projet'!$E$13+1,1))-AVERAGE(OFFSET($H$3,0,0,'Données projet'!$E$13+1,1))</f>
        <v>263.15518481854753</v>
      </c>
      <c r="CZ41" s="59">
        <f t="shared" si="42"/>
        <v>210.80755370263819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7.2</v>
      </c>
      <c r="DO41" s="12">
        <f>IF('Données projet'!$A$166&gt;35,DO40+DN41-DW40,IF(A41&lt;'Données projet'!$A$166,$DL$205^A41,IF(A41='Données projet'!$A$166,'Données projet'!$B$166,DO40+DN41-DW40)))</f>
        <v>166.59999999999994</v>
      </c>
      <c r="DP41" s="17">
        <f>DO41*VLOOKUP('Données projet'!$B$14,Paramètres!$A$1:$I$89,3,0)*VLOOKUP('Données projet'!$B$14,Paramètres!$A$1:$I$89,5,0)</f>
        <v>135.14591999999996</v>
      </c>
      <c r="DQ41" s="13">
        <f t="shared" si="43"/>
        <v>35.18273051541685</v>
      </c>
      <c r="DR41" s="20">
        <f t="shared" si="16"/>
        <v>296.65573298101759</v>
      </c>
      <c r="DS41" s="59">
        <f t="shared" si="17"/>
        <v>589.98906631435091</v>
      </c>
      <c r="DT41" s="59">
        <f ca="1">AVERAGE(OFFSET($DS$3,0,0,'Données projet'!$E$14+1,1))-AVERAGE(OFFSET($H$3,0,0,'Données projet'!$E$14+1,1))</f>
        <v>203.21935660591021</v>
      </c>
      <c r="DU41" s="59">
        <f t="shared" si="44"/>
        <v>180.54762778843178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0.85567727813176153</v>
      </c>
      <c r="EB41" s="21">
        <f>EXP(-LN(2)/25)*EB40+(1-EXP(-LN(2)/25))/(LN(2)/25)*Calculateur!DW41*Calculateur!DY41*VLOOKUP('Données projet'!$B$14,Paramètres!$A$1:$I$89,3,0)*0.475*44/12</f>
        <v>4.6491700133020251</v>
      </c>
      <c r="EC41" s="21">
        <f>EXP(-LN(2)/2)*EC40+(1-EXP(-LN(2)/2))/(LN(2)/2)*DW41*DZ41*VLOOKUP('Données projet'!$B$14,Paramètres!$A$1:$I$89,3,0)*0.475*44/12</f>
        <v>0.5664177825237463</v>
      </c>
      <c r="ED41" s="22">
        <f t="shared" si="18"/>
        <v>6.0712650739575329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12.1</v>
      </c>
      <c r="EJ41" s="12">
        <f>IF('Données projet'!$A$192&gt;35,EJ40+EI41-ER40,IF(A41&lt;'Données projet'!$A$192,$EG$205^A41,IF(A41='Données projet'!$A$192,'Données projet'!$B$192,EJ40+EI41-ER40)))</f>
        <v>238.79999999999995</v>
      </c>
      <c r="EK41" s="17">
        <f>EJ41*VLOOKUP('Données projet'!$B$15,Paramètres!$A$1:$I$89,3,0)*VLOOKUP('Données projet'!$B$15,Paramètres!$A$1:$I$89,5,0)</f>
        <v>160.18703999999997</v>
      </c>
      <c r="EL41" s="13">
        <f t="shared" si="45"/>
        <v>40.884699931781583</v>
      </c>
      <c r="EM41" s="20">
        <f t="shared" si="19"/>
        <v>350.1999470478529</v>
      </c>
      <c r="EN41" s="59">
        <f t="shared" si="20"/>
        <v>643.53328038118616</v>
      </c>
      <c r="EO41" s="59">
        <f ca="1">AVERAGE(OFFSET($EN$3,0,0,'Données projet'!$E$15+1,1))-AVERAGE(OFFSET($H$3,0,0,'Données projet'!$E$15+1,1))</f>
        <v>207.93042467236967</v>
      </c>
      <c r="EP41" s="59">
        <f t="shared" si="46"/>
        <v>250.70954318710835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2.3480493357018011</v>
      </c>
      <c r="EW41" s="21">
        <f>EXP(-LN(2)/25)*EW40+(1-EXP(-LN(2)/25))/(LN(2)/25)*Calculateur!ER41*Calculateur!ET41*VLOOKUP('Données projet'!$B$15,Paramètres!$A$1:$I$89,3,0)*0.475*44/12</f>
        <v>13.859182993067742</v>
      </c>
      <c r="EX41" s="21">
        <f>EXP(-LN(2)/2)*EX40+(1-EXP(-LN(2)/2))/(LN(2)/2)*ER41*EU41*VLOOKUP('Données projet'!$B$15,Paramètres!$A$1:$I$89,3,0)*0.475*44/12</f>
        <v>1.2667628343977491</v>
      </c>
      <c r="EY41" s="22">
        <f t="shared" si="21"/>
        <v>17.473995163167292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22.419230769230779</v>
      </c>
      <c r="N42" s="13">
        <f>IF('Données projet'!$A$36&gt;35,N41+M42-V41,IF(A42&lt;'Données projet'!$A$36,$K$205^A42,IF(A42='Données projet'!$A$36,'Données projet'!$B$36,N41+M42-V41)))</f>
        <v>401.46538461538432</v>
      </c>
      <c r="O42" s="13">
        <f>N42*VLOOKUP('Données projet'!$B$9,Paramètres!$A$1:$I$89,3,0)*VLOOKUP('Données projet'!$B$9,Paramètres!$A$1:$I$89,5,0)</f>
        <v>224.41914999999986</v>
      </c>
      <c r="P42" s="13">
        <f t="shared" si="33"/>
        <v>55.074251579267411</v>
      </c>
      <c r="Q42" s="20">
        <f t="shared" si="53"/>
        <v>486.78434108389047</v>
      </c>
      <c r="R42" s="59">
        <f t="shared" si="0"/>
        <v>780.11767441722372</v>
      </c>
      <c r="S42" s="59">
        <f ca="1">AVERAGE(OFFSET($R$3,0,0,'Données projet'!$E$9+1,1))-AVERAGE(OFFSET($H$3,0,0,'Données projet'!$E$9+1,1))</f>
        <v>255.5374979188561</v>
      </c>
      <c r="T42" s="59">
        <f t="shared" si="34"/>
        <v>343.10418468620901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2.5855712327682125</v>
      </c>
      <c r="AA42" s="21">
        <f>EXP(-LN(2)/25)*AA41+(1-EXP(-LN(2)/25))/(LN(2)/25)*Calculateur!V42*Calculateur!X42*VLOOKUP('Données projet'!$B$9,Paramètres!$A$1:$I$89,3,0)*0.475*44/12</f>
        <v>12.435668596507927</v>
      </c>
      <c r="AB42" s="21">
        <f>EXP(-LN(2)/2)*AB41+(1-EXP(-LN(2)/2))/(LN(2)/2)*V42*Y42*VLOOKUP('Données projet'!$B$9,Paramètres!$A$1:$I$89,3,0)*0.475*44/12</f>
        <v>7.4805360223217557E-2</v>
      </c>
      <c r="AC42" s="22">
        <f t="shared" si="3"/>
        <v>15.096045189499359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16.131410256410259</v>
      </c>
      <c r="AI42" s="13">
        <f>IF('Données projet'!$A$62&gt;35,AI41+AH42-AQ41,IF(A42&lt;'Données projet'!$A$62,$AF$205^A42,IF(A42='Données projet'!$A$62,'Données projet'!$B$62,AI41+AH42-AQ41)))</f>
        <v>361.97500000000008</v>
      </c>
      <c r="AJ42" s="13">
        <f>AI42*VLOOKUP('Données projet'!$B$10,Paramètres!$A$1:$I$89,3,0)*VLOOKUP('Données projet'!$B$10,Paramètres!$A$1:$I$89,5,0)</f>
        <v>169.40430000000006</v>
      </c>
      <c r="AK42" s="13">
        <f t="shared" si="35"/>
        <v>42.956579357099159</v>
      </c>
      <c r="AL42" s="20">
        <f t="shared" si="4"/>
        <v>369.86186488028119</v>
      </c>
      <c r="AM42" s="59">
        <f t="shared" si="5"/>
        <v>663.1951982136145</v>
      </c>
      <c r="AN42" s="59">
        <f ca="1">AVERAGE(OFFSET($AM$3,0,0,'Données projet'!$E$10+1,1))-AVERAGE(OFFSET($H$3,0,0,'Données projet'!$E$10+1,1))</f>
        <v>158.58786357608489</v>
      </c>
      <c r="AO42" s="59">
        <f t="shared" si="36"/>
        <v>163.20074068819849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18.2</v>
      </c>
      <c r="BD42" s="12">
        <f>IF('Données projet'!$A$88&gt;35,BD41+BC42-BL41,IF(A42&lt;'Données projet'!$A$88,$BA$205^A42,IF(A42='Données projet'!$A$88,'Données projet'!$B$88,BD41+BC42-BL41)))</f>
        <v>322.79999999999995</v>
      </c>
      <c r="BE42" s="13">
        <f>BD42*VLOOKUP('Données projet'!$B$11,Paramètres!$A$1:$I$89,3,0)*VLOOKUP('Données projet'!$B$11,Paramètres!$A$1:$I$89,5,0)</f>
        <v>193.03440000000001</v>
      </c>
      <c r="BF42" s="13">
        <f t="shared" si="37"/>
        <v>48.210195726438577</v>
      </c>
      <c r="BG42" s="20">
        <f t="shared" si="7"/>
        <v>420.16767089021386</v>
      </c>
      <c r="BH42" s="59">
        <f t="shared" si="8"/>
        <v>713.50100422354717</v>
      </c>
      <c r="BI42" s="59">
        <f ca="1">AVERAGE(OFFSET($BH$3,0,0,'Données projet'!$E$11+1,1))-AVERAGE(OFFSET($H$3,0,0,'Données projet'!$E$11+1,1))</f>
        <v>316.58509520829671</v>
      </c>
      <c r="BJ42" s="59">
        <f t="shared" si="38"/>
        <v>240.71332110643596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2.1207656950592453</v>
      </c>
      <c r="BQ42" s="21">
        <f>EXP(-LN(2)/25)*BQ41+(1-EXP(-LN(2)/25))/(LN(2)/25)*Calculateur!BL42*Calculateur!BN42*VLOOKUP('Données projet'!$B$11,Paramètres!$A$1:$I$89,3,0)*0.475*44/12</f>
        <v>11.896227705540129</v>
      </c>
      <c r="BR42" s="21">
        <f>EXP(-LN(2)/2)*BR41+(1-EXP(-LN(2)/2))/(LN(2)/2)*BL42*BO42*VLOOKUP('Données projet'!$B$11,Paramètres!$A$1:$I$89,3,0)*0.475*44/12</f>
        <v>0.9695911412296655</v>
      </c>
      <c r="BS42" s="22">
        <f t="shared" si="9"/>
        <v>14.986584541829041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12.1</v>
      </c>
      <c r="BY42" s="12">
        <f>IF('Données projet'!$A$114&gt;35,BY41+BX42-CG41,IF(A42&lt;'Données projet'!$A$114,$BV$205^A42,IF(A42='Données projet'!$A$114,'Données projet'!$B$114,BY41+BX42-CG41)))</f>
        <v>250.89999999999995</v>
      </c>
      <c r="BZ42" s="13">
        <f>BY42*VLOOKUP('Données projet'!$B$12,Paramètres!$A$1:$I$89,3,0)*VLOOKUP('Données projet'!$B$12,Paramètres!$A$1:$I$89,5,0)</f>
        <v>199.61603999999997</v>
      </c>
      <c r="CA42" s="13">
        <f t="shared" si="39"/>
        <v>49.659775503665841</v>
      </c>
      <c r="CB42" s="20">
        <f t="shared" si="10"/>
        <v>434.15537866888457</v>
      </c>
      <c r="CC42" s="59">
        <f t="shared" si="11"/>
        <v>727.48871200221788</v>
      </c>
      <c r="CD42" s="59">
        <f ca="1">AVERAGE(OFFSET($CC$3,0,0,'Données projet'!$E$12+1,1))-AVERAGE(OFFSET($H$3,0,0,'Données projet'!$E$12+1,1))</f>
        <v>260.20517190557814</v>
      </c>
      <c r="CE42" s="59">
        <f t="shared" si="40"/>
        <v>307.22009971147133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2.7302856172154844</v>
      </c>
      <c r="CL42" s="21">
        <f>EXP(-LN(2)/25)*CL41+(1-EXP(-LN(2)/25))/(LN(2)/25)*Calculateur!CG42*Calculateur!CI42*VLOOKUP('Données projet'!$B$12,Paramètres!$A$1:$I$89,3,0)*0.475*44/12</f>
        <v>15.988147631866902</v>
      </c>
      <c r="CM42" s="21">
        <f>EXP(-LN(2)/2)*CM41+(1-EXP(-LN(2)/2))/(LN(2)/2)*CG42*CJ42*VLOOKUP('Données projet'!$B$12,Paramètres!$A$1:$I$89,3,0)*0.475*44/12</f>
        <v>1.062385258331273</v>
      </c>
      <c r="CN42" s="22">
        <f t="shared" si="12"/>
        <v>19.78081850741366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9.3141025641025674</v>
      </c>
      <c r="CT42" s="12">
        <f>IF('Données projet'!$A$140&gt;35,CT41+CS42-DB41,IF(A42&lt;'Données projet'!$A$140,$CQ$205^A42,IF(A42='Données projet'!$A$140,'Données projet'!$B$140,CT41+CS42-DB41)))</f>
        <v>138.82051282051282</v>
      </c>
      <c r="CU42" s="17">
        <f>CT42*VLOOKUP('Données projet'!$B$13,Paramètres!$A$1:$I$89,3,0)*VLOOKUP('Données projet'!$B$13,Paramètres!$A$1:$I$89,5,0)</f>
        <v>140.76400000000001</v>
      </c>
      <c r="CV42" s="13">
        <f t="shared" si="41"/>
        <v>36.471971691246594</v>
      </c>
      <c r="CW42" s="20">
        <f t="shared" si="13"/>
        <v>308.68598402892115</v>
      </c>
      <c r="CX42" s="59">
        <f t="shared" si="14"/>
        <v>602.01931736225447</v>
      </c>
      <c r="CY42" s="59">
        <f ca="1">AVERAGE(OFFSET($CX$3,0,0,'Données projet'!$E$13+1,1))-AVERAGE(OFFSET($H$3,0,0,'Données projet'!$E$13+1,1))</f>
        <v>263.15518481854753</v>
      </c>
      <c r="CZ42" s="59">
        <f t="shared" si="42"/>
        <v>210.80755370263819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7.2</v>
      </c>
      <c r="DO42" s="12">
        <f>IF('Données projet'!$A$166&gt;35,DO41+DN42-DW41,IF(A42&lt;'Données projet'!$A$166,$DL$205^A42,IF(A42='Données projet'!$A$166,'Données projet'!$B$166,DO41+DN42-DW41)))</f>
        <v>173.79999999999993</v>
      </c>
      <c r="DP42" s="17">
        <f>DO42*VLOOKUP('Données projet'!$B$14,Paramètres!$A$1:$I$89,3,0)*VLOOKUP('Données projet'!$B$14,Paramètres!$A$1:$I$89,5,0)</f>
        <v>140.98655999999994</v>
      </c>
      <c r="DQ42" s="13">
        <f t="shared" si="43"/>
        <v>36.522920087836972</v>
      </c>
      <c r="DR42" s="20">
        <f t="shared" si="16"/>
        <v>309.16234448631593</v>
      </c>
      <c r="DS42" s="59">
        <f t="shared" si="17"/>
        <v>602.49567781964925</v>
      </c>
      <c r="DT42" s="59">
        <f ca="1">AVERAGE(OFFSET($DS$3,0,0,'Données projet'!$E$14+1,1))-AVERAGE(OFFSET($H$3,0,0,'Données projet'!$E$14+1,1))</f>
        <v>203.21935660591021</v>
      </c>
      <c r="DU42" s="59">
        <f t="shared" si="44"/>
        <v>180.54762778843178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0.83889796861920285</v>
      </c>
      <c r="EB42" s="21">
        <f>EXP(-LN(2)/25)*EB41+(1-EXP(-LN(2)/25))/(LN(2)/25)*Calculateur!DW42*Calculateur!DY42*VLOOKUP('Données projet'!$B$14,Paramètres!$A$1:$I$89,3,0)*0.475*44/12</f>
        <v>4.5220382147990561</v>
      </c>
      <c r="EC42" s="21">
        <f>EXP(-LN(2)/2)*EC41+(1-EXP(-LN(2)/2))/(LN(2)/2)*DW42*DZ42*VLOOKUP('Données projet'!$B$14,Paramètres!$A$1:$I$89,3,0)*0.475*44/12</f>
        <v>0.40051785500718817</v>
      </c>
      <c r="ED42" s="22">
        <f t="shared" si="18"/>
        <v>5.7614540384254473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12.1</v>
      </c>
      <c r="EJ42" s="12">
        <f>IF('Données projet'!$A$192&gt;35,EJ41+EI42-ER41,IF(A42&lt;'Données projet'!$A$192,$EG$205^A42,IF(A42='Données projet'!$A$192,'Données projet'!$B$192,EJ41+EI42-ER41)))</f>
        <v>250.89999999999995</v>
      </c>
      <c r="EK42" s="17">
        <f>EJ42*VLOOKUP('Données projet'!$B$15,Paramètres!$A$1:$I$89,3,0)*VLOOKUP('Données projet'!$B$15,Paramètres!$A$1:$I$89,5,0)</f>
        <v>168.30371999999997</v>
      </c>
      <c r="EL42" s="13">
        <f t="shared" si="45"/>
        <v>42.709891845639163</v>
      </c>
      <c r="EM42" s="20">
        <f t="shared" si="19"/>
        <v>367.51537396448816</v>
      </c>
      <c r="EN42" s="59">
        <f t="shared" si="20"/>
        <v>660.84870729782142</v>
      </c>
      <c r="EO42" s="59">
        <f ca="1">AVERAGE(OFFSET($EN$3,0,0,'Données projet'!$E$15+1,1))-AVERAGE(OFFSET($H$3,0,0,'Données projet'!$E$15+1,1))</f>
        <v>207.93042467236967</v>
      </c>
      <c r="EP42" s="59">
        <f t="shared" si="46"/>
        <v>250.70954318710835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2.3020055203973686</v>
      </c>
      <c r="EW42" s="21">
        <f>EXP(-LN(2)/25)*EW41+(1-EXP(-LN(2)/25))/(LN(2)/25)*Calculateur!ER42*Calculateur!ET42*VLOOKUP('Données projet'!$B$15,Paramètres!$A$1:$I$89,3,0)*0.475*44/12</f>
        <v>13.480202905299548</v>
      </c>
      <c r="EX42" s="21">
        <f>EXP(-LN(2)/2)*EX41+(1-EXP(-LN(2)/2))/(LN(2)/2)*ER42*EU42*VLOOKUP('Données projet'!$B$15,Paramètres!$A$1:$I$89,3,0)*0.475*44/12</f>
        <v>0.89573659035773989</v>
      </c>
      <c r="EY42" s="22">
        <f t="shared" si="21"/>
        <v>16.677945016054657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22.419230769230779</v>
      </c>
      <c r="N43" s="13">
        <f>IF('Données projet'!$A$36&gt;35,N42+M43-V42,IF(A43&lt;'Données projet'!$A$36,$K$205^A43,IF(A43='Données projet'!$A$36,'Données projet'!$B$36,N42+M43-V42)))</f>
        <v>423.88461538461513</v>
      </c>
      <c r="O43" s="13">
        <f>N43*VLOOKUP('Données projet'!$B$9,Paramètres!$A$1:$I$89,3,0)*VLOOKUP('Données projet'!$B$9,Paramètres!$A$1:$I$89,5,0)</f>
        <v>236.95149999999987</v>
      </c>
      <c r="P43" s="13">
        <f t="shared" si="33"/>
        <v>57.783143668102703</v>
      </c>
      <c r="Q43" s="20">
        <f t="shared" si="53"/>
        <v>513.32950438861201</v>
      </c>
      <c r="R43" s="59">
        <f t="shared" si="0"/>
        <v>806.66283772194538</v>
      </c>
      <c r="S43" s="59">
        <f ca="1">AVERAGE(OFFSET($R$3,0,0,'Données projet'!$E$9+1,1))-AVERAGE(OFFSET($H$3,0,0,'Données projet'!$E$9+1,1))</f>
        <v>255.5374979188561</v>
      </c>
      <c r="T43" s="59">
        <f t="shared" si="34"/>
        <v>343.10418468620901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2.5348697579363599</v>
      </c>
      <c r="AA43" s="21">
        <f>EXP(-LN(2)/25)*AA42+(1-EXP(-LN(2)/25))/(LN(2)/25)*Calculateur!V43*Calculateur!X43*VLOOKUP('Données projet'!$B$9,Paramètres!$A$1:$I$89,3,0)*0.475*44/12</f>
        <v>12.095614584773029</v>
      </c>
      <c r="AB43" s="21">
        <f>EXP(-LN(2)/2)*AB42+(1-EXP(-LN(2)/2))/(LN(2)/2)*V43*Y43*VLOOKUP('Données projet'!$B$9,Paramètres!$A$1:$I$89,3,0)*0.475*44/12</f>
        <v>5.2895377482939564E-2</v>
      </c>
      <c r="AC43" s="22">
        <f t="shared" si="3"/>
        <v>14.683379720192329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16.131410256410259</v>
      </c>
      <c r="AI43" s="13">
        <f>IF('Données projet'!$A$62&gt;35,AI42+AH43-AQ42,IF(A43&lt;'Données projet'!$A$62,$AF$205^A43,IF(A43='Données projet'!$A$62,'Données projet'!$B$62,AI42+AH43-AQ42)))</f>
        <v>378.10641025641036</v>
      </c>
      <c r="AJ43" s="13">
        <f>AI43*VLOOKUP('Données projet'!$B$10,Paramètres!$A$1:$I$89,3,0)*VLOOKUP('Données projet'!$B$10,Paramètres!$A$1:$I$89,5,0)</f>
        <v>176.95380000000006</v>
      </c>
      <c r="AK43" s="13">
        <f t="shared" si="35"/>
        <v>44.643791032081154</v>
      </c>
      <c r="AL43" s="20">
        <f t="shared" si="4"/>
        <v>385.94913771420806</v>
      </c>
      <c r="AM43" s="59">
        <f t="shared" si="5"/>
        <v>679.28247104754132</v>
      </c>
      <c r="AN43" s="59">
        <f ca="1">AVERAGE(OFFSET($AM$3,0,0,'Données projet'!$E$10+1,1))-AVERAGE(OFFSET($H$3,0,0,'Données projet'!$E$10+1,1))</f>
        <v>158.58786357608489</v>
      </c>
      <c r="AO43" s="59">
        <f t="shared" si="36"/>
        <v>163.20074068819849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341</v>
      </c>
      <c r="BB43" s="12">
        <f>VLOOKUP(A43,'Données projet'!$A$87:$I$107,9,0)</f>
        <v>18.2</v>
      </c>
      <c r="BC43" s="12">
        <f t="array" ref="BC43">INDEX(BB:BB,MIN(IF(ISNUMBER(BB43:BB239),ROW(BB43:BB239),"")))</f>
        <v>18.2</v>
      </c>
      <c r="BD43" s="12">
        <f>IF('Données projet'!$A$88&gt;35,BD42+BC43-BL42,IF(A43&lt;'Données projet'!$A$88,$BA$205^A43,IF(A43='Données projet'!$A$88,'Données projet'!$B$88,BD42+BC43-BL42)))</f>
        <v>340.99999999999994</v>
      </c>
      <c r="BE43" s="13">
        <f>BD43*VLOOKUP('Données projet'!$B$11,Paramètres!$A$1:$I$89,3,0)*VLOOKUP('Données projet'!$B$11,Paramètres!$A$1:$I$89,5,0)</f>
        <v>203.91799999999998</v>
      </c>
      <c r="BF43" s="13">
        <f t="shared" si="37"/>
        <v>50.604250898161411</v>
      </c>
      <c r="BG43" s="20">
        <f t="shared" si="7"/>
        <v>443.29292031429776</v>
      </c>
      <c r="BH43" s="59">
        <f t="shared" si="8"/>
        <v>736.62625364763107</v>
      </c>
      <c r="BI43" s="59">
        <f ca="1">AVERAGE(OFFSET($BH$3,0,0,'Données projet'!$E$11+1,1))-AVERAGE(OFFSET($H$3,0,0,'Données projet'!$E$11+1,1))</f>
        <v>316.58509520829671</v>
      </c>
      <c r="BJ43" s="59">
        <f t="shared" si="38"/>
        <v>240.71332110643596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95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2.079178773318481</v>
      </c>
      <c r="BQ43" s="21">
        <f>EXP(-LN(2)/25)*BQ42+(1-EXP(-LN(2)/25))/(LN(2)/25)*Calculateur!BL43*Calculateur!BN43*VLOOKUP('Données projet'!$B$11,Paramètres!$A$1:$I$89,3,0)*0.475*44/12</f>
        <v>11.570924733336708</v>
      </c>
      <c r="BR43" s="21">
        <f>EXP(-LN(2)/2)*BR42+(1-EXP(-LN(2)/2))/(LN(2)/2)*BL43*BO43*VLOOKUP('Données projet'!$B$11,Paramètres!$A$1:$I$89,3,0)*0.475*44/12</f>
        <v>0.68560447094190002</v>
      </c>
      <c r="BS43" s="22">
        <f t="shared" si="9"/>
        <v>14.335707977597089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12.1</v>
      </c>
      <c r="BX43" s="12">
        <f t="array" ref="BX43">INDEX(BW:BW,MIN(IF(ISNUMBER(BW43:BW239),ROW(BW43:BW239),"")))</f>
        <v>12.1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209.24279999999996</v>
      </c>
      <c r="CA43" s="13">
        <f t="shared" si="39"/>
        <v>51.770083677016814</v>
      </c>
      <c r="CB43" s="20">
        <f t="shared" si="10"/>
        <v>454.59743907080411</v>
      </c>
      <c r="CC43" s="59">
        <f t="shared" si="11"/>
        <v>747.93077240413743</v>
      </c>
      <c r="CD43" s="59">
        <f ca="1">AVERAGE(OFFSET($CC$3,0,0,'Données projet'!$E$12+1,1))-AVERAGE(OFFSET($H$3,0,0,'Données projet'!$E$12+1,1))</f>
        <v>260.20517190557814</v>
      </c>
      <c r="CE43" s="59">
        <f t="shared" si="40"/>
        <v>307.22009971147133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70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2.6767463815716797</v>
      </c>
      <c r="CL43" s="21">
        <f>EXP(-LN(2)/25)*CL42+(1-EXP(-LN(2)/25))/(LN(2)/25)*Calculateur!CG43*Calculateur!CI43*VLOOKUP('Données projet'!$B$12,Paramètres!$A$1:$I$89,3,0)*0.475*44/12</f>
        <v>15.550950894093358</v>
      </c>
      <c r="CM43" s="21">
        <f>EXP(-LN(2)/2)*CM42+(1-EXP(-LN(2)/2))/(LN(2)/2)*CG43*CJ43*VLOOKUP('Données projet'!$B$12,Paramètres!$A$1:$I$89,3,0)*0.475*44/12</f>
        <v>0.75121982039866519</v>
      </c>
      <c r="CN43" s="22">
        <f t="shared" si="12"/>
        <v>18.9789170960637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9.3141025641025674</v>
      </c>
      <c r="CT43" s="12">
        <f>IF('Données projet'!$A$140&gt;35,CT42+CS43-DB42,IF(A43&lt;'Données projet'!$A$140,$CQ$205^A43,IF(A43='Données projet'!$A$140,'Données projet'!$B$140,CT42+CS43-DB42)))</f>
        <v>148.13461538461539</v>
      </c>
      <c r="CU43" s="17">
        <f>CT43*VLOOKUP('Données projet'!$B$13,Paramètres!$A$1:$I$89,3,0)*VLOOKUP('Données projet'!$B$13,Paramètres!$A$1:$I$89,5,0)</f>
        <v>150.20850000000002</v>
      </c>
      <c r="CV43" s="13">
        <f t="shared" si="41"/>
        <v>38.625964162869636</v>
      </c>
      <c r="CW43" s="20">
        <f t="shared" si="13"/>
        <v>328.88669175033129</v>
      </c>
      <c r="CX43" s="59">
        <f t="shared" si="14"/>
        <v>622.22002508366461</v>
      </c>
      <c r="CY43" s="59">
        <f ca="1">AVERAGE(OFFSET($CX$3,0,0,'Données projet'!$E$13+1,1))-AVERAGE(OFFSET($H$3,0,0,'Données projet'!$E$13+1,1))</f>
        <v>263.15518481854753</v>
      </c>
      <c r="CZ43" s="59">
        <f t="shared" si="42"/>
        <v>210.80755370263819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181</v>
      </c>
      <c r="DM43" s="12">
        <f>VLOOKUP(A43,'Données projet'!$A$165:$I$185,9,0)</f>
        <v>7.2</v>
      </c>
      <c r="DN43" s="12">
        <f t="array" ref="DN43">INDEX(DM:DM,MIN(IF(ISNUMBER(DM43:DM239),ROW(DM43:DM239),"")))</f>
        <v>7.2</v>
      </c>
      <c r="DO43" s="12">
        <f>IF('Données projet'!$A$166&gt;35,DO42+DN43-DW42,IF(A43&lt;'Données projet'!$A$166,$DL$205^A43,IF(A43='Données projet'!$A$166,'Données projet'!$B$166,DO42+DN43-DW42)))</f>
        <v>180.99999999999991</v>
      </c>
      <c r="DP43" s="17">
        <f>DO43*VLOOKUP('Données projet'!$B$14,Paramètres!$A$1:$I$89,3,0)*VLOOKUP('Données projet'!$B$14,Paramètres!$A$1:$I$89,5,0)</f>
        <v>146.82719999999995</v>
      </c>
      <c r="DQ43" s="13">
        <f t="shared" si="43"/>
        <v>37.856660748046949</v>
      </c>
      <c r="DR43" s="20">
        <f t="shared" si="16"/>
        <v>321.65772413618168</v>
      </c>
      <c r="DS43" s="59">
        <f t="shared" si="17"/>
        <v>614.991057469515</v>
      </c>
      <c r="DT43" s="59">
        <f ca="1">AVERAGE(OFFSET($DS$3,0,0,'Données projet'!$E$14+1,1))-AVERAGE(OFFSET($H$3,0,0,'Données projet'!$E$14+1,1))</f>
        <v>203.21935660591021</v>
      </c>
      <c r="DU43" s="59">
        <f t="shared" si="44"/>
        <v>180.54762778843178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31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0.82244769113181726</v>
      </c>
      <c r="EB43" s="21">
        <f>EXP(-LN(2)/25)*EB42+(1-EXP(-LN(2)/25))/(LN(2)/25)*Calculateur!DW43*Calculateur!DY43*VLOOKUP('Données projet'!$B$14,Paramètres!$A$1:$I$89,3,0)*0.475*44/12</f>
        <v>4.3983828420117215</v>
      </c>
      <c r="EC43" s="21">
        <f>EXP(-LN(2)/2)*EC42+(1-EXP(-LN(2)/2))/(LN(2)/2)*DW43*DZ43*VLOOKUP('Données projet'!$B$14,Paramètres!$A$1:$I$89,3,0)*0.475*44/12</f>
        <v>0.28320889126187321</v>
      </c>
      <c r="ED43" s="22">
        <f t="shared" si="18"/>
        <v>5.5040394244054118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263</v>
      </c>
      <c r="EH43" s="12">
        <f>VLOOKUP(A43,'Données projet'!$A$191:$I$211,9,0)</f>
        <v>12.1</v>
      </c>
      <c r="EI43" s="12">
        <f t="array" ref="EI43">INDEX(EH:EH,MIN(IF(ISNUMBER(EH43:EH239),ROW(EH43:EH239),"")))</f>
        <v>12.1</v>
      </c>
      <c r="EJ43" s="12">
        <f>IF('Données projet'!$A$192&gt;35,EJ42+EI43-ER42,IF(A43&lt;'Données projet'!$A$192,$EG$205^A43,IF(A43='Données projet'!$A$192,'Données projet'!$B$192,EJ42+EI43-ER42)))</f>
        <v>262.99999999999994</v>
      </c>
      <c r="EK43" s="17">
        <f>EJ43*VLOOKUP('Données projet'!$B$15,Paramètres!$A$1:$I$89,3,0)*VLOOKUP('Données projet'!$B$15,Paramètres!$A$1:$I$89,5,0)</f>
        <v>176.42039999999997</v>
      </c>
      <c r="EL43" s="13">
        <f t="shared" si="45"/>
        <v>44.5248624718784</v>
      </c>
      <c r="EM43" s="20">
        <f t="shared" si="19"/>
        <v>384.81299880518822</v>
      </c>
      <c r="EN43" s="59">
        <f t="shared" si="20"/>
        <v>678.14633213852153</v>
      </c>
      <c r="EO43" s="59">
        <f ca="1">AVERAGE(OFFSET($EN$3,0,0,'Données projet'!$E$15+1,1))-AVERAGE(OFFSET($H$3,0,0,'Données projet'!$E$15+1,1))</f>
        <v>207.93042467236967</v>
      </c>
      <c r="EP43" s="59">
        <f t="shared" si="46"/>
        <v>250.70954318710835</v>
      </c>
      <c r="EQ43" s="15">
        <f>IF(ISNA(VLOOKUP(A43,'Données projet'!$A$191:$I$211,3,0)),0,VLOOKUP(A43,'Données projet'!$A$191:$I$211,3,0))</f>
        <v>3</v>
      </c>
      <c r="ER43" s="15">
        <f>IF(ISNA(VLOOKUP(A43,'Données projet'!$A$191:$I$211,4,0)),0,VLOOKUP(A43,'Données projet'!$A$191:$I$211,4,0))</f>
        <v>70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2.2568645962271017</v>
      </c>
      <c r="EW43" s="21">
        <f>EXP(-LN(2)/25)*EW42+(1-EXP(-LN(2)/25))/(LN(2)/25)*Calculateur!ER43*Calculateur!ET43*VLOOKUP('Données projet'!$B$15,Paramètres!$A$1:$I$89,3,0)*0.475*44/12</f>
        <v>13.111586047961071</v>
      </c>
      <c r="EX43" s="21">
        <f>EXP(-LN(2)/2)*EX42+(1-EXP(-LN(2)/2))/(LN(2)/2)*ER43*EU43*VLOOKUP('Données projet'!$B$15,Paramètres!$A$1:$I$89,3,0)*0.475*44/12</f>
        <v>0.63338141719887453</v>
      </c>
      <c r="EY43" s="22">
        <f t="shared" si="21"/>
        <v>16.001832061387049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22.419230769230779</v>
      </c>
      <c r="N44" s="13">
        <f>IF('Données projet'!$A$36&gt;35,N43+M44-V43,IF(A44&lt;'Données projet'!$A$36,$K$205^A44,IF(A44='Données projet'!$A$36,'Données projet'!$B$36,N43+M44-V43)))</f>
        <v>446.30384615384594</v>
      </c>
      <c r="O44" s="13">
        <f>N44*VLOOKUP('Données projet'!$B$9,Paramètres!$A$1:$I$89,3,0)*VLOOKUP('Données projet'!$B$9,Paramètres!$A$1:$I$89,5,0)</f>
        <v>249.4838499999999</v>
      </c>
      <c r="P44" s="13">
        <f t="shared" si="33"/>
        <v>60.475401807280001</v>
      </c>
      <c r="Q44" s="20">
        <f t="shared" si="53"/>
        <v>539.84569689767909</v>
      </c>
      <c r="R44" s="59">
        <f t="shared" si="0"/>
        <v>833.17903023101235</v>
      </c>
      <c r="S44" s="59">
        <f ca="1">AVERAGE(OFFSET($R$3,0,0,'Données projet'!$E$9+1,1))-AVERAGE(OFFSET($H$3,0,0,'Données projet'!$E$9+1,1))</f>
        <v>255.5374979188561</v>
      </c>
      <c r="T44" s="59">
        <f t="shared" si="34"/>
        <v>343.10418468620901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2.4851625081011139</v>
      </c>
      <c r="AA44" s="21">
        <f>EXP(-LN(2)/25)*AA43+(1-EXP(-LN(2)/25))/(LN(2)/25)*Calculateur!V44*Calculateur!X44*VLOOKUP('Données projet'!$B$9,Paramètres!$A$1:$I$89,3,0)*0.475*44/12</f>
        <v>11.764859367871685</v>
      </c>
      <c r="AB44" s="21">
        <f>EXP(-LN(2)/2)*AB43+(1-EXP(-LN(2)/2))/(LN(2)/2)*V44*Y44*VLOOKUP('Données projet'!$B$9,Paramètres!$A$1:$I$89,3,0)*0.475*44/12</f>
        <v>3.7402680111608778E-2</v>
      </c>
      <c r="AC44" s="22">
        <f t="shared" si="3"/>
        <v>14.287424556084407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16.131410256410259</v>
      </c>
      <c r="AI44" s="13">
        <f>IF('Données projet'!$A$62&gt;35,AI43+AH44-AQ43,IF(A44&lt;'Données projet'!$A$62,$AF$205^A44,IF(A44='Données projet'!$A$62,'Données projet'!$B$62,AI43+AH44-AQ43)))</f>
        <v>394.23782051282063</v>
      </c>
      <c r="AJ44" s="13">
        <f>AI44*VLOOKUP('Données projet'!$B$10,Paramètres!$A$1:$I$89,3,0)*VLOOKUP('Données projet'!$B$10,Paramètres!$A$1:$I$89,5,0)</f>
        <v>184.50330000000005</v>
      </c>
      <c r="AK44" s="13">
        <f t="shared" si="35"/>
        <v>46.32264201774467</v>
      </c>
      <c r="AL44" s="20">
        <f t="shared" si="4"/>
        <v>402.02184901423874</v>
      </c>
      <c r="AM44" s="59">
        <f t="shared" si="5"/>
        <v>695.35518234757205</v>
      </c>
      <c r="AN44" s="59">
        <f ca="1">AVERAGE(OFFSET($AM$3,0,0,'Données projet'!$E$10+1,1))-AVERAGE(OFFSET($H$3,0,0,'Données projet'!$E$10+1,1))</f>
        <v>158.58786357608489</v>
      </c>
      <c r="AO44" s="59">
        <f t="shared" si="36"/>
        <v>163.20074068819849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18.899999999999999</v>
      </c>
      <c r="BD44" s="12">
        <f>IF('Données projet'!$A$88&gt;35,BD43+BC44-BL43,IF(A44&lt;'Données projet'!$A$88,$BA$205^A44,IF(A44='Données projet'!$A$88,'Données projet'!$B$88,BD43+BC44-BL43)))</f>
        <v>264.89999999999992</v>
      </c>
      <c r="BE44" s="13">
        <f>BD44*VLOOKUP('Données projet'!$B$11,Paramètres!$A$1:$I$89,3,0)*VLOOKUP('Données projet'!$B$11,Paramètres!$A$1:$I$89,5,0)</f>
        <v>158.41019999999997</v>
      </c>
      <c r="BF44" s="13">
        <f t="shared" si="37"/>
        <v>40.483723442869469</v>
      </c>
      <c r="BG44" s="20">
        <f t="shared" si="7"/>
        <v>346.40691666299762</v>
      </c>
      <c r="BH44" s="59">
        <f t="shared" si="8"/>
        <v>639.74024999633093</v>
      </c>
      <c r="BI44" s="59">
        <f ca="1">AVERAGE(OFFSET($BH$3,0,0,'Données projet'!$E$11+1,1))-AVERAGE(OFFSET($H$3,0,0,'Données projet'!$E$11+1,1))</f>
        <v>316.58509520829671</v>
      </c>
      <c r="BJ44" s="59">
        <f t="shared" si="38"/>
        <v>240.71332110643596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2.0384073457475353</v>
      </c>
      <c r="BQ44" s="21">
        <f>EXP(-LN(2)/25)*BQ43+(1-EXP(-LN(2)/25))/(LN(2)/25)*Calculateur!BL44*Calculateur!BN44*VLOOKUP('Données projet'!$B$11,Paramètres!$A$1:$I$89,3,0)*0.475*44/12</f>
        <v>11.25451718801513</v>
      </c>
      <c r="BR44" s="21">
        <f>EXP(-LN(2)/2)*BR43+(1-EXP(-LN(2)/2))/(LN(2)/2)*BL44*BO44*VLOOKUP('Données projet'!$B$11,Paramètres!$A$1:$I$89,3,0)*0.475*44/12</f>
        <v>0.4847955706148328</v>
      </c>
      <c r="BS44" s="22">
        <f t="shared" si="9"/>
        <v>13.777720104377497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9.1999999999999993</v>
      </c>
      <c r="BY44" s="12">
        <f>IF('Données projet'!$A$114&gt;35,BY43+BX44-CG43,IF(A44&lt;'Données projet'!$A$114,$BV$205^A44,IF(A44='Données projet'!$A$114,'Données projet'!$B$114,BY43+BX44-CG43)))</f>
        <v>202.19999999999993</v>
      </c>
      <c r="BZ44" s="13">
        <f>BY44*VLOOKUP('Données projet'!$B$12,Paramètres!$A$1:$I$89,3,0)*VLOOKUP('Données projet'!$B$12,Paramètres!$A$1:$I$89,5,0)</f>
        <v>160.87031999999996</v>
      </c>
      <c r="CA44" s="13">
        <f t="shared" si="39"/>
        <v>41.038756492063129</v>
      </c>
      <c r="CB44" s="20">
        <f t="shared" si="10"/>
        <v>351.65830822367656</v>
      </c>
      <c r="CC44" s="59">
        <f t="shared" si="11"/>
        <v>644.99164155700987</v>
      </c>
      <c r="CD44" s="59">
        <f ca="1">AVERAGE(OFFSET($CC$3,0,0,'Données projet'!$E$12+1,1))-AVERAGE(OFFSET($H$3,0,0,'Données projet'!$E$12+1,1))</f>
        <v>260.20517190557814</v>
      </c>
      <c r="CE44" s="59">
        <f t="shared" si="40"/>
        <v>307.22009971147133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2.6242570176831408</v>
      </c>
      <c r="CL44" s="21">
        <f>EXP(-LN(2)/25)*CL43+(1-EXP(-LN(2)/25))/(LN(2)/25)*Calculateur!CG44*Calculateur!CI44*VLOOKUP('Données projet'!$B$12,Paramètres!$A$1:$I$89,3,0)*0.475*44/12</f>
        <v>15.12570932410541</v>
      </c>
      <c r="CM44" s="21">
        <f>EXP(-LN(2)/2)*CM43+(1-EXP(-LN(2)/2))/(LN(2)/2)*CG44*CJ44*VLOOKUP('Données projet'!$B$12,Paramètres!$A$1:$I$89,3,0)*0.475*44/12</f>
        <v>0.53119262916563648</v>
      </c>
      <c r="CN44" s="22">
        <f t="shared" si="12"/>
        <v>18.281158970954188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>
        <f>VLOOKUP(A44,'Données projet'!$A$139:$I$159,2,0)</f>
        <v>157.44871794871796</v>
      </c>
      <c r="CR44" s="12">
        <f>VLOOKUP(A44,'Données projet'!$A$139:$I$159,9,0)</f>
        <v>9.3141025641025674</v>
      </c>
      <c r="CS44" s="12">
        <f t="array" ref="CS44">INDEX(CR:CR,MIN(IF(ISNUMBER(CR44:CR240),ROW(CR44:CR240),"")))</f>
        <v>9.3141025641025674</v>
      </c>
      <c r="CT44" s="12">
        <f>IF('Données projet'!$A$140&gt;35,CT43+CS44-DB43,IF(A44&lt;'Données projet'!$A$140,$CQ$205^A44,IF(A44='Données projet'!$A$140,'Données projet'!$B$140,CT43+CS44-DB43)))</f>
        <v>157.44871794871796</v>
      </c>
      <c r="CU44" s="17">
        <f>CT44*VLOOKUP('Données projet'!$B$13,Paramètres!$A$1:$I$89,3,0)*VLOOKUP('Données projet'!$B$13,Paramètres!$A$1:$I$89,5,0)</f>
        <v>159.65300000000002</v>
      </c>
      <c r="CV44" s="13">
        <f t="shared" si="41"/>
        <v>40.764238701185349</v>
      </c>
      <c r="CW44" s="20">
        <f t="shared" si="13"/>
        <v>349.06002407123111</v>
      </c>
      <c r="CX44" s="59">
        <f t="shared" si="14"/>
        <v>642.39335740456443</v>
      </c>
      <c r="CY44" s="59">
        <f ca="1">AVERAGE(OFFSET($CX$3,0,0,'Données projet'!$E$13+1,1))-AVERAGE(OFFSET($H$3,0,0,'Données projet'!$E$13+1,1))</f>
        <v>263.15518481854753</v>
      </c>
      <c r="CZ44" s="59">
        <f t="shared" si="42"/>
        <v>210.80755370263819</v>
      </c>
      <c r="DA44" s="15">
        <f>IF(ISNA(VLOOKUP(A44,'Données projet'!$A$139:$I$159,3,0)),0,VLOOKUP(A44,'Données projet'!$A$139:$I$159,3,0))</f>
        <v>2</v>
      </c>
      <c r="DB44" s="15">
        <f>IF(ISNA(VLOOKUP(A44,'Données projet'!$A$139:$I$159,4,0)),0,VLOOKUP(A44,'Données projet'!$A$139:$I$159,4,0))</f>
        <v>38.512820512820511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7</v>
      </c>
      <c r="DO44" s="12">
        <f>IF('Données projet'!$A$166&gt;35,DO43+DN44-DW43,IF(A44&lt;'Données projet'!$A$166,$DL$205^A44,IF(A44='Données projet'!$A$166,'Données projet'!$B$166,DO43+DN44-DW43)))</f>
        <v>156.99999999999991</v>
      </c>
      <c r="DP44" s="17">
        <f>DO44*VLOOKUP('Données projet'!$B$14,Paramètres!$A$1:$I$89,3,0)*VLOOKUP('Données projet'!$B$14,Paramètres!$A$1:$I$89,5,0)</f>
        <v>127.35839999999993</v>
      </c>
      <c r="DQ44" s="13">
        <f t="shared" si="43"/>
        <v>33.385235744403289</v>
      </c>
      <c r="DR44" s="20">
        <f t="shared" si="16"/>
        <v>279.9618322548356</v>
      </c>
      <c r="DS44" s="59">
        <f t="shared" si="17"/>
        <v>573.29516558816886</v>
      </c>
      <c r="DT44" s="59">
        <f ca="1">AVERAGE(OFFSET($DS$3,0,0,'Données projet'!$E$14+1,1))-AVERAGE(OFFSET($H$3,0,0,'Données projet'!$E$14+1,1))</f>
        <v>203.21935660591021</v>
      </c>
      <c r="DU44" s="59">
        <f t="shared" si="44"/>
        <v>180.54762778843178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0.80631999355228068</v>
      </c>
      <c r="EB44" s="21">
        <f>EXP(-LN(2)/25)*EB43+(1-EXP(-LN(2)/25))/(LN(2)/25)*Calculateur!DW44*Calculateur!DY44*VLOOKUP('Données projet'!$B$14,Paramètres!$A$1:$I$89,3,0)*0.475*44/12</f>
        <v>4.2781088318960103</v>
      </c>
      <c r="EC44" s="21">
        <f>EXP(-LN(2)/2)*EC43+(1-EXP(-LN(2)/2))/(LN(2)/2)*DW44*DZ44*VLOOKUP('Données projet'!$B$14,Paramètres!$A$1:$I$89,3,0)*0.475*44/12</f>
        <v>0.20025892750359411</v>
      </c>
      <c r="ED44" s="22">
        <f t="shared" si="18"/>
        <v>5.2846877529518848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9.1999999999999993</v>
      </c>
      <c r="EJ44" s="12">
        <f>IF('Données projet'!$A$192&gt;35,EJ43+EI44-ER43,IF(A44&lt;'Données projet'!$A$192,$EG$205^A44,IF(A44='Données projet'!$A$192,'Données projet'!$B$192,EJ43+EI44-ER43)))</f>
        <v>202.19999999999993</v>
      </c>
      <c r="EK44" s="17">
        <f>EJ44*VLOOKUP('Données projet'!$B$15,Paramètres!$A$1:$I$89,3,0)*VLOOKUP('Données projet'!$B$15,Paramètres!$A$1:$I$89,5,0)</f>
        <v>135.63575999999995</v>
      </c>
      <c r="EL44" s="13">
        <f t="shared" si="45"/>
        <v>35.295384110750781</v>
      </c>
      <c r="EM44" s="20">
        <f t="shared" si="19"/>
        <v>297.70507599289084</v>
      </c>
      <c r="EN44" s="59">
        <f t="shared" si="20"/>
        <v>591.03840932622415</v>
      </c>
      <c r="EO44" s="59">
        <f ca="1">AVERAGE(OFFSET($EN$3,0,0,'Données projet'!$E$15+1,1))-AVERAGE(OFFSET($H$3,0,0,'Données projet'!$E$15+1,1))</f>
        <v>207.93042467236967</v>
      </c>
      <c r="EP44" s="59">
        <f t="shared" si="46"/>
        <v>250.70954318710835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2.2126088580465688</v>
      </c>
      <c r="EW44" s="21">
        <f>EXP(-LN(2)/25)*EW43+(1-EXP(-LN(2)/25))/(LN(2)/25)*Calculateur!ER44*Calculateur!ET44*VLOOKUP('Données projet'!$B$15,Paramètres!$A$1:$I$89,3,0)*0.475*44/12</f>
        <v>12.753049037971232</v>
      </c>
      <c r="EX44" s="21">
        <f>EXP(-LN(2)/2)*EX43+(1-EXP(-LN(2)/2))/(LN(2)/2)*ER44*EU44*VLOOKUP('Données projet'!$B$15,Paramètres!$A$1:$I$89,3,0)*0.475*44/12</f>
        <v>0.44786829517886995</v>
      </c>
      <c r="EY44" s="22">
        <f t="shared" si="21"/>
        <v>15.41352619119667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468.72307692307692</v>
      </c>
      <c r="L45" s="12">
        <f>VLOOKUP(A45,'Données projet'!$A$35:$I$55,9,0)</f>
        <v>22.419230769230779</v>
      </c>
      <c r="M45" s="12">
        <f t="array" ref="M45">INDEX(L:L,MIN(IF(ISNUMBER(L45:L241),ROW(L45:L241),"")))</f>
        <v>22.419230769230779</v>
      </c>
      <c r="N45" s="13">
        <f>IF('Données projet'!$A$36&gt;35,N44+M45-V44,IF(A45&lt;'Données projet'!$A$36,$K$205^A45,IF(A45='Données projet'!$A$36,'Données projet'!$B$36,N44+M45-V44)))</f>
        <v>468.72307692307675</v>
      </c>
      <c r="O45" s="13">
        <f>N45*VLOOKUP('Données projet'!$B$9,Paramètres!$A$1:$I$89,3,0)*VLOOKUP('Données projet'!$B$9,Paramètres!$A$1:$I$89,5,0)</f>
        <v>262.01619999999991</v>
      </c>
      <c r="P45" s="13">
        <f t="shared" si="33"/>
        <v>63.151956912854573</v>
      </c>
      <c r="Q45" s="20">
        <f t="shared" si="53"/>
        <v>566.33453995655486</v>
      </c>
      <c r="R45" s="59">
        <f t="shared" si="0"/>
        <v>859.66787328988812</v>
      </c>
      <c r="S45" s="59">
        <f ca="1">AVERAGE(OFFSET($R$3,0,0,'Données projet'!$E$9+1,1))-AVERAGE(OFFSET($H$3,0,0,'Données projet'!$E$9+1,1))</f>
        <v>255.5374979188561</v>
      </c>
      <c r="T45" s="59">
        <f t="shared" si="34"/>
        <v>343.10418468620901</v>
      </c>
      <c r="U45" s="15">
        <f>IF(ISNA(VLOOKUP(A45,'Données projet'!$A$35:$I$55,3,0)),0,VLOOKUP(A45,'Données projet'!$A$35:$I$55,3,0))</f>
        <v>5</v>
      </c>
      <c r="V45" s="15">
        <f>IF(ISNA(VLOOKUP(A45,'Données projet'!$A$35:$I$55,4,0)),0,VLOOKUP(A45,'Données projet'!$A$35:$I$55,4,0))</f>
        <v>73.392307692307682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2.4364299871167083</v>
      </c>
      <c r="AA45" s="21">
        <f>EXP(-LN(2)/25)*AA44+(1-EXP(-LN(2)/25))/(LN(2)/25)*Calculateur!V45*Calculateur!X45*VLOOKUP('Données projet'!$B$9,Paramètres!$A$1:$I$89,3,0)*0.475*44/12</f>
        <v>11.443148669770169</v>
      </c>
      <c r="AB45" s="21">
        <f>EXP(-LN(2)/2)*AB44+(1-EXP(-LN(2)/2))/(LN(2)/2)*V45*Y45*VLOOKUP('Données projet'!$B$9,Paramètres!$A$1:$I$89,3,0)*0.475*44/12</f>
        <v>2.6447688741469782E-2</v>
      </c>
      <c r="AC45" s="22">
        <f t="shared" si="3"/>
        <v>13.906026345628348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410.3692307692308</v>
      </c>
      <c r="AG45" s="12">
        <f>VLOOKUP(A45,'Données projet'!$A$61:$I$81,9,0)</f>
        <v>16.131410256410259</v>
      </c>
      <c r="AH45" s="12">
        <f t="array" ref="AH45">INDEX(AG:AG,MIN(IF(ISNUMBER(AG45:AG241),ROW(AG45:AG241),"")))</f>
        <v>16.131410256410259</v>
      </c>
      <c r="AI45" s="13">
        <f>IF('Données projet'!$A$62&gt;35,AI44+AH45-AQ44,IF(A45&lt;'Données projet'!$A$62,$AF$205^A45,IF(A45='Données projet'!$A$62,'Données projet'!$B$62,AI44+AH45-AQ44)))</f>
        <v>410.36923076923091</v>
      </c>
      <c r="AJ45" s="13">
        <f>AI45*VLOOKUP('Données projet'!$B$10,Paramètres!$A$1:$I$89,3,0)*VLOOKUP('Données projet'!$B$10,Paramètres!$A$1:$I$89,5,0)</f>
        <v>192.05280000000008</v>
      </c>
      <c r="AK45" s="13">
        <f t="shared" si="35"/>
        <v>47.993513546032311</v>
      </c>
      <c r="AL45" s="20">
        <f t="shared" si="4"/>
        <v>418.08066275933976</v>
      </c>
      <c r="AM45" s="59">
        <f t="shared" si="5"/>
        <v>711.41399609267307</v>
      </c>
      <c r="AN45" s="59">
        <f ca="1">AVERAGE(OFFSET($AM$3,0,0,'Données projet'!$E$10+1,1))-AVERAGE(OFFSET($H$3,0,0,'Données projet'!$E$10+1,1))</f>
        <v>158.58786357608489</v>
      </c>
      <c r="AO45" s="59">
        <f t="shared" si="36"/>
        <v>163.20074068819849</v>
      </c>
      <c r="AP45" s="15">
        <f>IF(ISNA(VLOOKUP(A45,'Données projet'!$A$61:$I$81,3,0)),0,VLOOKUP(A45,'Données projet'!$A$61:$I$81,3,0))</f>
        <v>1</v>
      </c>
      <c r="AQ45" s="15">
        <f>IF(ISNA(VLOOKUP(A45,'Données projet'!$A$61:$I$81,4,0)),0,VLOOKUP(A45,'Données projet'!$A$61:$I$81,4,0))</f>
        <v>179.84615384615384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18.899999999999999</v>
      </c>
      <c r="BD45" s="12">
        <f>IF('Données projet'!$A$88&gt;35,BD44+BC45-BL44,IF(A45&lt;'Données projet'!$A$88,$BA$205^A45,IF(A45='Données projet'!$A$88,'Données projet'!$B$88,BD44+BC45-BL44)))</f>
        <v>283.7999999999999</v>
      </c>
      <c r="BE45" s="13">
        <f>BD45*VLOOKUP('Données projet'!$B$11,Paramètres!$A$1:$I$89,3,0)*VLOOKUP('Données projet'!$B$11,Paramètres!$A$1:$I$89,5,0)</f>
        <v>169.71239999999995</v>
      </c>
      <c r="BF45" s="13">
        <f t="shared" si="37"/>
        <v>43.025604406382911</v>
      </c>
      <c r="BG45" s="20">
        <f t="shared" si="7"/>
        <v>370.51869100778345</v>
      </c>
      <c r="BH45" s="59">
        <f t="shared" si="8"/>
        <v>663.8520243411167</v>
      </c>
      <c r="BI45" s="59">
        <f ca="1">AVERAGE(OFFSET($BH$3,0,0,'Données projet'!$E$11+1,1))-AVERAGE(OFFSET($H$3,0,0,'Données projet'!$E$11+1,1))</f>
        <v>316.58509520829671</v>
      </c>
      <c r="BJ45" s="59">
        <f t="shared" si="38"/>
        <v>240.71332110643596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1.9984354210031408</v>
      </c>
      <c r="BQ45" s="21">
        <f>EXP(-LN(2)/25)*BQ44+(1-EXP(-LN(2)/25))/(LN(2)/25)*Calculateur!BL45*Calculateur!BN45*VLOOKUP('Données projet'!$B$11,Paramètres!$A$1:$I$89,3,0)*0.475*44/12</f>
        <v>10.94676182365952</v>
      </c>
      <c r="BR45" s="21">
        <f>EXP(-LN(2)/2)*BR44+(1-EXP(-LN(2)/2))/(LN(2)/2)*BL45*BO45*VLOOKUP('Données projet'!$B$11,Paramètres!$A$1:$I$89,3,0)*0.475*44/12</f>
        <v>0.34280223547095007</v>
      </c>
      <c r="BS45" s="22">
        <f t="shared" si="9"/>
        <v>13.28799948013361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9.1999999999999993</v>
      </c>
      <c r="BY45" s="12">
        <f>IF('Données projet'!$A$114&gt;35,BY44+BX45-CG44,IF(A45&lt;'Données projet'!$A$114,$BV$205^A45,IF(A45='Données projet'!$A$114,'Données projet'!$B$114,BY44+BX45-CG44)))</f>
        <v>211.39999999999992</v>
      </c>
      <c r="BZ45" s="13">
        <f>BY45*VLOOKUP('Données projet'!$B$12,Paramètres!$A$1:$I$89,3,0)*VLOOKUP('Données projet'!$B$12,Paramètres!$A$1:$I$89,5,0)</f>
        <v>168.18983999999995</v>
      </c>
      <c r="CA45" s="13">
        <f t="shared" si="39"/>
        <v>42.684355718695357</v>
      </c>
      <c r="CB45" s="20">
        <f t="shared" si="10"/>
        <v>367.27255754339438</v>
      </c>
      <c r="CC45" s="59">
        <f t="shared" si="11"/>
        <v>660.6058908767277</v>
      </c>
      <c r="CD45" s="59">
        <f ca="1">AVERAGE(OFFSET($CC$3,0,0,'Données projet'!$E$12+1,1))-AVERAGE(OFFSET($H$3,0,0,'Données projet'!$E$12+1,1))</f>
        <v>260.20517190557814</v>
      </c>
      <c r="CE45" s="59">
        <f t="shared" si="40"/>
        <v>307.22009971147133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2.572796938205105</v>
      </c>
      <c r="CL45" s="21">
        <f>EXP(-LN(2)/25)*CL44+(1-EXP(-LN(2)/25))/(LN(2)/25)*Calculateur!CG45*Calculateur!CI45*VLOOKUP('Données projet'!$B$12,Paramètres!$A$1:$I$89,3,0)*0.475*44/12</f>
        <v>14.712096007211263</v>
      </c>
      <c r="CM45" s="21">
        <f>EXP(-LN(2)/2)*CM44+(1-EXP(-LN(2)/2))/(LN(2)/2)*CG45*CJ45*VLOOKUP('Données projet'!$B$12,Paramètres!$A$1:$I$89,3,0)*0.475*44/12</f>
        <v>0.3756099101993326</v>
      </c>
      <c r="CN45" s="22">
        <f t="shared" si="12"/>
        <v>17.6605028556157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9.3452380952380913</v>
      </c>
      <c r="CT45" s="12">
        <f>IF('Données projet'!$A$140&gt;35,CT44+CS45-DB44,IF(A45&lt;'Données projet'!$A$140,$CQ$205^A45,IF(A45='Données projet'!$A$140,'Données projet'!$B$140,CT44+CS45-DB44)))</f>
        <v>128.28113553113553</v>
      </c>
      <c r="CU45" s="17">
        <f>CT45*VLOOKUP('Données projet'!$B$13,Paramètres!$A$1:$I$89,3,0)*VLOOKUP('Données projet'!$B$13,Paramètres!$A$1:$I$89,5,0)</f>
        <v>130.07707142857143</v>
      </c>
      <c r="CV45" s="13">
        <f t="shared" si="41"/>
        <v>34.014167662270388</v>
      </c>
      <c r="CW45" s="20">
        <f t="shared" si="13"/>
        <v>285.79224141654947</v>
      </c>
      <c r="CX45" s="59">
        <f t="shared" si="14"/>
        <v>579.12557474988284</v>
      </c>
      <c r="CY45" s="59">
        <f ca="1">AVERAGE(OFFSET($CX$3,0,0,'Données projet'!$E$13+1,1))-AVERAGE(OFFSET($H$3,0,0,'Données projet'!$E$13+1,1))</f>
        <v>263.15518481854753</v>
      </c>
      <c r="CZ45" s="59">
        <f t="shared" si="42"/>
        <v>210.80755370263819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7</v>
      </c>
      <c r="DO45" s="12">
        <f>IF('Données projet'!$A$166&gt;35,DO44+DN45-DW44,IF(A45&lt;'Données projet'!$A$166,$DL$205^A45,IF(A45='Données projet'!$A$166,'Données projet'!$B$166,DO44+DN45-DW44)))</f>
        <v>163.99999999999991</v>
      </c>
      <c r="DP45" s="17">
        <f>DO45*VLOOKUP('Données projet'!$B$14,Paramètres!$A$1:$I$89,3,0)*VLOOKUP('Données projet'!$B$14,Paramètres!$A$1:$I$89,5,0)</f>
        <v>133.03679999999994</v>
      </c>
      <c r="DQ45" s="13">
        <f t="shared" si="43"/>
        <v>34.697128823525233</v>
      </c>
      <c r="DR45" s="20">
        <f t="shared" si="16"/>
        <v>292.13659270097298</v>
      </c>
      <c r="DS45" s="59">
        <f t="shared" si="17"/>
        <v>585.46992603430635</v>
      </c>
      <c r="DT45" s="59">
        <f ca="1">AVERAGE(OFFSET($DS$3,0,0,'Données projet'!$E$14+1,1))-AVERAGE(OFFSET($H$3,0,0,'Données projet'!$E$14+1,1))</f>
        <v>203.21935660591021</v>
      </c>
      <c r="DU45" s="59">
        <f t="shared" si="44"/>
        <v>180.54762778843178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0.79050855028535461</v>
      </c>
      <c r="EB45" s="21">
        <f>EXP(-LN(2)/25)*EB44+(1-EXP(-LN(2)/25))/(LN(2)/25)*Calculateur!DW45*Calculateur!DY45*VLOOKUP('Données projet'!$B$14,Paramètres!$A$1:$I$89,3,0)*0.475*44/12</f>
        <v>4.1611237209118483</v>
      </c>
      <c r="EC45" s="21">
        <f>EXP(-LN(2)/2)*EC44+(1-EXP(-LN(2)/2))/(LN(2)/2)*DW45*DZ45*VLOOKUP('Données projet'!$B$14,Paramètres!$A$1:$I$89,3,0)*0.475*44/12</f>
        <v>0.1416044456309366</v>
      </c>
      <c r="ED45" s="22">
        <f t="shared" si="18"/>
        <v>5.0932367168281401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9.1999999999999993</v>
      </c>
      <c r="EJ45" s="12">
        <f>IF('Données projet'!$A$192&gt;35,EJ44+EI45-ER44,IF(A45&lt;'Données projet'!$A$192,$EG$205^A45,IF(A45='Données projet'!$A$192,'Données projet'!$B$192,EJ44+EI45-ER44)))</f>
        <v>211.39999999999992</v>
      </c>
      <c r="EK45" s="17">
        <f>EJ45*VLOOKUP('Données projet'!$B$15,Paramètres!$A$1:$I$89,3,0)*VLOOKUP('Données projet'!$B$15,Paramètres!$A$1:$I$89,5,0)</f>
        <v>141.80711999999994</v>
      </c>
      <c r="EL45" s="13">
        <f t="shared" si="45"/>
        <v>36.710681789362752</v>
      </c>
      <c r="EM45" s="20">
        <f t="shared" si="19"/>
        <v>310.91850478314001</v>
      </c>
      <c r="EN45" s="59">
        <f t="shared" si="20"/>
        <v>604.25183811647332</v>
      </c>
      <c r="EO45" s="59">
        <f ca="1">AVERAGE(OFFSET($EN$3,0,0,'Données projet'!$E$15+1,1))-AVERAGE(OFFSET($H$3,0,0,'Données projet'!$E$15+1,1))</f>
        <v>207.93042467236967</v>
      </c>
      <c r="EP45" s="59">
        <f t="shared" si="46"/>
        <v>250.70954318710835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2.1692209478984212</v>
      </c>
      <c r="EW45" s="21">
        <f>EXP(-LN(2)/25)*EW44+(1-EXP(-LN(2)/25))/(LN(2)/25)*Calculateur!ER45*Calculateur!ET45*VLOOKUP('Données projet'!$B$15,Paramètres!$A$1:$I$89,3,0)*0.475*44/12</f>
        <v>12.404316241374207</v>
      </c>
      <c r="EX45" s="21">
        <f>EXP(-LN(2)/2)*EX44+(1-EXP(-LN(2)/2))/(LN(2)/2)*ER45*EU45*VLOOKUP('Données projet'!$B$15,Paramètres!$A$1:$I$89,3,0)*0.475*44/12</f>
        <v>0.31669070859943727</v>
      </c>
      <c r="EY45" s="22">
        <f t="shared" si="21"/>
        <v>14.890227897872066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21.625641025641027</v>
      </c>
      <c r="N46" s="13">
        <f>IF('Données projet'!$A$36&gt;35,N45+M46-V45,IF(A46&lt;'Données projet'!$A$36,$K$205^A46,IF(A46='Données projet'!$A$36,'Données projet'!$B$36,N45+M46-V45)))</f>
        <v>416.95641025641009</v>
      </c>
      <c r="O46" s="13">
        <f>N46*VLOOKUP('Données projet'!$B$9,Paramètres!$A$1:$I$89,3,0)*VLOOKUP('Données projet'!$B$9,Paramètres!$A$1:$I$89,5,0)</f>
        <v>233.07863333333327</v>
      </c>
      <c r="P46" s="13">
        <f t="shared" si="33"/>
        <v>56.947838023653489</v>
      </c>
      <c r="Q46" s="20">
        <f t="shared" si="53"/>
        <v>505.12943761341859</v>
      </c>
      <c r="R46" s="59">
        <f t="shared" si="0"/>
        <v>798.4627709467519</v>
      </c>
      <c r="S46" s="59">
        <f ca="1">AVERAGE(OFFSET($R$3,0,0,'Données projet'!$E$9+1,1))-AVERAGE(OFFSET($H$3,0,0,'Données projet'!$E$9+1,1))</f>
        <v>255.5374979188561</v>
      </c>
      <c r="T46" s="59">
        <f t="shared" si="34"/>
        <v>343.10418468620901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2.3886530811449043</v>
      </c>
      <c r="AA46" s="21">
        <f>EXP(-LN(2)/25)*AA45+(1-EXP(-LN(2)/25))/(LN(2)/25)*Calculateur!V46*Calculateur!X46*VLOOKUP('Données projet'!$B$9,Paramètres!$A$1:$I$89,3,0)*0.475*44/12</f>
        <v>11.130235167626269</v>
      </c>
      <c r="AB46" s="21">
        <f>EXP(-LN(2)/2)*AB45+(1-EXP(-LN(2)/2))/(LN(2)/2)*V46*Y46*VLOOKUP('Données projet'!$B$9,Paramètres!$A$1:$I$89,3,0)*0.475*44/12</f>
        <v>1.8701340055804389E-2</v>
      </c>
      <c r="AC46" s="22">
        <f t="shared" si="3"/>
        <v>13.537589588826977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15.618681318681309</v>
      </c>
      <c r="AI46" s="13">
        <f>IF('Données projet'!$A$62&gt;35,AI45+AH46-AQ45,IF(A46&lt;'Données projet'!$A$62,$AF$205^A46,IF(A46='Données projet'!$A$62,'Données projet'!$B$62,AI45+AH46-AQ45)))</f>
        <v>246.14175824175837</v>
      </c>
      <c r="AJ46" s="13">
        <f>AI46*VLOOKUP('Données projet'!$B$10,Paramètres!$A$1:$I$89,3,0)*VLOOKUP('Données projet'!$B$10,Paramètres!$A$1:$I$89,5,0)</f>
        <v>115.19434285714291</v>
      </c>
      <c r="AK46" s="13">
        <f t="shared" si="35"/>
        <v>30.5515065129288</v>
      </c>
      <c r="AL46" s="20">
        <f t="shared" si="4"/>
        <v>253.84068765287489</v>
      </c>
      <c r="AM46" s="59">
        <f t="shared" si="5"/>
        <v>547.17402098620823</v>
      </c>
      <c r="AN46" s="59">
        <f ca="1">AVERAGE(OFFSET($AM$3,0,0,'Données projet'!$E$10+1,1))-AVERAGE(OFFSET($H$3,0,0,'Données projet'!$E$10+1,1))</f>
        <v>158.58786357608489</v>
      </c>
      <c r="AO46" s="59">
        <f t="shared" si="36"/>
        <v>163.20074068819849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18.899999999999999</v>
      </c>
      <c r="BD46" s="12">
        <f>IF('Données projet'!$A$88&gt;35,BD45+BC46-BL45,IF(A46&lt;'Données projet'!$A$88,$BA$205^A46,IF(A46='Données projet'!$A$88,'Données projet'!$B$88,BD45+BC46-BL45)))</f>
        <v>302.69999999999987</v>
      </c>
      <c r="BE46" s="13">
        <f>BD46*VLOOKUP('Données projet'!$B$11,Paramètres!$A$1:$I$89,3,0)*VLOOKUP('Données projet'!$B$11,Paramètres!$A$1:$I$89,5,0)</f>
        <v>181.01459999999994</v>
      </c>
      <c r="BF46" s="13">
        <f t="shared" si="37"/>
        <v>45.547842076970326</v>
      </c>
      <c r="BG46" s="20">
        <f t="shared" si="7"/>
        <v>394.59625328405656</v>
      </c>
      <c r="BH46" s="59">
        <f t="shared" si="8"/>
        <v>687.92958661738987</v>
      </c>
      <c r="BI46" s="59">
        <f ca="1">AVERAGE(OFFSET($BH$3,0,0,'Données projet'!$E$11+1,1))-AVERAGE(OFFSET($H$3,0,0,'Données projet'!$E$11+1,1))</f>
        <v>316.58509520829671</v>
      </c>
      <c r="BJ46" s="59">
        <f t="shared" si="38"/>
        <v>240.71332110643596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1.959247321322517</v>
      </c>
      <c r="BQ46" s="21">
        <f>EXP(-LN(2)/25)*BQ45+(1-EXP(-LN(2)/25))/(LN(2)/25)*Calculateur!BL46*Calculateur!BN46*VLOOKUP('Données projet'!$B$11,Paramètres!$A$1:$I$89,3,0)*0.475*44/12</f>
        <v>10.647422045926366</v>
      </c>
      <c r="BR46" s="21">
        <f>EXP(-LN(2)/2)*BR45+(1-EXP(-LN(2)/2))/(LN(2)/2)*BL46*BO46*VLOOKUP('Données projet'!$B$11,Paramètres!$A$1:$I$89,3,0)*0.475*44/12</f>
        <v>0.24239778530741646</v>
      </c>
      <c r="BS46" s="22">
        <f t="shared" si="9"/>
        <v>12.849067152556298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9.1999999999999993</v>
      </c>
      <c r="BY46" s="12">
        <f>IF('Données projet'!$A$114&gt;35,BY45+BX46-CG45,IF(A46&lt;'Données projet'!$A$114,$BV$205^A46,IF(A46='Données projet'!$A$114,'Données projet'!$B$114,BY45+BX46-CG45)))</f>
        <v>220.59999999999991</v>
      </c>
      <c r="BZ46" s="13">
        <f>BY46*VLOOKUP('Données projet'!$B$12,Paramètres!$A$1:$I$89,3,0)*VLOOKUP('Données projet'!$B$12,Paramètres!$A$1:$I$89,5,0)</f>
        <v>175.50935999999993</v>
      </c>
      <c r="CA46" s="13">
        <f t="shared" si="39"/>
        <v>44.321637208794016</v>
      </c>
      <c r="CB46" s="20">
        <f t="shared" si="10"/>
        <v>382.87232013864946</v>
      </c>
      <c r="CC46" s="59">
        <f t="shared" si="11"/>
        <v>676.20565347198271</v>
      </c>
      <c r="CD46" s="59">
        <f ca="1">AVERAGE(OFFSET($CC$3,0,0,'Données projet'!$E$12+1,1))-AVERAGE(OFFSET($H$3,0,0,'Données projet'!$E$12+1,1))</f>
        <v>260.20517190557814</v>
      </c>
      <c r="CE46" s="59">
        <f t="shared" si="40"/>
        <v>307.22009971147133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2.5223459594980846</v>
      </c>
      <c r="CL46" s="21">
        <f>EXP(-LN(2)/25)*CL45+(1-EXP(-LN(2)/25))/(LN(2)/25)*Calculateur!CG46*Calculateur!CI46*VLOOKUP('Données projet'!$B$12,Paramètres!$A$1:$I$89,3,0)*0.475*44/12</f>
        <v>14.309792968218567</v>
      </c>
      <c r="CM46" s="21">
        <f>EXP(-LN(2)/2)*CM45+(1-EXP(-LN(2)/2))/(LN(2)/2)*CG46*CJ46*VLOOKUP('Données projet'!$B$12,Paramètres!$A$1:$I$89,3,0)*0.475*44/12</f>
        <v>0.26559631458281824</v>
      </c>
      <c r="CN46" s="22">
        <f t="shared" si="12"/>
        <v>17.097735242299471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9.3452380952380913</v>
      </c>
      <c r="CT46" s="12">
        <f>IF('Données projet'!$A$140&gt;35,CT45+CS46-DB45,IF(A46&lt;'Données projet'!$A$140,$CQ$205^A46,IF(A46='Données projet'!$A$140,'Données projet'!$B$140,CT45+CS46-DB45)))</f>
        <v>137.62637362637363</v>
      </c>
      <c r="CU46" s="17">
        <f>CT46*VLOOKUP('Données projet'!$B$13,Paramètres!$A$1:$I$89,3,0)*VLOOKUP('Données projet'!$B$13,Paramètres!$A$1:$I$89,5,0)</f>
        <v>139.55314285714289</v>
      </c>
      <c r="CV46" s="13">
        <f t="shared" si="41"/>
        <v>36.19461775941739</v>
      </c>
      <c r="CW46" s="20">
        <f t="shared" si="13"/>
        <v>306.09401640717579</v>
      </c>
      <c r="CX46" s="59">
        <f t="shared" si="14"/>
        <v>599.42734974050904</v>
      </c>
      <c r="CY46" s="59">
        <f ca="1">AVERAGE(OFFSET($CX$3,0,0,'Données projet'!$E$13+1,1))-AVERAGE(OFFSET($H$3,0,0,'Données projet'!$E$13+1,1))</f>
        <v>263.15518481854753</v>
      </c>
      <c r="CZ46" s="59">
        <f t="shared" si="42"/>
        <v>210.80755370263819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7</v>
      </c>
      <c r="DO46" s="12">
        <f>IF('Données projet'!$A$166&gt;35,DO45+DN46-DW45,IF(A46&lt;'Données projet'!$A$166,$DL$205^A46,IF(A46='Données projet'!$A$166,'Données projet'!$B$166,DO45+DN46-DW45)))</f>
        <v>170.99999999999991</v>
      </c>
      <c r="DP46" s="17">
        <f>DO46*VLOOKUP('Données projet'!$B$14,Paramètres!$A$1:$I$89,3,0)*VLOOKUP('Données projet'!$B$14,Paramètres!$A$1:$I$89,5,0)</f>
        <v>138.71519999999995</v>
      </c>
      <c r="DQ46" s="13">
        <f t="shared" si="43"/>
        <v>36.00251811294995</v>
      </c>
      <c r="DR46" s="20">
        <f t="shared" si="16"/>
        <v>304.30002571338775</v>
      </c>
      <c r="DS46" s="59">
        <f t="shared" si="17"/>
        <v>597.63335904672113</v>
      </c>
      <c r="DT46" s="59">
        <f ca="1">AVERAGE(OFFSET($DS$3,0,0,'Données projet'!$E$14+1,1))-AVERAGE(OFFSET($H$3,0,0,'Données projet'!$E$14+1,1))</f>
        <v>203.21935660591021</v>
      </c>
      <c r="DU46" s="59">
        <f t="shared" si="44"/>
        <v>180.54762778843178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0.77500715977686485</v>
      </c>
      <c r="EB46" s="21">
        <f>EXP(-LN(2)/25)*EB45+(1-EXP(-LN(2)/25))/(LN(2)/25)*Calculateur!DW46*Calculateur!DY46*VLOOKUP('Données projet'!$B$14,Paramètres!$A$1:$I$89,3,0)*0.475*44/12</f>
        <v>4.0473375739395276</v>
      </c>
      <c r="EC46" s="21">
        <f>EXP(-LN(2)/2)*EC45+(1-EXP(-LN(2)/2))/(LN(2)/2)*DW46*DZ46*VLOOKUP('Données projet'!$B$14,Paramètres!$A$1:$I$89,3,0)*0.475*44/12</f>
        <v>0.10012946375179706</v>
      </c>
      <c r="ED46" s="22">
        <f t="shared" si="18"/>
        <v>4.9224741974681896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9.1999999999999993</v>
      </c>
      <c r="EJ46" s="12">
        <f>IF('Données projet'!$A$192&gt;35,EJ45+EI46-ER45,IF(A46&lt;'Données projet'!$A$192,$EG$205^A46,IF(A46='Données projet'!$A$192,'Données projet'!$B$192,EJ45+EI46-ER45)))</f>
        <v>220.59999999999991</v>
      </c>
      <c r="EK46" s="17">
        <f>EJ46*VLOOKUP('Données projet'!$B$15,Paramètres!$A$1:$I$89,3,0)*VLOOKUP('Données projet'!$B$15,Paramètres!$A$1:$I$89,5,0)</f>
        <v>147.97847999999993</v>
      </c>
      <c r="EL46" s="13">
        <f t="shared" si="45"/>
        <v>38.118825798346784</v>
      </c>
      <c r="EM46" s="20">
        <f t="shared" si="19"/>
        <v>324.1194742654539</v>
      </c>
      <c r="EN46" s="59">
        <f t="shared" si="20"/>
        <v>617.45280759878722</v>
      </c>
      <c r="EO46" s="59">
        <f ca="1">AVERAGE(OFFSET($EN$3,0,0,'Données projet'!$E$15+1,1))-AVERAGE(OFFSET($H$3,0,0,'Données projet'!$E$15+1,1))</f>
        <v>207.93042467236967</v>
      </c>
      <c r="EP46" s="59">
        <f t="shared" si="46"/>
        <v>250.70954318710835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2.1266838482042667</v>
      </c>
      <c r="EW46" s="21">
        <f>EXP(-LN(2)/25)*EW45+(1-EXP(-LN(2)/25))/(LN(2)/25)*Calculateur!ER46*Calculateur!ET46*VLOOKUP('Données projet'!$B$15,Paramètres!$A$1:$I$89,3,0)*0.475*44/12</f>
        <v>12.06511956143919</v>
      </c>
      <c r="EX46" s="21">
        <f>EXP(-LN(2)/2)*EX45+(1-EXP(-LN(2)/2))/(LN(2)/2)*ER46*EU46*VLOOKUP('Données projet'!$B$15,Paramètres!$A$1:$I$89,3,0)*0.475*44/12</f>
        <v>0.22393414758943497</v>
      </c>
      <c r="EY46" s="22">
        <f t="shared" si="21"/>
        <v>14.415737557232891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21.625641025641027</v>
      </c>
      <c r="N47" s="13">
        <f>IF('Données projet'!$A$36&gt;35,N46+M47-V46,IF(A47&lt;'Données projet'!$A$36,$K$205^A47,IF(A47='Données projet'!$A$36,'Données projet'!$B$36,N46+M47-V46)))</f>
        <v>438.58205128205111</v>
      </c>
      <c r="O47" s="13">
        <f>N47*VLOOKUP('Données projet'!$B$9,Paramètres!$A$1:$I$89,3,0)*VLOOKUP('Données projet'!$B$9,Paramètres!$A$1:$I$89,5,0)</f>
        <v>245.16736666666657</v>
      </c>
      <c r="P47" s="13">
        <f t="shared" si="33"/>
        <v>59.549932468183236</v>
      </c>
      <c r="Q47" s="20">
        <f t="shared" si="53"/>
        <v>530.71596265986329</v>
      </c>
      <c r="R47" s="59">
        <f t="shared" si="0"/>
        <v>824.04929599319667</v>
      </c>
      <c r="S47" s="59">
        <f ca="1">AVERAGE(OFFSET($R$3,0,0,'Données projet'!$E$9+1,1))-AVERAGE(OFFSET($H$3,0,0,'Données projet'!$E$9+1,1))</f>
        <v>255.5374979188561</v>
      </c>
      <c r="T47" s="59">
        <f t="shared" si="34"/>
        <v>343.10418468620901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2.3418130511581721</v>
      </c>
      <c r="AA47" s="21">
        <f>EXP(-LN(2)/25)*AA46+(1-EXP(-LN(2)/25))/(LN(2)/25)*Calculateur!V47*Calculateur!X47*VLOOKUP('Données projet'!$B$9,Paramètres!$A$1:$I$89,3,0)*0.475*44/12</f>
        <v>10.8258783016539</v>
      </c>
      <c r="AB47" s="21">
        <f>EXP(-LN(2)/2)*AB46+(1-EXP(-LN(2)/2))/(LN(2)/2)*V47*Y47*VLOOKUP('Données projet'!$B$9,Paramètres!$A$1:$I$89,3,0)*0.475*44/12</f>
        <v>1.3223844370734891E-2</v>
      </c>
      <c r="AC47" s="22">
        <f t="shared" si="3"/>
        <v>13.180915197182806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15.618681318681309</v>
      </c>
      <c r="AI47" s="13">
        <f>IF('Données projet'!$A$62&gt;35,AI46+AH47-AQ46,IF(A47&lt;'Données projet'!$A$62,$AF$205^A47,IF(A47='Données projet'!$A$62,'Données projet'!$B$62,AI46+AH47-AQ46)))</f>
        <v>261.76043956043969</v>
      </c>
      <c r="AJ47" s="13">
        <f>AI47*VLOOKUP('Données projet'!$B$10,Paramètres!$A$1:$I$89,3,0)*VLOOKUP('Données projet'!$B$10,Paramètres!$A$1:$I$89,5,0)</f>
        <v>122.50388571428577</v>
      </c>
      <c r="AK47" s="13">
        <f t="shared" si="35"/>
        <v>32.258285776503719</v>
      </c>
      <c r="AL47" s="20">
        <f t="shared" si="4"/>
        <v>269.54411534645834</v>
      </c>
      <c r="AM47" s="59">
        <f t="shared" si="5"/>
        <v>562.87744867979166</v>
      </c>
      <c r="AN47" s="59">
        <f ca="1">AVERAGE(OFFSET($AM$3,0,0,'Données projet'!$E$10+1,1))-AVERAGE(OFFSET($H$3,0,0,'Données projet'!$E$10+1,1))</f>
        <v>158.58786357608489</v>
      </c>
      <c r="AO47" s="59">
        <f t="shared" si="36"/>
        <v>163.20074068819849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18.899999999999999</v>
      </c>
      <c r="BD47" s="12">
        <f>IF('Données projet'!$A$88&gt;35,BD46+BC47-BL46,IF(A47&lt;'Données projet'!$A$88,$BA$205^A47,IF(A47='Données projet'!$A$88,'Données projet'!$B$88,BD46+BC47-BL46)))</f>
        <v>321.59999999999985</v>
      </c>
      <c r="BE47" s="13">
        <f>BD47*VLOOKUP('Données projet'!$B$11,Paramètres!$A$1:$I$89,3,0)*VLOOKUP('Données projet'!$B$11,Paramètres!$A$1:$I$89,5,0)</f>
        <v>192.31679999999994</v>
      </c>
      <c r="BF47" s="13">
        <f t="shared" si="37"/>
        <v>48.05180257326473</v>
      </c>
      <c r="BG47" s="20">
        <f t="shared" si="7"/>
        <v>418.64198281510261</v>
      </c>
      <c r="BH47" s="59">
        <f t="shared" si="8"/>
        <v>711.97531614843592</v>
      </c>
      <c r="BI47" s="59">
        <f ca="1">AVERAGE(OFFSET($BH$3,0,0,'Données projet'!$E$11+1,1))-AVERAGE(OFFSET($H$3,0,0,'Données projet'!$E$11+1,1))</f>
        <v>316.58509520829671</v>
      </c>
      <c r="BJ47" s="59">
        <f t="shared" si="38"/>
        <v>240.71332110643596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1.9208276763742498</v>
      </c>
      <c r="BQ47" s="21">
        <f>EXP(-LN(2)/25)*BQ46+(1-EXP(-LN(2)/25))/(LN(2)/25)*Calculateur!BL47*Calculateur!BN47*VLOOKUP('Données projet'!$B$11,Paramètres!$A$1:$I$89,3,0)*0.475*44/12</f>
        <v>10.356267730156919</v>
      </c>
      <c r="BR47" s="21">
        <f>EXP(-LN(2)/2)*BR46+(1-EXP(-LN(2)/2))/(LN(2)/2)*BL47*BO47*VLOOKUP('Données projet'!$B$11,Paramètres!$A$1:$I$89,3,0)*0.475*44/12</f>
        <v>0.17140111773547506</v>
      </c>
      <c r="BS47" s="22">
        <f t="shared" si="9"/>
        <v>12.448496524266645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9.1999999999999993</v>
      </c>
      <c r="BY47" s="12">
        <f>IF('Données projet'!$A$114&gt;35,BY46+BX47-CG46,IF(A47&lt;'Données projet'!$A$114,$BV$205^A47,IF(A47='Données projet'!$A$114,'Données projet'!$B$114,BY46+BX47-CG46)))</f>
        <v>229.7999999999999</v>
      </c>
      <c r="BZ47" s="13">
        <f>BY47*VLOOKUP('Données projet'!$B$12,Paramètres!$A$1:$I$89,3,0)*VLOOKUP('Données projet'!$B$12,Paramètres!$A$1:$I$89,5,0)</f>
        <v>182.82887999999994</v>
      </c>
      <c r="CA47" s="13">
        <f t="shared" si="39"/>
        <v>45.950987516613559</v>
      </c>
      <c r="CB47" s="20">
        <f t="shared" si="10"/>
        <v>398.45826925810184</v>
      </c>
      <c r="CC47" s="59">
        <f t="shared" si="11"/>
        <v>691.79160259143509</v>
      </c>
      <c r="CD47" s="59">
        <f ca="1">AVERAGE(OFFSET($CC$3,0,0,'Données projet'!$E$12+1,1))-AVERAGE(OFFSET($H$3,0,0,'Données projet'!$E$12+1,1))</f>
        <v>260.20517190557814</v>
      </c>
      <c r="CE47" s="59">
        <f t="shared" si="40"/>
        <v>307.22009971147133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2.4728842937114504</v>
      </c>
      <c r="CL47" s="21">
        <f>EXP(-LN(2)/25)*CL46+(1-EXP(-LN(2)/25))/(LN(2)/25)*Calculateur!CG47*Calculateur!CI47*VLOOKUP('Données projet'!$B$12,Paramètres!$A$1:$I$89,3,0)*0.475*44/12</f>
        <v>13.918490926983322</v>
      </c>
      <c r="CM47" s="21">
        <f>EXP(-LN(2)/2)*CM46+(1-EXP(-LN(2)/2))/(LN(2)/2)*CG47*CJ47*VLOOKUP('Données projet'!$B$12,Paramètres!$A$1:$I$89,3,0)*0.475*44/12</f>
        <v>0.1878049550996663</v>
      </c>
      <c r="CN47" s="22">
        <f t="shared" si="12"/>
        <v>16.579180175794438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9.3452380952380913</v>
      </c>
      <c r="CT47" s="12">
        <f>IF('Données projet'!$A$140&gt;35,CT46+CS47-DB46,IF(A47&lt;'Données projet'!$A$140,$CQ$205^A47,IF(A47='Données projet'!$A$140,'Données projet'!$B$140,CT46+CS47-DB46)))</f>
        <v>146.97161172161174</v>
      </c>
      <c r="CU47" s="17">
        <f>CT47*VLOOKUP('Données projet'!$B$13,Paramètres!$A$1:$I$89,3,0)*VLOOKUP('Données projet'!$B$13,Paramètres!$A$1:$I$89,5,0)</f>
        <v>149.02921428571432</v>
      </c>
      <c r="CV47" s="13">
        <f t="shared" si="41"/>
        <v>38.357887785185063</v>
      </c>
      <c r="CW47" s="20">
        <f t="shared" si="13"/>
        <v>326.36586944014971</v>
      </c>
      <c r="CX47" s="59">
        <f t="shared" si="14"/>
        <v>619.69920277348297</v>
      </c>
      <c r="CY47" s="59">
        <f ca="1">AVERAGE(OFFSET($CX$3,0,0,'Données projet'!$E$13+1,1))-AVERAGE(OFFSET($H$3,0,0,'Données projet'!$E$13+1,1))</f>
        <v>263.15518481854753</v>
      </c>
      <c r="CZ47" s="59">
        <f t="shared" si="42"/>
        <v>210.80755370263819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7</v>
      </c>
      <c r="DO47" s="12">
        <f>IF('Données projet'!$A$166&gt;35,DO46+DN47-DW46,IF(A47&lt;'Données projet'!$A$166,$DL$205^A47,IF(A47='Données projet'!$A$166,'Données projet'!$B$166,DO46+DN47-DW46)))</f>
        <v>177.99999999999991</v>
      </c>
      <c r="DP47" s="17">
        <f>DO47*VLOOKUP('Données projet'!$B$14,Paramètres!$A$1:$I$89,3,0)*VLOOKUP('Données projet'!$B$14,Paramètres!$A$1:$I$89,5,0)</f>
        <v>144.39359999999994</v>
      </c>
      <c r="DQ47" s="13">
        <f t="shared" si="43"/>
        <v>37.301700301601691</v>
      </c>
      <c r="DR47" s="20">
        <f t="shared" si="16"/>
        <v>316.45264802528953</v>
      </c>
      <c r="DS47" s="59">
        <f t="shared" si="17"/>
        <v>609.78598135862285</v>
      </c>
      <c r="DT47" s="59">
        <f ca="1">AVERAGE(OFFSET($DS$3,0,0,'Données projet'!$E$14+1,1))-AVERAGE(OFFSET($H$3,0,0,'Données projet'!$E$14+1,1))</f>
        <v>203.21935660591021</v>
      </c>
      <c r="DU47" s="59">
        <f t="shared" si="44"/>
        <v>180.54762778843178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0.75980974208133201</v>
      </c>
      <c r="EB47" s="21">
        <f>EXP(-LN(2)/25)*EB46+(1-EXP(-LN(2)/25))/(LN(2)/25)*Calculateur!DW47*Calculateur!DY47*VLOOKUP('Données projet'!$B$14,Paramètres!$A$1:$I$89,3,0)*0.475*44/12</f>
        <v>3.9366629151399186</v>
      </c>
      <c r="EC47" s="21">
        <f>EXP(-LN(2)/2)*EC46+(1-EXP(-LN(2)/2))/(LN(2)/2)*DW47*DZ47*VLOOKUP('Données projet'!$B$14,Paramètres!$A$1:$I$89,3,0)*0.475*44/12</f>
        <v>7.0802222815468302E-2</v>
      </c>
      <c r="ED47" s="22">
        <f t="shared" si="18"/>
        <v>4.7672748800367186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9.1999999999999993</v>
      </c>
      <c r="EJ47" s="12">
        <f>IF('Données projet'!$A$192&gt;35,EJ46+EI47-ER46,IF(A47&lt;'Données projet'!$A$192,$EG$205^A47,IF(A47='Données projet'!$A$192,'Données projet'!$B$192,EJ46+EI47-ER46)))</f>
        <v>229.7999999999999</v>
      </c>
      <c r="EK47" s="17">
        <f>EJ47*VLOOKUP('Données projet'!$B$15,Paramètres!$A$1:$I$89,3,0)*VLOOKUP('Données projet'!$B$15,Paramètres!$A$1:$I$89,5,0)</f>
        <v>154.14983999999993</v>
      </c>
      <c r="EL47" s="13">
        <f t="shared" si="45"/>
        <v>39.520148593704498</v>
      </c>
      <c r="EM47" s="20">
        <f t="shared" si="19"/>
        <v>337.30856346736851</v>
      </c>
      <c r="EN47" s="59">
        <f t="shared" si="20"/>
        <v>630.64189680070183</v>
      </c>
      <c r="EO47" s="59">
        <f ca="1">AVERAGE(OFFSET($EN$3,0,0,'Données projet'!$E$15+1,1))-AVERAGE(OFFSET($H$3,0,0,'Données projet'!$E$15+1,1))</f>
        <v>207.93042467236967</v>
      </c>
      <c r="EP47" s="59">
        <f t="shared" si="46"/>
        <v>250.70954318710835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2.0849808750900456</v>
      </c>
      <c r="EW47" s="21">
        <f>EXP(-LN(2)/25)*EW46+(1-EXP(-LN(2)/25))/(LN(2)/25)*Calculateur!ER47*Calculateur!ET47*VLOOKUP('Données projet'!$B$15,Paramètres!$A$1:$I$89,3,0)*0.475*44/12</f>
        <v>11.735198232554572</v>
      </c>
      <c r="EX47" s="21">
        <f>EXP(-LN(2)/2)*EX46+(1-EXP(-LN(2)/2))/(LN(2)/2)*ER47*EU47*VLOOKUP('Données projet'!$B$15,Paramètres!$A$1:$I$89,3,0)*0.475*44/12</f>
        <v>0.15834535429971863</v>
      </c>
      <c r="EY47" s="22">
        <f t="shared" si="21"/>
        <v>13.978524461944335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21.625641025641027</v>
      </c>
      <c r="N48" s="13">
        <f>IF('Données projet'!$A$36&gt;35,N47+M48-V47,IF(A48&lt;'Données projet'!$A$36,$K$205^A48,IF(A48='Données projet'!$A$36,'Données projet'!$B$36,N47+M48-V47)))</f>
        <v>460.20769230769213</v>
      </c>
      <c r="O48" s="13">
        <f>N48*VLOOKUP('Données projet'!$B$9,Paramètres!$A$1:$I$89,3,0)*VLOOKUP('Données projet'!$B$9,Paramètres!$A$1:$I$89,5,0)</f>
        <v>257.25609999999995</v>
      </c>
      <c r="P48" s="13">
        <f t="shared" si="33"/>
        <v>62.137128695600659</v>
      </c>
      <c r="Q48" s="20">
        <f t="shared" si="53"/>
        <v>556.27653997817106</v>
      </c>
      <c r="R48" s="59">
        <f t="shared" si="0"/>
        <v>849.60987331150432</v>
      </c>
      <c r="S48" s="59">
        <f ca="1">AVERAGE(OFFSET($R$3,0,0,'Données projet'!$E$9+1,1))-AVERAGE(OFFSET($H$3,0,0,'Données projet'!$E$9+1,1))</f>
        <v>255.5374979188561</v>
      </c>
      <c r="T48" s="59">
        <f t="shared" si="34"/>
        <v>343.10418468620901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2.2958915255898824</v>
      </c>
      <c r="AA48" s="21">
        <f>EXP(-LN(2)/25)*AA47+(1-EXP(-LN(2)/25))/(LN(2)/25)*Calculateur!V48*Calculateur!X48*VLOOKUP('Données projet'!$B$9,Paramètres!$A$1:$I$89,3,0)*0.475*44/12</f>
        <v>10.529844090186977</v>
      </c>
      <c r="AB48" s="21">
        <f>EXP(-LN(2)/2)*AB47+(1-EXP(-LN(2)/2))/(LN(2)/2)*V48*Y48*VLOOKUP('Données projet'!$B$9,Paramètres!$A$1:$I$89,3,0)*0.475*44/12</f>
        <v>9.3506700279021946E-3</v>
      </c>
      <c r="AC48" s="22">
        <f t="shared" si="3"/>
        <v>12.835086285804762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15.618681318681309</v>
      </c>
      <c r="AI48" s="13">
        <f>IF('Données projet'!$A$62&gt;35,AI47+AH48-AQ47,IF(A48&lt;'Données projet'!$A$62,$AF$205^A48,IF(A48='Données projet'!$A$62,'Données projet'!$B$62,AI47+AH48-AQ47)))</f>
        <v>277.37912087912099</v>
      </c>
      <c r="AJ48" s="13">
        <f>AI48*VLOOKUP('Données projet'!$B$10,Paramètres!$A$1:$I$89,3,0)*VLOOKUP('Données projet'!$B$10,Paramètres!$A$1:$I$89,5,0)</f>
        <v>129.81342857142863</v>
      </c>
      <c r="AK48" s="13">
        <f t="shared" si="35"/>
        <v>33.953244550224326</v>
      </c>
      <c r="AL48" s="20">
        <f t="shared" si="4"/>
        <v>285.22695568687891</v>
      </c>
      <c r="AM48" s="59">
        <f t="shared" si="5"/>
        <v>578.56028902021217</v>
      </c>
      <c r="AN48" s="59">
        <f ca="1">AVERAGE(OFFSET($AM$3,0,0,'Données projet'!$E$10+1,1))-AVERAGE(OFFSET($H$3,0,0,'Données projet'!$E$10+1,1))</f>
        <v>158.58786357608489</v>
      </c>
      <c r="AO48" s="59">
        <f t="shared" si="36"/>
        <v>163.20074068819849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18.899999999999999</v>
      </c>
      <c r="BD48" s="12">
        <f>IF('Données projet'!$A$88&gt;35,BD47+BC48-BL47,IF(A48&lt;'Données projet'!$A$88,$BA$205^A48,IF(A48='Données projet'!$A$88,'Données projet'!$B$88,BD47+BC48-BL47)))</f>
        <v>340.49999999999983</v>
      </c>
      <c r="BE48" s="13">
        <f>BD48*VLOOKUP('Données projet'!$B$11,Paramètres!$A$1:$I$89,3,0)*VLOOKUP('Données projet'!$B$11,Paramètres!$A$1:$I$89,5,0)</f>
        <v>203.61899999999991</v>
      </c>
      <c r="BF48" s="13">
        <f t="shared" si="37"/>
        <v>50.538682373323198</v>
      </c>
      <c r="BG48" s="20">
        <f t="shared" si="7"/>
        <v>442.65796346687102</v>
      </c>
      <c r="BH48" s="59">
        <f t="shared" si="8"/>
        <v>735.99129680020428</v>
      </c>
      <c r="BI48" s="59">
        <f ca="1">AVERAGE(OFFSET($BH$3,0,0,'Données projet'!$E$11+1,1))-AVERAGE(OFFSET($H$3,0,0,'Données projet'!$E$11+1,1))</f>
        <v>316.58509520829671</v>
      </c>
      <c r="BJ48" s="59">
        <f t="shared" si="38"/>
        <v>240.71332110643596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1.8831614172297486</v>
      </c>
      <c r="BQ48" s="21">
        <f>EXP(-LN(2)/25)*BQ47+(1-EXP(-LN(2)/25))/(LN(2)/25)*Calculateur!BL48*Calculateur!BN48*VLOOKUP('Données projet'!$B$11,Paramètres!$A$1:$I$89,3,0)*0.475*44/12</f>
        <v>10.073075044463328</v>
      </c>
      <c r="BR48" s="21">
        <f>EXP(-LN(2)/2)*BR47+(1-EXP(-LN(2)/2))/(LN(2)/2)*BL48*BO48*VLOOKUP('Données projet'!$B$11,Paramètres!$A$1:$I$89,3,0)*0.475*44/12</f>
        <v>0.12119889265370824</v>
      </c>
      <c r="BS48" s="22">
        <f t="shared" si="9"/>
        <v>12.077435354346786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9.1999999999999993</v>
      </c>
      <c r="BY48" s="12">
        <f>IF('Données projet'!$A$114&gt;35,BY47+BX48-CG47,IF(A48&lt;'Données projet'!$A$114,$BV$205^A48,IF(A48='Données projet'!$A$114,'Données projet'!$B$114,BY47+BX48-CG47)))</f>
        <v>238.99999999999989</v>
      </c>
      <c r="BZ48" s="13">
        <f>BY48*VLOOKUP('Données projet'!$B$12,Paramètres!$A$1:$I$89,3,0)*VLOOKUP('Données projet'!$B$12,Paramètres!$A$1:$I$89,5,0)</f>
        <v>190.14839999999992</v>
      </c>
      <c r="CA48" s="13">
        <f t="shared" si="39"/>
        <v>47.572760493232991</v>
      </c>
      <c r="CB48" s="20">
        <f t="shared" si="10"/>
        <v>414.03102119238065</v>
      </c>
      <c r="CC48" s="59">
        <f t="shared" si="11"/>
        <v>707.36435452571391</v>
      </c>
      <c r="CD48" s="59">
        <f ca="1">AVERAGE(OFFSET($CC$3,0,0,'Données projet'!$E$12+1,1))-AVERAGE(OFFSET($H$3,0,0,'Données projet'!$E$12+1,1))</f>
        <v>260.20517190557814</v>
      </c>
      <c r="CE48" s="59">
        <f t="shared" si="40"/>
        <v>307.22009971147133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2.4243925410222547</v>
      </c>
      <c r="CL48" s="21">
        <f>EXP(-LN(2)/25)*CL47+(1-EXP(-LN(2)/25))/(LN(2)/25)*Calculateur!CG48*Calculateur!CI48*VLOOKUP('Données projet'!$B$12,Paramètres!$A$1:$I$89,3,0)*0.475*44/12</f>
        <v>13.537889060643337</v>
      </c>
      <c r="CM48" s="21">
        <f>EXP(-LN(2)/2)*CM47+(1-EXP(-LN(2)/2))/(LN(2)/2)*CG48*CJ48*VLOOKUP('Données projet'!$B$12,Paramètres!$A$1:$I$89,3,0)*0.475*44/12</f>
        <v>0.13279815729140912</v>
      </c>
      <c r="CN48" s="22">
        <f t="shared" si="12"/>
        <v>16.095079758956999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9.3452380952380913</v>
      </c>
      <c r="CT48" s="12">
        <f>IF('Données projet'!$A$140&gt;35,CT47+CS48-DB47,IF(A48&lt;'Données projet'!$A$140,$CQ$205^A48,IF(A48='Données projet'!$A$140,'Données projet'!$B$140,CT47+CS48-DB47)))</f>
        <v>156.31684981684984</v>
      </c>
      <c r="CU48" s="17">
        <f>CT48*VLOOKUP('Données projet'!$B$13,Paramètres!$A$1:$I$89,3,0)*VLOOKUP('Données projet'!$B$13,Paramètres!$A$1:$I$89,5,0)</f>
        <v>158.50528571428575</v>
      </c>
      <c r="CV48" s="13">
        <f t="shared" si="41"/>
        <v>40.505194484738432</v>
      </c>
      <c r="CW48" s="20">
        <f t="shared" si="13"/>
        <v>346.60991967996711</v>
      </c>
      <c r="CX48" s="59">
        <f t="shared" si="14"/>
        <v>639.94325301330036</v>
      </c>
      <c r="CY48" s="59">
        <f ca="1">AVERAGE(OFFSET($CX$3,0,0,'Données projet'!$E$13+1,1))-AVERAGE(OFFSET($H$3,0,0,'Données projet'!$E$13+1,1))</f>
        <v>263.15518481854753</v>
      </c>
      <c r="CZ48" s="59">
        <f t="shared" si="42"/>
        <v>210.80755370263819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7</v>
      </c>
      <c r="DO48" s="12">
        <f>IF('Données projet'!$A$166&gt;35,DO47+DN48-DW47,IF(A48&lt;'Données projet'!$A$166,$DL$205^A48,IF(A48='Données projet'!$A$166,'Données projet'!$B$166,DO47+DN48-DW47)))</f>
        <v>184.99999999999991</v>
      </c>
      <c r="DP48" s="17">
        <f>DO48*VLOOKUP('Données projet'!$B$14,Paramètres!$A$1:$I$89,3,0)*VLOOKUP('Données projet'!$B$14,Paramètres!$A$1:$I$89,5,0)</f>
        <v>150.07199999999995</v>
      </c>
      <c r="DQ48" s="13">
        <f t="shared" si="43"/>
        <v>38.594947422201457</v>
      </c>
      <c r="DR48" s="20">
        <f t="shared" si="16"/>
        <v>328.5949334270008</v>
      </c>
      <c r="DS48" s="59">
        <f t="shared" si="17"/>
        <v>621.92826676033405</v>
      </c>
      <c r="DT48" s="59">
        <f ca="1">AVERAGE(OFFSET($DS$3,0,0,'Données projet'!$E$14+1,1))-AVERAGE(OFFSET($H$3,0,0,'Données projet'!$E$14+1,1))</f>
        <v>203.21935660591021</v>
      </c>
      <c r="DU48" s="59">
        <f t="shared" si="44"/>
        <v>180.54762778843178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0.74491033647729898</v>
      </c>
      <c r="EB48" s="21">
        <f>EXP(-LN(2)/25)*EB47+(1-EXP(-LN(2)/25))/(LN(2)/25)*Calculateur!DW48*Calculateur!DY48*VLOOKUP('Données projet'!$B$14,Paramètres!$A$1:$I$89,3,0)*0.475*44/12</f>
        <v>3.8290146607053122</v>
      </c>
      <c r="EC48" s="21">
        <f>EXP(-LN(2)/2)*EC47+(1-EXP(-LN(2)/2))/(LN(2)/2)*DW48*DZ48*VLOOKUP('Données projet'!$B$14,Paramètres!$A$1:$I$89,3,0)*0.475*44/12</f>
        <v>5.0064731875898529E-2</v>
      </c>
      <c r="ED48" s="22">
        <f t="shared" si="18"/>
        <v>4.6239897290585095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9.1999999999999993</v>
      </c>
      <c r="EJ48" s="12">
        <f>IF('Données projet'!$A$192&gt;35,EJ47+EI48-ER47,IF(A48&lt;'Données projet'!$A$192,$EG$205^A48,IF(A48='Données projet'!$A$192,'Données projet'!$B$192,EJ47+EI48-ER47)))</f>
        <v>238.99999999999989</v>
      </c>
      <c r="EK48" s="17">
        <f>EJ48*VLOOKUP('Données projet'!$B$15,Paramètres!$A$1:$I$89,3,0)*VLOOKUP('Données projet'!$B$15,Paramètres!$A$1:$I$89,5,0)</f>
        <v>160.32119999999992</v>
      </c>
      <c r="EL48" s="13">
        <f t="shared" si="45"/>
        <v>40.914954505069986</v>
      </c>
      <c r="EM48" s="20">
        <f t="shared" si="19"/>
        <v>350.48630242966345</v>
      </c>
      <c r="EN48" s="59">
        <f t="shared" si="20"/>
        <v>643.81963576299677</v>
      </c>
      <c r="EO48" s="59">
        <f ca="1">AVERAGE(OFFSET($EN$3,0,0,'Données projet'!$E$15+1,1))-AVERAGE(OFFSET($H$3,0,0,'Données projet'!$E$15+1,1))</f>
        <v>207.93042467236967</v>
      </c>
      <c r="EP48" s="59">
        <f t="shared" si="46"/>
        <v>250.70954318710835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2.0440956718422925</v>
      </c>
      <c r="EW48" s="21">
        <f>EXP(-LN(2)/25)*EW47+(1-EXP(-LN(2)/25))/(LN(2)/25)*Calculateur!ER48*Calculateur!ET48*VLOOKUP('Données projet'!$B$15,Paramètres!$A$1:$I$89,3,0)*0.475*44/12</f>
        <v>11.414298619758114</v>
      </c>
      <c r="EX48" s="21">
        <f>EXP(-LN(2)/2)*EX47+(1-EXP(-LN(2)/2))/(LN(2)/2)*ER48*EU48*VLOOKUP('Données projet'!$B$15,Paramètres!$A$1:$I$89,3,0)*0.475*44/12</f>
        <v>0.11196707379471749</v>
      </c>
      <c r="EY48" s="22">
        <f t="shared" si="21"/>
        <v>13.570361365395124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21.625641025641027</v>
      </c>
      <c r="N49" s="13">
        <f>IF('Données projet'!$A$36&gt;35,N48+M49-V48,IF(A49&lt;'Données projet'!$A$36,$K$205^A49,IF(A49='Données projet'!$A$36,'Données projet'!$B$36,N48+M49-V48)))</f>
        <v>481.83333333333314</v>
      </c>
      <c r="O49" s="13">
        <f>N49*VLOOKUP('Données projet'!$B$9,Paramètres!$A$1:$I$89,3,0)*VLOOKUP('Données projet'!$B$9,Paramètres!$A$1:$I$89,5,0)</f>
        <v>269.34483333333321</v>
      </c>
      <c r="P49" s="13">
        <f t="shared" si="33"/>
        <v>64.710206731812519</v>
      </c>
      <c r="Q49" s="20">
        <f t="shared" si="53"/>
        <v>581.81252811346212</v>
      </c>
      <c r="R49" s="59">
        <f t="shared" si="0"/>
        <v>875.14586144679538</v>
      </c>
      <c r="S49" s="59">
        <f ca="1">AVERAGE(OFFSET($R$3,0,0,'Données projet'!$E$9+1,1))-AVERAGE(OFFSET($H$3,0,0,'Données projet'!$E$9+1,1))</f>
        <v>255.5374979188561</v>
      </c>
      <c r="T49" s="59">
        <f t="shared" si="34"/>
        <v>343.10418468620901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2.2508704931286219</v>
      </c>
      <c r="AA49" s="21">
        <f>EXP(-LN(2)/25)*AA48+(1-EXP(-LN(2)/25))/(LN(2)/25)*Calculateur!V49*Calculateur!X49*VLOOKUP('Données projet'!$B$9,Paramètres!$A$1:$I$89,3,0)*0.475*44/12</f>
        <v>10.241904949800379</v>
      </c>
      <c r="AB49" s="21">
        <f>EXP(-LN(2)/2)*AB48+(1-EXP(-LN(2)/2))/(LN(2)/2)*V49*Y49*VLOOKUP('Données projet'!$B$9,Paramètres!$A$1:$I$89,3,0)*0.475*44/12</f>
        <v>6.6119221853674455E-3</v>
      </c>
      <c r="AC49" s="22">
        <f t="shared" si="3"/>
        <v>12.499387365114368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15.618681318681309</v>
      </c>
      <c r="AI49" s="13">
        <f>IF('Données projet'!$A$62&gt;35,AI48+AH49-AQ48,IF(A49&lt;'Données projet'!$A$62,$AF$205^A49,IF(A49='Données projet'!$A$62,'Données projet'!$B$62,AI48+AH49-AQ48)))</f>
        <v>292.99780219780229</v>
      </c>
      <c r="AJ49" s="13">
        <f>AI49*VLOOKUP('Données projet'!$B$10,Paramètres!$A$1:$I$89,3,0)*VLOOKUP('Données projet'!$B$10,Paramètres!$A$1:$I$89,5,0)</f>
        <v>137.12297142857147</v>
      </c>
      <c r="AK49" s="13">
        <f t="shared" si="35"/>
        <v>35.63712427284996</v>
      </c>
      <c r="AL49" s="20">
        <f t="shared" si="4"/>
        <v>300.89050001330901</v>
      </c>
      <c r="AM49" s="59">
        <f t="shared" si="5"/>
        <v>594.22383334664232</v>
      </c>
      <c r="AN49" s="59">
        <f ca="1">AVERAGE(OFFSET($AM$3,0,0,'Données projet'!$E$10+1,1))-AVERAGE(OFFSET($H$3,0,0,'Données projet'!$E$10+1,1))</f>
        <v>158.58786357608489</v>
      </c>
      <c r="AO49" s="59">
        <f t="shared" si="36"/>
        <v>163.20074068819849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18.899999999999999</v>
      </c>
      <c r="BD49" s="12">
        <f>IF('Données projet'!$A$88&gt;35,BD48+BC49-BL48,IF(A49&lt;'Données projet'!$A$88,$BA$205^A49,IF(A49='Données projet'!$A$88,'Données projet'!$B$88,BD48+BC49-BL48)))</f>
        <v>359.39999999999981</v>
      </c>
      <c r="BE49" s="13">
        <f>BD49*VLOOKUP('Données projet'!$B$11,Paramètres!$A$1:$I$89,3,0)*VLOOKUP('Données projet'!$B$11,Paramètres!$A$1:$I$89,5,0)</f>
        <v>214.92119999999991</v>
      </c>
      <c r="BF49" s="13">
        <f t="shared" si="37"/>
        <v>53.009537628527006</v>
      </c>
      <c r="BG49" s="20">
        <f t="shared" si="7"/>
        <v>466.64603470301768</v>
      </c>
      <c r="BH49" s="59">
        <f t="shared" si="8"/>
        <v>759.97936803635093</v>
      </c>
      <c r="BI49" s="59">
        <f ca="1">AVERAGE(OFFSET($BH$3,0,0,'Données projet'!$E$11+1,1))-AVERAGE(OFFSET($H$3,0,0,'Données projet'!$E$11+1,1))</f>
        <v>316.58509520829671</v>
      </c>
      <c r="BJ49" s="59">
        <f t="shared" si="38"/>
        <v>240.71332110643596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1.8462337704529215</v>
      </c>
      <c r="BQ49" s="21">
        <f>EXP(-LN(2)/25)*BQ48+(1-EXP(-LN(2)/25))/(LN(2)/25)*Calculateur!BL49*Calculateur!BN49*VLOOKUP('Données projet'!$B$11,Paramètres!$A$1:$I$89,3,0)*0.475*44/12</f>
        <v>9.7976262776524852</v>
      </c>
      <c r="BR49" s="21">
        <f>EXP(-LN(2)/2)*BR48+(1-EXP(-LN(2)/2))/(LN(2)/2)*BL49*BO49*VLOOKUP('Données projet'!$B$11,Paramètres!$A$1:$I$89,3,0)*0.475*44/12</f>
        <v>8.5700558867737545E-2</v>
      </c>
      <c r="BS49" s="22">
        <f t="shared" si="9"/>
        <v>11.729560606973143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9.1999999999999993</v>
      </c>
      <c r="BY49" s="12">
        <f>IF('Données projet'!$A$114&gt;35,BY48+BX49-CG48,IF(A49&lt;'Données projet'!$A$114,$BV$205^A49,IF(A49='Données projet'!$A$114,'Données projet'!$B$114,BY48+BX49-CG48)))</f>
        <v>248.19999999999987</v>
      </c>
      <c r="BZ49" s="13">
        <f>BY49*VLOOKUP('Données projet'!$B$12,Paramètres!$A$1:$I$89,3,0)*VLOOKUP('Données projet'!$B$12,Paramètres!$A$1:$I$89,5,0)</f>
        <v>197.46791999999991</v>
      </c>
      <c r="CA49" s="13">
        <f t="shared" si="39"/>
        <v>49.187281204902298</v>
      </c>
      <c r="CB49" s="20">
        <f t="shared" si="10"/>
        <v>429.591142098538</v>
      </c>
      <c r="CC49" s="59">
        <f t="shared" si="11"/>
        <v>722.92447543187131</v>
      </c>
      <c r="CD49" s="59">
        <f ca="1">AVERAGE(OFFSET($CC$3,0,0,'Données projet'!$E$12+1,1))-AVERAGE(OFFSET($H$3,0,0,'Données projet'!$E$12+1,1))</f>
        <v>260.20517190557814</v>
      </c>
      <c r="CE49" s="59">
        <f t="shared" si="40"/>
        <v>307.22009971147133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2.3768516820262455</v>
      </c>
      <c r="CL49" s="21">
        <f>EXP(-LN(2)/25)*CL48+(1-EXP(-LN(2)/25))/(LN(2)/25)*Calculateur!CG49*Calculateur!CI49*VLOOKUP('Données projet'!$B$12,Paramètres!$A$1:$I$89,3,0)*0.475*44/12</f>
        <v>13.167694772353402</v>
      </c>
      <c r="CM49" s="21">
        <f>EXP(-LN(2)/2)*CM48+(1-EXP(-LN(2)/2))/(LN(2)/2)*CG49*CJ49*VLOOKUP('Données projet'!$B$12,Paramètres!$A$1:$I$89,3,0)*0.475*44/12</f>
        <v>9.3902477549833149E-2</v>
      </c>
      <c r="CN49" s="22">
        <f t="shared" si="12"/>
        <v>15.63844893192948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9.3452380952380913</v>
      </c>
      <c r="CT49" s="12">
        <f>IF('Données projet'!$A$140&gt;35,CT48+CS49-DB48,IF(A49&lt;'Données projet'!$A$140,$CQ$205^A49,IF(A49='Données projet'!$A$140,'Données projet'!$B$140,CT48+CS49-DB48)))</f>
        <v>165.66208791208794</v>
      </c>
      <c r="CU49" s="17">
        <f>CT49*VLOOKUP('Données projet'!$B$13,Paramètres!$A$1:$I$89,3,0)*VLOOKUP('Données projet'!$B$13,Paramètres!$A$1:$I$89,5,0)</f>
        <v>167.98135714285718</v>
      </c>
      <c r="CV49" s="13">
        <f t="shared" si="41"/>
        <v>42.637600900233188</v>
      </c>
      <c r="CW49" s="20">
        <f t="shared" si="13"/>
        <v>366.82801859171565</v>
      </c>
      <c r="CX49" s="59">
        <f t="shared" si="14"/>
        <v>660.16135192504896</v>
      </c>
      <c r="CY49" s="59">
        <f ca="1">AVERAGE(OFFSET($CX$3,0,0,'Données projet'!$E$13+1,1))-AVERAGE(OFFSET($H$3,0,0,'Données projet'!$E$13+1,1))</f>
        <v>263.15518481854753</v>
      </c>
      <c r="CZ49" s="59">
        <f t="shared" si="42"/>
        <v>210.80755370263819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7</v>
      </c>
      <c r="DO49" s="12">
        <f>IF('Données projet'!$A$166&gt;35,DO48+DN49-DW48,IF(A49&lt;'Données projet'!$A$166,$DL$205^A49,IF(A49='Données projet'!$A$166,'Données projet'!$B$166,DO48+DN49-DW48)))</f>
        <v>191.99999999999991</v>
      </c>
      <c r="DP49" s="17">
        <f>DO49*VLOOKUP('Données projet'!$B$14,Paramètres!$A$1:$I$89,3,0)*VLOOKUP('Données projet'!$B$14,Paramètres!$A$1:$I$89,5,0)</f>
        <v>155.75039999999996</v>
      </c>
      <c r="DQ49" s="13">
        <f t="shared" si="43"/>
        <v>39.882509755133754</v>
      </c>
      <c r="DR49" s="20">
        <f t="shared" si="16"/>
        <v>340.72731782352452</v>
      </c>
      <c r="DS49" s="59">
        <f t="shared" si="17"/>
        <v>634.06065115685783</v>
      </c>
      <c r="DT49" s="59">
        <f ca="1">AVERAGE(OFFSET($DS$3,0,0,'Données projet'!$E$14+1,1))-AVERAGE(OFFSET($H$3,0,0,'Données projet'!$E$14+1,1))</f>
        <v>203.21935660591021</v>
      </c>
      <c r="DU49" s="59">
        <f t="shared" si="44"/>
        <v>180.54762778843178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0.73030309912942104</v>
      </c>
      <c r="EB49" s="21">
        <f>EXP(-LN(2)/25)*EB48+(1-EXP(-LN(2)/25))/(LN(2)/25)*Calculateur!DW49*Calculateur!DY49*VLOOKUP('Données projet'!$B$14,Paramètres!$A$1:$I$89,3,0)*0.475*44/12</f>
        <v>3.7243100534491957</v>
      </c>
      <c r="EC49" s="21">
        <f>EXP(-LN(2)/2)*EC48+(1-EXP(-LN(2)/2))/(LN(2)/2)*DW49*DZ49*VLOOKUP('Données projet'!$B$14,Paramètres!$A$1:$I$89,3,0)*0.475*44/12</f>
        <v>3.5401111407734151E-2</v>
      </c>
      <c r="ED49" s="22">
        <f t="shared" si="18"/>
        <v>4.4900142639863505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9.1999999999999993</v>
      </c>
      <c r="EJ49" s="12">
        <f>IF('Données projet'!$A$192&gt;35,EJ48+EI49-ER48,IF(A49&lt;'Données projet'!$A$192,$EG$205^A49,IF(A49='Données projet'!$A$192,'Données projet'!$B$192,EJ48+EI49-ER48)))</f>
        <v>248.19999999999987</v>
      </c>
      <c r="EK49" s="17">
        <f>EJ49*VLOOKUP('Données projet'!$B$15,Paramètres!$A$1:$I$89,3,0)*VLOOKUP('Données projet'!$B$15,Paramètres!$A$1:$I$89,5,0)</f>
        <v>166.49255999999991</v>
      </c>
      <c r="EL49" s="13">
        <f t="shared" si="45"/>
        <v>42.303523105684178</v>
      </c>
      <c r="EM49" s="20">
        <f t="shared" si="19"/>
        <v>363.65317807573314</v>
      </c>
      <c r="EN49" s="59">
        <f t="shared" si="20"/>
        <v>656.98651140906645</v>
      </c>
      <c r="EO49" s="59">
        <f ca="1">AVERAGE(OFFSET($EN$3,0,0,'Données projet'!$E$15+1,1))-AVERAGE(OFFSET($H$3,0,0,'Données projet'!$E$15+1,1))</f>
        <v>207.93042467236967</v>
      </c>
      <c r="EP49" s="59">
        <f t="shared" si="46"/>
        <v>250.70954318710835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2.0040122024927163</v>
      </c>
      <c r="EW49" s="21">
        <f>EXP(-LN(2)/25)*EW48+(1-EXP(-LN(2)/25))/(LN(2)/25)*Calculateur!ER49*Calculateur!ET49*VLOOKUP('Données projet'!$B$15,Paramètres!$A$1:$I$89,3,0)*0.475*44/12</f>
        <v>11.102174023748951</v>
      </c>
      <c r="EX49" s="21">
        <f>EXP(-LN(2)/2)*EX48+(1-EXP(-LN(2)/2))/(LN(2)/2)*ER49*EU49*VLOOKUP('Données projet'!$B$15,Paramètres!$A$1:$I$89,3,0)*0.475*44/12</f>
        <v>7.9172677149859316E-2</v>
      </c>
      <c r="EY49" s="22">
        <f t="shared" si="21"/>
        <v>13.185358903391528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21.625641025641027</v>
      </c>
      <c r="N50" s="13">
        <f>IF('Données projet'!$A$36&gt;35,N49+M50-V49,IF(A50&lt;'Données projet'!$A$36,$K$205^A50,IF(A50='Données projet'!$A$36,'Données projet'!$B$36,N49+M50-V49)))</f>
        <v>503.45897435897416</v>
      </c>
      <c r="O50" s="13">
        <f>N50*VLOOKUP('Données projet'!$B$9,Paramètres!$A$1:$I$89,3,0)*VLOOKUP('Données projet'!$B$9,Paramètres!$A$1:$I$89,5,0)</f>
        <v>281.43356666666659</v>
      </c>
      <c r="P50" s="13">
        <f t="shared" si="33"/>
        <v>67.26987262617007</v>
      </c>
      <c r="Q50" s="20">
        <f t="shared" si="53"/>
        <v>607.32515676835726</v>
      </c>
      <c r="R50" s="59">
        <f t="shared" si="0"/>
        <v>900.65849010169063</v>
      </c>
      <c r="S50" s="59">
        <f ca="1">AVERAGE(OFFSET($R$3,0,0,'Données projet'!$E$9+1,1))-AVERAGE(OFFSET($H$3,0,0,'Données projet'!$E$9+1,1))</f>
        <v>255.5374979188561</v>
      </c>
      <c r="T50" s="59">
        <f t="shared" si="34"/>
        <v>343.10418468620901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2.2067322956538082</v>
      </c>
      <c r="AA50" s="21">
        <f>EXP(-LN(2)/25)*AA49+(1-EXP(-LN(2)/25))/(LN(2)/25)*Calculateur!V50*Calculateur!X50*VLOOKUP('Données projet'!$B$9,Paramètres!$A$1:$I$89,3,0)*0.475*44/12</f>
        <v>9.9618395203497148</v>
      </c>
      <c r="AB50" s="21">
        <f>EXP(-LN(2)/2)*AB49+(1-EXP(-LN(2)/2))/(LN(2)/2)*V50*Y50*VLOOKUP('Données projet'!$B$9,Paramètres!$A$1:$I$89,3,0)*0.475*44/12</f>
        <v>4.6753350139510973E-3</v>
      </c>
      <c r="AC50" s="22">
        <f t="shared" si="3"/>
        <v>12.173247151017474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15.618681318681309</v>
      </c>
      <c r="AI50" s="13">
        <f>IF('Données projet'!$A$62&gt;35,AI49+AH50-AQ49,IF(A50&lt;'Données projet'!$A$62,$AF$205^A50,IF(A50='Données projet'!$A$62,'Données projet'!$B$62,AI49+AH50-AQ49)))</f>
        <v>308.61648351648358</v>
      </c>
      <c r="AJ50" s="13">
        <f>AI50*VLOOKUP('Données projet'!$B$10,Paramètres!$A$1:$I$89,3,0)*VLOOKUP('Données projet'!$B$10,Paramètres!$A$1:$I$89,5,0)</f>
        <v>144.43251428571432</v>
      </c>
      <c r="AK50" s="13">
        <f t="shared" si="35"/>
        <v>37.310582871696397</v>
      </c>
      <c r="AL50" s="20">
        <f t="shared" si="4"/>
        <v>316.5358942158237</v>
      </c>
      <c r="AM50" s="59">
        <f t="shared" si="5"/>
        <v>609.86922754915702</v>
      </c>
      <c r="AN50" s="59">
        <f ca="1">AVERAGE(OFFSET($AM$3,0,0,'Données projet'!$E$10+1,1))-AVERAGE(OFFSET($H$3,0,0,'Données projet'!$E$10+1,1))</f>
        <v>158.58786357608489</v>
      </c>
      <c r="AO50" s="59">
        <f t="shared" si="36"/>
        <v>163.20074068819849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18.899999999999999</v>
      </c>
      <c r="BD50" s="12">
        <f>IF('Données projet'!$A$88&gt;35,BD49+BC50-BL49,IF(A50&lt;'Données projet'!$A$88,$BA$205^A50,IF(A50='Données projet'!$A$88,'Données projet'!$B$88,BD49+BC50-BL49)))</f>
        <v>378.29999999999978</v>
      </c>
      <c r="BE50" s="13">
        <f>BD50*VLOOKUP('Données projet'!$B$11,Paramètres!$A$1:$I$89,3,0)*VLOOKUP('Données projet'!$B$11,Paramètres!$A$1:$I$89,5,0)</f>
        <v>226.22339999999988</v>
      </c>
      <c r="BF50" s="13">
        <f t="shared" si="37"/>
        <v>55.465307135389509</v>
      </c>
      <c r="BG50" s="20">
        <f t="shared" si="7"/>
        <v>490.60783159413654</v>
      </c>
      <c r="BH50" s="59">
        <f t="shared" si="8"/>
        <v>783.9411649274698</v>
      </c>
      <c r="BI50" s="59">
        <f ca="1">AVERAGE(OFFSET($BH$3,0,0,'Données projet'!$E$11+1,1))-AVERAGE(OFFSET($H$3,0,0,'Données projet'!$E$11+1,1))</f>
        <v>316.58509520829671</v>
      </c>
      <c r="BJ50" s="59">
        <f t="shared" si="38"/>
        <v>240.71332110643596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1.8100302523057474</v>
      </c>
      <c r="BQ50" s="21">
        <f>EXP(-LN(2)/25)*BQ49+(1-EXP(-LN(2)/25))/(LN(2)/25)*Calculateur!BL50*Calculateur!BN50*VLOOKUP('Données projet'!$B$11,Paramètres!$A$1:$I$89,3,0)*0.475*44/12</f>
        <v>9.5297096718553043</v>
      </c>
      <c r="BR50" s="21">
        <f>EXP(-LN(2)/2)*BR49+(1-EXP(-LN(2)/2))/(LN(2)/2)*BL50*BO50*VLOOKUP('Données projet'!$B$11,Paramètres!$A$1:$I$89,3,0)*0.475*44/12</f>
        <v>6.0599446326854128E-2</v>
      </c>
      <c r="BS50" s="22">
        <f t="shared" si="9"/>
        <v>11.400339370487906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9.1999999999999993</v>
      </c>
      <c r="BY50" s="12">
        <f>IF('Données projet'!$A$114&gt;35,BY49+BX50-CG49,IF(A50&lt;'Données projet'!$A$114,$BV$205^A50,IF(A50='Données projet'!$A$114,'Données projet'!$B$114,BY49+BX50-CG49)))</f>
        <v>257.39999999999986</v>
      </c>
      <c r="BZ50" s="13">
        <f>BY50*VLOOKUP('Données projet'!$B$12,Paramètres!$A$1:$I$89,3,0)*VLOOKUP('Données projet'!$B$12,Paramètres!$A$1:$I$89,5,0)</f>
        <v>204.78743999999992</v>
      </c>
      <c r="CA50" s="13">
        <f t="shared" si="39"/>
        <v>50.794849254094281</v>
      </c>
      <c r="CB50" s="20">
        <f t="shared" si="10"/>
        <v>445.1391537842141</v>
      </c>
      <c r="CC50" s="59">
        <f t="shared" si="11"/>
        <v>738.47248711754742</v>
      </c>
      <c r="CD50" s="59">
        <f ca="1">AVERAGE(OFFSET($CC$3,0,0,'Données projet'!$E$12+1,1))-AVERAGE(OFFSET($H$3,0,0,'Données projet'!$E$12+1,1))</f>
        <v>260.20517190557814</v>
      </c>
      <c r="CE50" s="59">
        <f t="shared" si="40"/>
        <v>307.22009971147133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2.3302430702780872</v>
      </c>
      <c r="CL50" s="21">
        <f>EXP(-LN(2)/25)*CL49+(1-EXP(-LN(2)/25))/(LN(2)/25)*Calculateur!CG50*Calculateur!CI50*VLOOKUP('Données projet'!$B$12,Paramètres!$A$1:$I$89,3,0)*0.475*44/12</f>
        <v>12.807623466344426</v>
      </c>
      <c r="CM50" s="21">
        <f>EXP(-LN(2)/2)*CM49+(1-EXP(-LN(2)/2))/(LN(2)/2)*CG50*CJ50*VLOOKUP('Données projet'!$B$12,Paramètres!$A$1:$I$89,3,0)*0.475*44/12</f>
        <v>6.639907864570456E-2</v>
      </c>
      <c r="CN50" s="22">
        <f t="shared" si="12"/>
        <v>15.204265615268216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9.3452380952380913</v>
      </c>
      <c r="CT50" s="12">
        <f>IF('Données projet'!$A$140&gt;35,CT49+CS50-DB49,IF(A50&lt;'Données projet'!$A$140,$CQ$205^A50,IF(A50='Données projet'!$A$140,'Données projet'!$B$140,CT49+CS50-DB49)))</f>
        <v>175.00732600732604</v>
      </c>
      <c r="CU50" s="17">
        <f>CT50*VLOOKUP('Données projet'!$B$13,Paramètres!$A$1:$I$89,3,0)*VLOOKUP('Données projet'!$B$13,Paramètres!$A$1:$I$89,5,0)</f>
        <v>177.45742857142864</v>
      </c>
      <c r="CV50" s="13">
        <f t="shared" si="41"/>
        <v>44.756043364287997</v>
      </c>
      <c r="CW50" s="20">
        <f t="shared" si="13"/>
        <v>387.02179695470642</v>
      </c>
      <c r="CX50" s="59">
        <f t="shared" si="14"/>
        <v>680.35513028803973</v>
      </c>
      <c r="CY50" s="59">
        <f ca="1">AVERAGE(OFFSET($CX$3,0,0,'Données projet'!$E$13+1,1))-AVERAGE(OFFSET($H$3,0,0,'Données projet'!$E$13+1,1))</f>
        <v>263.15518481854753</v>
      </c>
      <c r="CZ50" s="59">
        <f t="shared" si="42"/>
        <v>210.80755370263819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7</v>
      </c>
      <c r="DO50" s="12">
        <f>IF('Données projet'!$A$166&gt;35,DO49+DN50-DW49,IF(A50&lt;'Données projet'!$A$166,$DL$205^A50,IF(A50='Données projet'!$A$166,'Données projet'!$B$166,DO49+DN50-DW49)))</f>
        <v>198.99999999999991</v>
      </c>
      <c r="DP50" s="17">
        <f>DO50*VLOOKUP('Données projet'!$B$14,Paramètres!$A$1:$I$89,3,0)*VLOOKUP('Données projet'!$B$14,Paramètres!$A$1:$I$89,5,0)</f>
        <v>161.42879999999994</v>
      </c>
      <c r="DQ50" s="13">
        <f t="shared" si="43"/>
        <v>41.1646182969302</v>
      </c>
      <c r="DR50" s="20">
        <f t="shared" si="16"/>
        <v>352.85020353381998</v>
      </c>
      <c r="DS50" s="59">
        <f t="shared" si="17"/>
        <v>646.18353686715329</v>
      </c>
      <c r="DT50" s="59">
        <f ca="1">AVERAGE(OFFSET($DS$3,0,0,'Données projet'!$E$14+1,1))-AVERAGE(OFFSET($H$3,0,0,'Données projet'!$E$14+1,1))</f>
        <v>203.21935660591021</v>
      </c>
      <c r="DU50" s="59">
        <f t="shared" si="44"/>
        <v>180.54762778843178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0.71598230079639991</v>
      </c>
      <c r="EB50" s="21">
        <f>EXP(-LN(2)/25)*EB49+(1-EXP(-LN(2)/25))/(LN(2)/25)*Calculateur!DW50*Calculateur!DY50*VLOOKUP('Données projet'!$B$14,Paramètres!$A$1:$I$89,3,0)*0.475*44/12</f>
        <v>3.6224685991846739</v>
      </c>
      <c r="EC50" s="21">
        <f>EXP(-LN(2)/2)*EC49+(1-EXP(-LN(2)/2))/(LN(2)/2)*DW50*DZ50*VLOOKUP('Données projet'!$B$14,Paramètres!$A$1:$I$89,3,0)*0.475*44/12</f>
        <v>2.5032365937949264E-2</v>
      </c>
      <c r="ED50" s="22">
        <f t="shared" si="18"/>
        <v>4.3634832659190232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9.1999999999999993</v>
      </c>
      <c r="EJ50" s="12">
        <f>IF('Données projet'!$A$192&gt;35,EJ49+EI50-ER49,IF(A50&lt;'Données projet'!$A$192,$EG$205^A50,IF(A50='Données projet'!$A$192,'Données projet'!$B$192,EJ49+EI50-ER49)))</f>
        <v>257.39999999999986</v>
      </c>
      <c r="EK50" s="17">
        <f>EJ50*VLOOKUP('Données projet'!$B$15,Paramètres!$A$1:$I$89,3,0)*VLOOKUP('Données projet'!$B$15,Paramètres!$A$1:$I$89,5,0)</f>
        <v>172.66391999999993</v>
      </c>
      <c r="EL50" s="13">
        <f t="shared" si="45"/>
        <v>43.686112068665423</v>
      </c>
      <c r="EM50" s="20">
        <f t="shared" si="19"/>
        <v>376.80963918625883</v>
      </c>
      <c r="EN50" s="59">
        <f t="shared" si="20"/>
        <v>670.14297251959215</v>
      </c>
      <c r="EO50" s="59">
        <f ca="1">AVERAGE(OFFSET($EN$3,0,0,'Données projet'!$E$15+1,1))-AVERAGE(OFFSET($H$3,0,0,'Données projet'!$E$15+1,1))</f>
        <v>207.93042467236967</v>
      </c>
      <c r="EP50" s="59">
        <f t="shared" si="46"/>
        <v>250.70954318710835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1.9647147455285829</v>
      </c>
      <c r="EW50" s="21">
        <f>EXP(-LN(2)/25)*EW49+(1-EXP(-LN(2)/25))/(LN(2)/25)*Calculateur!ER50*Calculateur!ET50*VLOOKUP('Données projet'!$B$15,Paramètres!$A$1:$I$89,3,0)*0.475*44/12</f>
        <v>10.798584491231578</v>
      </c>
      <c r="EX50" s="21">
        <f>EXP(-LN(2)/2)*EX49+(1-EXP(-LN(2)/2))/(LN(2)/2)*ER50*EU50*VLOOKUP('Données projet'!$B$15,Paramètres!$A$1:$I$89,3,0)*0.475*44/12</f>
        <v>5.5983536897358743E-2</v>
      </c>
      <c r="EY50" s="22">
        <f t="shared" si="21"/>
        <v>12.81928277365752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525.0846153846154</v>
      </c>
      <c r="L51" s="12">
        <f>VLOOKUP(A51,'Données projet'!$A$35:$I$55,9,0)</f>
        <v>21.625641025641027</v>
      </c>
      <c r="M51" s="12">
        <f t="array" ref="M51">INDEX(L:L,MIN(IF(ISNUMBER(L51:L247),ROW(L51:L247),"")))</f>
        <v>21.625641025641027</v>
      </c>
      <c r="N51" s="13">
        <f>IF('Données projet'!$A$36&gt;35,N50+M51-V50,IF(A51&lt;'Données projet'!$A$36,$K$205^A51,IF(A51='Données projet'!$A$36,'Données projet'!$B$36,N50+M51-V50)))</f>
        <v>525.08461538461518</v>
      </c>
      <c r="O51" s="13">
        <f>N51*VLOOKUP('Données projet'!$B$9,Paramètres!$A$1:$I$89,3,0)*VLOOKUP('Données projet'!$B$9,Paramètres!$A$1:$I$89,5,0)</f>
        <v>293.52229999999986</v>
      </c>
      <c r="P51" s="13">
        <f t="shared" si="33"/>
        <v>69.816768342057628</v>
      </c>
      <c r="Q51" s="20">
        <f t="shared" si="53"/>
        <v>632.81554402908341</v>
      </c>
      <c r="R51" s="59">
        <f t="shared" si="0"/>
        <v>926.14887736241667</v>
      </c>
      <c r="S51" s="59">
        <f ca="1">AVERAGE(OFFSET($R$3,0,0,'Données projet'!$E$9+1,1))-AVERAGE(OFFSET($H$3,0,0,'Données projet'!$E$9+1,1))</f>
        <v>255.5374979188561</v>
      </c>
      <c r="T51" s="59">
        <f t="shared" si="34"/>
        <v>343.10418468620901</v>
      </c>
      <c r="U51" s="15">
        <f>IF(ISNA(VLOOKUP(A51,'Données projet'!$A$35:$I$55,3,0)),0,VLOOKUP(A51,'Données projet'!$A$35:$I$55,3,0))</f>
        <v>6</v>
      </c>
      <c r="V51" s="15">
        <f>IF(ISNA(VLOOKUP(A51,'Données projet'!$A$35:$I$55,4,0)),0,VLOOKUP(A51,'Données projet'!$A$35:$I$55,4,0))</f>
        <v>81.330769230769235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2.1634596213098334</v>
      </c>
      <c r="AA51" s="21">
        <f>EXP(-LN(2)/25)*AA50+(1-EXP(-LN(2)/25))/(LN(2)/25)*Calculateur!V51*Calculateur!X51*VLOOKUP('Données projet'!$B$9,Paramètres!$A$1:$I$89,3,0)*0.475*44/12</f>
        <v>9.6894324947953798</v>
      </c>
      <c r="AB51" s="21">
        <f>EXP(-LN(2)/2)*AB50+(1-EXP(-LN(2)/2))/(LN(2)/2)*V51*Y51*VLOOKUP('Données projet'!$B$9,Paramètres!$A$1:$I$89,3,0)*0.475*44/12</f>
        <v>3.3059610926837227E-3</v>
      </c>
      <c r="AC51" s="22">
        <f t="shared" si="3"/>
        <v>11.856198077197897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15.618681318681309</v>
      </c>
      <c r="AI51" s="13">
        <f>IF('Données projet'!$A$62&gt;35,AI50+AH51-AQ50,IF(A51&lt;'Données projet'!$A$62,$AF$205^A51,IF(A51='Données projet'!$A$62,'Données projet'!$B$62,AI50+AH51-AQ50)))</f>
        <v>324.23516483516488</v>
      </c>
      <c r="AJ51" s="13">
        <f>AI51*VLOOKUP('Données projet'!$B$10,Paramètres!$A$1:$I$89,3,0)*VLOOKUP('Données projet'!$B$10,Paramètres!$A$1:$I$89,5,0)</f>
        <v>151.74205714285716</v>
      </c>
      <c r="AK51" s="13">
        <f t="shared" si="35"/>
        <v>38.974207918733512</v>
      </c>
      <c r="AL51" s="20">
        <f t="shared" si="4"/>
        <v>332.16416164893707</v>
      </c>
      <c r="AM51" s="59">
        <f t="shared" si="5"/>
        <v>625.49749498227038</v>
      </c>
      <c r="AN51" s="59">
        <f ca="1">AVERAGE(OFFSET($AM$3,0,0,'Données projet'!$E$10+1,1))-AVERAGE(OFFSET($H$3,0,0,'Données projet'!$E$10+1,1))</f>
        <v>158.58786357608489</v>
      </c>
      <c r="AO51" s="59">
        <f t="shared" si="36"/>
        <v>163.20074068819849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18.899999999999999</v>
      </c>
      <c r="BD51" s="12">
        <f>IF('Données projet'!$A$88&gt;35,BD50+BC51-BL50,IF(A51&lt;'Données projet'!$A$88,$BA$205^A51,IF(A51='Données projet'!$A$88,'Données projet'!$B$88,BD50+BC51-BL50)))</f>
        <v>397.19999999999976</v>
      </c>
      <c r="BE51" s="13">
        <f>BD51*VLOOKUP('Données projet'!$B$11,Paramètres!$A$1:$I$89,3,0)*VLOOKUP('Données projet'!$B$11,Paramètres!$A$1:$I$89,5,0)</f>
        <v>237.52559999999988</v>
      </c>
      <c r="BF51" s="13">
        <f t="shared" si="37"/>
        <v>57.906830586193067</v>
      </c>
      <c r="BG51" s="20">
        <f t="shared" si="7"/>
        <v>514.54481660428598</v>
      </c>
      <c r="BH51" s="59">
        <f t="shared" si="8"/>
        <v>807.87814993761936</v>
      </c>
      <c r="BI51" s="59">
        <f ca="1">AVERAGE(OFFSET($BH$3,0,0,'Données projet'!$E$11+1,1))-AVERAGE(OFFSET($H$3,0,0,'Données projet'!$E$11+1,1))</f>
        <v>316.58509520829671</v>
      </c>
      <c r="BJ51" s="59">
        <f t="shared" si="38"/>
        <v>240.71332110643596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1.7745366630674737</v>
      </c>
      <c r="BQ51" s="21">
        <f>EXP(-LN(2)/25)*BQ50+(1-EXP(-LN(2)/25))/(LN(2)/25)*Calculateur!BL51*Calculateur!BN51*VLOOKUP('Données projet'!$B$11,Paramètres!$A$1:$I$89,3,0)*0.475*44/12</f>
        <v>9.2691192597327703</v>
      </c>
      <c r="BR51" s="21">
        <f>EXP(-LN(2)/2)*BR50+(1-EXP(-LN(2)/2))/(LN(2)/2)*BL51*BO51*VLOOKUP('Données projet'!$B$11,Paramètres!$A$1:$I$89,3,0)*0.475*44/12</f>
        <v>4.2850279433868779E-2</v>
      </c>
      <c r="BS51" s="22">
        <f t="shared" si="9"/>
        <v>11.086506202234114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9.1999999999999993</v>
      </c>
      <c r="BY51" s="12">
        <f>IF('Données projet'!$A$114&gt;35,BY50+BX51-CG50,IF(A51&lt;'Données projet'!$A$114,$BV$205^A51,IF(A51='Données projet'!$A$114,'Données projet'!$B$114,BY50+BX51-CG50)))</f>
        <v>266.59999999999985</v>
      </c>
      <c r="BZ51" s="13">
        <f>BY51*VLOOKUP('Données projet'!$B$12,Paramètres!$A$1:$I$89,3,0)*VLOOKUP('Données projet'!$B$12,Paramètres!$A$1:$I$89,5,0)</f>
        <v>212.10695999999987</v>
      </c>
      <c r="CA51" s="13">
        <f t="shared" si="39"/>
        <v>52.395741612408194</v>
      </c>
      <c r="CB51" s="20">
        <f t="shared" si="10"/>
        <v>460.67553864161073</v>
      </c>
      <c r="CC51" s="59">
        <f t="shared" si="11"/>
        <v>754.00887197494399</v>
      </c>
      <c r="CD51" s="59">
        <f ca="1">AVERAGE(OFFSET($CC$3,0,0,'Données projet'!$E$12+1,1))-AVERAGE(OFFSET($H$3,0,0,'Données projet'!$E$12+1,1))</f>
        <v>260.20517190557814</v>
      </c>
      <c r="CE51" s="59">
        <f t="shared" si="40"/>
        <v>307.22009971147133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2.2845484249778645</v>
      </c>
      <c r="CL51" s="21">
        <f>EXP(-LN(2)/25)*CL50+(1-EXP(-LN(2)/25))/(LN(2)/25)*Calculateur!CG51*Calculateur!CI51*VLOOKUP('Données projet'!$B$12,Paramètres!$A$1:$I$89,3,0)*0.475*44/12</f>
        <v>12.457398329133591</v>
      </c>
      <c r="CM51" s="21">
        <f>EXP(-LN(2)/2)*CM50+(1-EXP(-LN(2)/2))/(LN(2)/2)*CG51*CJ51*VLOOKUP('Données projet'!$B$12,Paramètres!$A$1:$I$89,3,0)*0.475*44/12</f>
        <v>4.6951238774916575E-2</v>
      </c>
      <c r="CN51" s="22">
        <f t="shared" si="12"/>
        <v>14.788897992886373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>
        <f>VLOOKUP(A51,'Données projet'!$A$139:$I$159,2,0)</f>
        <v>184.35256410256409</v>
      </c>
      <c r="CR51" s="12">
        <f>VLOOKUP(A51,'Données projet'!$A$139:$I$159,9,0)</f>
        <v>9.3452380952380913</v>
      </c>
      <c r="CS51" s="12">
        <f t="array" ref="CS51">INDEX(CR:CR,MIN(IF(ISNUMBER(CR51:CR247),ROW(CR51:CR247),"")))</f>
        <v>9.3452380952380913</v>
      </c>
      <c r="CT51" s="12">
        <f>IF('Données projet'!$A$140&gt;35,CT50+CS51-DB50,IF(A51&lt;'Données projet'!$A$140,$CQ$205^A51,IF(A51='Données projet'!$A$140,'Données projet'!$B$140,CT50+CS51-DB50)))</f>
        <v>184.35256410256414</v>
      </c>
      <c r="CU51" s="17">
        <f>CT51*VLOOKUP('Données projet'!$B$13,Paramètres!$A$1:$I$89,3,0)*VLOOKUP('Données projet'!$B$13,Paramètres!$A$1:$I$89,5,0)</f>
        <v>186.93350000000004</v>
      </c>
      <c r="CV51" s="13">
        <f t="shared" si="41"/>
        <v>46.861352563060628</v>
      </c>
      <c r="CW51" s="20">
        <f t="shared" si="13"/>
        <v>407.19270154733061</v>
      </c>
      <c r="CX51" s="59">
        <f t="shared" si="14"/>
        <v>700.52603488066393</v>
      </c>
      <c r="CY51" s="59">
        <f ca="1">AVERAGE(OFFSET($CX$3,0,0,'Données projet'!$E$13+1,1))-AVERAGE(OFFSET($H$3,0,0,'Données projet'!$E$13+1,1))</f>
        <v>263.15518481854753</v>
      </c>
      <c r="CZ51" s="59">
        <f t="shared" si="42"/>
        <v>210.80755370263819</v>
      </c>
      <c r="DA51" s="15">
        <f>IF(ISNA(VLOOKUP(A51,'Données projet'!$A$139:$I$159,3,0)),0,VLOOKUP(A51,'Données projet'!$A$139:$I$159,3,0))</f>
        <v>3</v>
      </c>
      <c r="DB51" s="15">
        <f>IF(ISNA(VLOOKUP(A51,'Données projet'!$A$139:$I$159,4,0)),0,VLOOKUP(A51,'Données projet'!$A$139:$I$159,4,0))</f>
        <v>48.025641025641022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7</v>
      </c>
      <c r="DO51" s="12">
        <f>IF('Données projet'!$A$166&gt;35,DO50+DN51-DW50,IF(A51&lt;'Données projet'!$A$166,$DL$205^A51,IF(A51='Données projet'!$A$166,'Données projet'!$B$166,DO50+DN51-DW50)))</f>
        <v>205.99999999999991</v>
      </c>
      <c r="DP51" s="17">
        <f>DO51*VLOOKUP('Données projet'!$B$14,Paramètres!$A$1:$I$89,3,0)*VLOOKUP('Données projet'!$B$14,Paramètres!$A$1:$I$89,5,0)</f>
        <v>167.10719999999995</v>
      </c>
      <c r="DQ51" s="13">
        <f t="shared" si="43"/>
        <v>42.44148687166966</v>
      </c>
      <c r="DR51" s="20">
        <f t="shared" si="16"/>
        <v>364.96396296815789</v>
      </c>
      <c r="DS51" s="59">
        <f t="shared" si="17"/>
        <v>658.2972963014912</v>
      </c>
      <c r="DT51" s="59">
        <f ca="1">AVERAGE(OFFSET($DS$3,0,0,'Données projet'!$E$14+1,1))-AVERAGE(OFFSET($H$3,0,0,'Données projet'!$E$14+1,1))</f>
        <v>203.21935660591021</v>
      </c>
      <c r="DU51" s="59">
        <f t="shared" si="44"/>
        <v>180.54762778843178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0.70194232458386485</v>
      </c>
      <c r="EB51" s="21">
        <f>EXP(-LN(2)/25)*EB50+(1-EXP(-LN(2)/25))/(LN(2)/25)*Calculateur!DW51*Calculateur!DY51*VLOOKUP('Données projet'!$B$14,Paramètres!$A$1:$I$89,3,0)*0.475*44/12</f>
        <v>3.5234120048426245</v>
      </c>
      <c r="EC51" s="21">
        <f>EXP(-LN(2)/2)*EC50+(1-EXP(-LN(2)/2))/(LN(2)/2)*DW51*DZ51*VLOOKUP('Données projet'!$B$14,Paramètres!$A$1:$I$89,3,0)*0.475*44/12</f>
        <v>1.7700555703867075E-2</v>
      </c>
      <c r="ED51" s="22">
        <f t="shared" si="18"/>
        <v>4.2430548851303564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9.1999999999999993</v>
      </c>
      <c r="EJ51" s="12">
        <f>IF('Données projet'!$A$192&gt;35,EJ50+EI51-ER50,IF(A51&lt;'Données projet'!$A$192,$EG$205^A51,IF(A51='Données projet'!$A$192,'Données projet'!$B$192,EJ50+EI51-ER50)))</f>
        <v>266.59999999999985</v>
      </c>
      <c r="EK51" s="17">
        <f>EJ51*VLOOKUP('Données projet'!$B$15,Paramètres!$A$1:$I$89,3,0)*VLOOKUP('Données projet'!$B$15,Paramètres!$A$1:$I$89,5,0)</f>
        <v>178.8352799999999</v>
      </c>
      <c r="EL51" s="13">
        <f t="shared" si="45"/>
        <v>45.062959603448384</v>
      </c>
      <c r="EM51" s="20">
        <f t="shared" si="19"/>
        <v>389.95610064267242</v>
      </c>
      <c r="EN51" s="59">
        <f t="shared" si="20"/>
        <v>683.28943397600574</v>
      </c>
      <c r="EO51" s="59">
        <f ca="1">AVERAGE(OFFSET($EN$3,0,0,'Données projet'!$E$15+1,1))-AVERAGE(OFFSET($H$3,0,0,'Données projet'!$E$15+1,1))</f>
        <v>207.93042467236967</v>
      </c>
      <c r="EP51" s="59">
        <f t="shared" si="46"/>
        <v>250.70954318710835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1.9261878877264342</v>
      </c>
      <c r="EW51" s="21">
        <f>EXP(-LN(2)/25)*EW50+(1-EXP(-LN(2)/25))/(LN(2)/25)*Calculateur!ER51*Calculateur!ET51*VLOOKUP('Données projet'!$B$15,Paramètres!$A$1:$I$89,3,0)*0.475*44/12</f>
        <v>10.503296630445973</v>
      </c>
      <c r="EX51" s="21">
        <f>EXP(-LN(2)/2)*EX50+(1-EXP(-LN(2)/2))/(LN(2)/2)*ER51*EU51*VLOOKUP('Données projet'!$B$15,Paramètres!$A$1:$I$89,3,0)*0.475*44/12</f>
        <v>3.9586338574929658E-2</v>
      </c>
      <c r="EY51" s="22">
        <f t="shared" si="21"/>
        <v>12.469070856747338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20.507692307692299</v>
      </c>
      <c r="N52" s="13">
        <f>IF('Données projet'!$A$36&gt;35,N51+M52-V51,IF(A52&lt;'Données projet'!$A$36,$K$205^A52,IF(A52='Données projet'!$A$36,'Données projet'!$B$36,N51+M52-V51)))</f>
        <v>464.26153846153824</v>
      </c>
      <c r="O52" s="13">
        <f>N52*VLOOKUP('Données projet'!$B$9,Paramètres!$A$1:$I$89,3,0)*VLOOKUP('Données projet'!$B$9,Paramètres!$A$1:$I$89,5,0)</f>
        <v>259.52219999999988</v>
      </c>
      <c r="P52" s="13">
        <f t="shared" si="33"/>
        <v>62.620519404058868</v>
      </c>
      <c r="Q52" s="20">
        <f t="shared" si="53"/>
        <v>561.06523629540231</v>
      </c>
      <c r="R52" s="59">
        <f t="shared" si="0"/>
        <v>854.39856962873569</v>
      </c>
      <c r="S52" s="59">
        <f ca="1">AVERAGE(OFFSET($R$3,0,0,'Données projet'!$E$9+1,1))-AVERAGE(OFFSET($H$3,0,0,'Données projet'!$E$9+1,1))</f>
        <v>255.5374979188561</v>
      </c>
      <c r="T52" s="59">
        <f t="shared" si="34"/>
        <v>343.10418468620901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2.1210354977160186</v>
      </c>
      <c r="AA52" s="21">
        <f>EXP(-LN(2)/25)*AA51+(1-EXP(-LN(2)/25))/(LN(2)/25)*Calculateur!V52*Calculateur!X52*VLOOKUP('Données projet'!$B$9,Paramètres!$A$1:$I$89,3,0)*0.475*44/12</f>
        <v>9.4244744536800908</v>
      </c>
      <c r="AB52" s="21">
        <f>EXP(-LN(2)/2)*AB51+(1-EXP(-LN(2)/2))/(LN(2)/2)*V52*Y52*VLOOKUP('Données projet'!$B$9,Paramètres!$A$1:$I$89,3,0)*0.475*44/12</f>
        <v>2.3376675069755487E-3</v>
      </c>
      <c r="AC52" s="22">
        <f t="shared" si="3"/>
        <v>11.547847618903084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>
        <f>VLOOKUP(A52,'Données projet'!$A$61:$I$81,2,0)</f>
        <v>339.85384615384612</v>
      </c>
      <c r="AG52" s="12">
        <f>VLOOKUP(A52,'Données projet'!$A$61:$I$81,9,0)</f>
        <v>15.618681318681309</v>
      </c>
      <c r="AH52" s="12">
        <f t="array" ref="AH52">INDEX(AG:AG,MIN(IF(ISNUMBER(AG52:AG248),ROW(AG52:AG248),"")))</f>
        <v>15.618681318681309</v>
      </c>
      <c r="AI52" s="13">
        <f>IF('Données projet'!$A$62&gt;35,AI51+AH52-AQ51,IF(A52&lt;'Données projet'!$A$62,$AF$205^A52,IF(A52='Données projet'!$A$62,'Données projet'!$B$62,AI51+AH52-AQ51)))</f>
        <v>339.85384615384618</v>
      </c>
      <c r="AJ52" s="13">
        <f>AI52*VLOOKUP('Données projet'!$B$10,Paramètres!$A$1:$I$89,3,0)*VLOOKUP('Données projet'!$B$10,Paramètres!$A$1:$I$89,5,0)</f>
        <v>159.05160000000001</v>
      </c>
      <c r="AK52" s="13">
        <f t="shared" si="35"/>
        <v>40.628527179850586</v>
      </c>
      <c r="AL52" s="20">
        <f t="shared" si="4"/>
        <v>347.77622150490646</v>
      </c>
      <c r="AM52" s="59">
        <f t="shared" si="5"/>
        <v>641.10955483823977</v>
      </c>
      <c r="AN52" s="59">
        <f ca="1">AVERAGE(OFFSET($AM$3,0,0,'Données projet'!$E$10+1,1))-AVERAGE(OFFSET($H$3,0,0,'Données projet'!$E$10+1,1))</f>
        <v>158.58786357608489</v>
      </c>
      <c r="AO52" s="59">
        <f t="shared" si="36"/>
        <v>163.20074068819849</v>
      </c>
      <c r="AP52" s="15">
        <f>IF(ISNA(VLOOKUP(A52,'Données projet'!$A$61:$I$81,3,0)),0,VLOOKUP(A52,'Données projet'!$A$61:$I$81,3,0))</f>
        <v>2</v>
      </c>
      <c r="AQ52" s="15">
        <f>IF(ISNA(VLOOKUP(A52,'Données projet'!$A$61:$I$81,4,0)),0,VLOOKUP(A52,'Données projet'!$A$61:$I$81,4,0))</f>
        <v>94.476923076923072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18.899999999999999</v>
      </c>
      <c r="BD52" s="12">
        <f>IF('Données projet'!$A$88&gt;35,BD51+BC52-BL51,IF(A52&lt;'Données projet'!$A$88,$BA$205^A52,IF(A52='Données projet'!$A$88,'Données projet'!$B$88,BD51+BC52-BL51)))</f>
        <v>416.09999999999974</v>
      </c>
      <c r="BE52" s="13">
        <f>BD52*VLOOKUP('Données projet'!$B$11,Paramètres!$A$1:$I$89,3,0)*VLOOKUP('Données projet'!$B$11,Paramètres!$A$1:$I$89,5,0)</f>
        <v>248.82779999999985</v>
      </c>
      <c r="BF52" s="13">
        <f t="shared" si="37"/>
        <v>60.334863247522001</v>
      </c>
      <c r="BG52" s="20">
        <f t="shared" si="7"/>
        <v>538.45830515610044</v>
      </c>
      <c r="BH52" s="59">
        <f t="shared" si="8"/>
        <v>831.79163848943381</v>
      </c>
      <c r="BI52" s="59">
        <f ca="1">AVERAGE(OFFSET($BH$3,0,0,'Données projet'!$E$11+1,1))-AVERAGE(OFFSET($H$3,0,0,'Données projet'!$E$11+1,1))</f>
        <v>316.58509520829671</v>
      </c>
      <c r="BJ52" s="59">
        <f t="shared" si="38"/>
        <v>240.71332110643596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1.7397390814652107</v>
      </c>
      <c r="BQ52" s="21">
        <f>EXP(-LN(2)/25)*BQ51+(1-EXP(-LN(2)/25))/(LN(2)/25)*Calculateur!BL52*Calculateur!BN52*VLOOKUP('Données projet'!$B$11,Paramètres!$A$1:$I$89,3,0)*0.475*44/12</f>
        <v>9.0156547061335814</v>
      </c>
      <c r="BR52" s="21">
        <f>EXP(-LN(2)/2)*BR51+(1-EXP(-LN(2)/2))/(LN(2)/2)*BL52*BO52*VLOOKUP('Données projet'!$B$11,Paramètres!$A$1:$I$89,3,0)*0.475*44/12</f>
        <v>3.0299723163427071E-2</v>
      </c>
      <c r="BS52" s="22">
        <f t="shared" si="9"/>
        <v>10.785693510762218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9.1999999999999993</v>
      </c>
      <c r="BY52" s="12">
        <f>IF('Données projet'!$A$114&gt;35,BY51+BX52-CG51,IF(A52&lt;'Données projet'!$A$114,$BV$205^A52,IF(A52='Données projet'!$A$114,'Données projet'!$B$114,BY51+BX52-CG51)))</f>
        <v>275.79999999999984</v>
      </c>
      <c r="BZ52" s="13">
        <f>BY52*VLOOKUP('Données projet'!$B$12,Paramètres!$A$1:$I$89,3,0)*VLOOKUP('Données projet'!$B$12,Paramètres!$A$1:$I$89,5,0)</f>
        <v>219.42647999999991</v>
      </c>
      <c r="CA52" s="13">
        <f t="shared" si="39"/>
        <v>53.990215051449674</v>
      </c>
      <c r="CB52" s="20">
        <f t="shared" si="10"/>
        <v>476.20074388127472</v>
      </c>
      <c r="CC52" s="59">
        <f t="shared" si="11"/>
        <v>769.53407721460803</v>
      </c>
      <c r="CD52" s="59">
        <f ca="1">AVERAGE(OFFSET($CC$3,0,0,'Données projet'!$E$12+1,1))-AVERAGE(OFFSET($H$3,0,0,'Données projet'!$E$12+1,1))</f>
        <v>260.20517190557814</v>
      </c>
      <c r="CE52" s="59">
        <f t="shared" si="40"/>
        <v>307.22009971147133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2.2397498238009974</v>
      </c>
      <c r="CL52" s="21">
        <f>EXP(-LN(2)/25)*CL51+(1-EXP(-LN(2)/25))/(LN(2)/25)*Calculateur!CG52*Calculateur!CI52*VLOOKUP('Données projet'!$B$12,Paramètres!$A$1:$I$89,3,0)*0.475*44/12</f>
        <v>12.116750116717327</v>
      </c>
      <c r="CM52" s="21">
        <f>EXP(-LN(2)/2)*CM51+(1-EXP(-LN(2)/2))/(LN(2)/2)*CG52*CJ52*VLOOKUP('Données projet'!$B$12,Paramètres!$A$1:$I$89,3,0)*0.475*44/12</f>
        <v>3.319953932285228E-2</v>
      </c>
      <c r="CN52" s="22">
        <f t="shared" si="12"/>
        <v>14.389699479841177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8.8736263736263741</v>
      </c>
      <c r="CT52" s="12">
        <f>IF('Données projet'!$A$140&gt;35,CT51+CS52-DB51,IF(A52&lt;'Données projet'!$A$140,$CQ$205^A52,IF(A52='Données projet'!$A$140,'Données projet'!$B$140,CT51+CS52-DB51)))</f>
        <v>145.20054945054949</v>
      </c>
      <c r="CU52" s="17">
        <f>CT52*VLOOKUP('Données projet'!$B$13,Paramètres!$A$1:$I$89,3,0)*VLOOKUP('Données projet'!$B$13,Paramètres!$A$1:$I$89,5,0)</f>
        <v>147.23335714285719</v>
      </c>
      <c r="CV52" s="13">
        <f t="shared" si="41"/>
        <v>37.949176511309915</v>
      </c>
      <c r="CW52" s="20">
        <f t="shared" si="13"/>
        <v>322.52624611434106</v>
      </c>
      <c r="CX52" s="59">
        <f t="shared" si="14"/>
        <v>615.85957944767438</v>
      </c>
      <c r="CY52" s="59">
        <f ca="1">AVERAGE(OFFSET($CX$3,0,0,'Données projet'!$E$13+1,1))-AVERAGE(OFFSET($H$3,0,0,'Données projet'!$E$13+1,1))</f>
        <v>263.15518481854753</v>
      </c>
      <c r="CZ52" s="59">
        <f t="shared" si="42"/>
        <v>210.80755370263819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7</v>
      </c>
      <c r="DO52" s="12">
        <f>IF('Données projet'!$A$166&gt;35,DO51+DN52-DW51,IF(A52&lt;'Données projet'!$A$166,$DL$205^A52,IF(A52='Données projet'!$A$166,'Données projet'!$B$166,DO51+DN52-DW51)))</f>
        <v>212.99999999999991</v>
      </c>
      <c r="DP52" s="17">
        <f>DO52*VLOOKUP('Données projet'!$B$14,Paramètres!$A$1:$I$89,3,0)*VLOOKUP('Données projet'!$B$14,Paramètres!$A$1:$I$89,5,0)</f>
        <v>172.78559999999996</v>
      </c>
      <c r="DQ52" s="13">
        <f t="shared" si="43"/>
        <v>43.713313947329745</v>
      </c>
      <c r="DR52" s="20">
        <f t="shared" si="16"/>
        <v>377.06894179159917</v>
      </c>
      <c r="DS52" s="59">
        <f t="shared" si="17"/>
        <v>670.40227512493243</v>
      </c>
      <c r="DT52" s="59">
        <f ca="1">AVERAGE(OFFSET($DS$3,0,0,'Données projet'!$E$14+1,1))-AVERAGE(OFFSET($H$3,0,0,'Données projet'!$E$14+1,1))</f>
        <v>203.21935660591021</v>
      </c>
      <c r="DU52" s="59">
        <f t="shared" si="44"/>
        <v>180.54762778843178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0.68817766374131772</v>
      </c>
      <c r="EB52" s="21">
        <f>EXP(-LN(2)/25)*EB51+(1-EXP(-LN(2)/25))/(LN(2)/25)*Calculateur!DW52*Calculateur!DY52*VLOOKUP('Données projet'!$B$14,Paramètres!$A$1:$I$89,3,0)*0.475*44/12</f>
        <v>3.4270641182820185</v>
      </c>
      <c r="EC52" s="21">
        <f>EXP(-LN(2)/2)*EC51+(1-EXP(-LN(2)/2))/(LN(2)/2)*DW52*DZ52*VLOOKUP('Données projet'!$B$14,Paramètres!$A$1:$I$89,3,0)*0.475*44/12</f>
        <v>1.2516182968974632E-2</v>
      </c>
      <c r="ED52" s="22">
        <f t="shared" si="18"/>
        <v>4.1277579649923108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9.1999999999999993</v>
      </c>
      <c r="EJ52" s="12">
        <f>IF('Données projet'!$A$192&gt;35,EJ51+EI52-ER51,IF(A52&lt;'Données projet'!$A$192,$EG$205^A52,IF(A52='Données projet'!$A$192,'Données projet'!$B$192,EJ51+EI52-ER51)))</f>
        <v>275.79999999999984</v>
      </c>
      <c r="EK52" s="17">
        <f>EJ52*VLOOKUP('Données projet'!$B$15,Paramètres!$A$1:$I$89,3,0)*VLOOKUP('Données projet'!$B$15,Paramètres!$A$1:$I$89,5,0)</f>
        <v>185.00663999999989</v>
      </c>
      <c r="EL52" s="13">
        <f t="shared" si="45"/>
        <v>46.434286546462388</v>
      </c>
      <c r="EM52" s="20">
        <f t="shared" si="19"/>
        <v>403.09294706842178</v>
      </c>
      <c r="EN52" s="59">
        <f t="shared" si="20"/>
        <v>696.42628040175509</v>
      </c>
      <c r="EO52" s="59">
        <f ca="1">AVERAGE(OFFSET($EN$3,0,0,'Données projet'!$E$15+1,1))-AVERAGE(OFFSET($H$3,0,0,'Données projet'!$E$15+1,1))</f>
        <v>207.93042467236967</v>
      </c>
      <c r="EP52" s="59">
        <f t="shared" si="46"/>
        <v>250.70954318710835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1.8884165181067227</v>
      </c>
      <c r="EW52" s="21">
        <f>EXP(-LN(2)/25)*EW51+(1-EXP(-LN(2)/25))/(LN(2)/25)*Calculateur!ER52*Calculateur!ET52*VLOOKUP('Données projet'!$B$15,Paramètres!$A$1:$I$89,3,0)*0.475*44/12</f>
        <v>10.216083431742064</v>
      </c>
      <c r="EX52" s="21">
        <f>EXP(-LN(2)/2)*EX51+(1-EXP(-LN(2)/2))/(LN(2)/2)*ER52*EU52*VLOOKUP('Données projet'!$B$15,Paramètres!$A$1:$I$89,3,0)*0.475*44/12</f>
        <v>2.7991768448679372E-2</v>
      </c>
      <c r="EY52" s="22">
        <f t="shared" si="21"/>
        <v>12.132491718297466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20.507692307692299</v>
      </c>
      <c r="N53" s="13">
        <f>IF('Données projet'!$A$36&gt;35,N52+M53-V52,IF(A53&lt;'Données projet'!$A$36,$K$205^A53,IF(A53='Données projet'!$A$36,'Données projet'!$B$36,N52+M53-V52)))</f>
        <v>484.76923076923055</v>
      </c>
      <c r="O53" s="13">
        <f>N53*VLOOKUP('Données projet'!$B$9,Paramètres!$A$1:$I$89,3,0)*VLOOKUP('Données projet'!$B$9,Paramètres!$A$1:$I$89,5,0)</f>
        <v>270.98599999999988</v>
      </c>
      <c r="P53" s="13">
        <f t="shared" si="33"/>
        <v>65.058478958733772</v>
      </c>
      <c r="Q53" s="20">
        <f t="shared" si="53"/>
        <v>585.27746751979441</v>
      </c>
      <c r="R53" s="59">
        <f t="shared" si="0"/>
        <v>878.61080085312778</v>
      </c>
      <c r="S53" s="59">
        <f ca="1">AVERAGE(OFFSET($R$3,0,0,'Données projet'!$E$9+1,1))-AVERAGE(OFFSET($H$3,0,0,'Données projet'!$E$9+1,1))</f>
        <v>255.5374979188561</v>
      </c>
      <c r="T53" s="59">
        <f t="shared" si="34"/>
        <v>343.10418468620901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2.0794432853097184</v>
      </c>
      <c r="AA53" s="21">
        <f>EXP(-LN(2)/25)*AA52+(1-EXP(-LN(2)/25))/(LN(2)/25)*Calculateur!V53*Calculateur!X53*VLOOKUP('Données projet'!$B$9,Paramètres!$A$1:$I$89,3,0)*0.475*44/12</f>
        <v>9.1667617041326377</v>
      </c>
      <c r="AB53" s="21">
        <f>EXP(-LN(2)/2)*AB52+(1-EXP(-LN(2)/2))/(LN(2)/2)*V53*Y53*VLOOKUP('Données projet'!$B$9,Paramètres!$A$1:$I$89,3,0)*0.475*44/12</f>
        <v>1.6529805463418614E-3</v>
      </c>
      <c r="AC53" s="22">
        <f t="shared" si="3"/>
        <v>11.247857969988697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14.668131868131875</v>
      </c>
      <c r="AI53" s="13">
        <f>IF('Données projet'!$A$62&gt;35,AI52+AH53-AQ52,IF(A53&lt;'Données projet'!$A$62,$AF$205^A53,IF(A53='Données projet'!$A$62,'Données projet'!$B$62,AI52+AH53-AQ52)))</f>
        <v>260.04505494505497</v>
      </c>
      <c r="AJ53" s="13">
        <f>AI53*VLOOKUP('Données projet'!$B$10,Paramètres!$A$1:$I$89,3,0)*VLOOKUP('Données projet'!$B$10,Paramètres!$A$1:$I$89,5,0)</f>
        <v>121.70108571428571</v>
      </c>
      <c r="AK53" s="13">
        <f t="shared" si="35"/>
        <v>32.071423986344442</v>
      </c>
      <c r="AL53" s="20">
        <f t="shared" si="4"/>
        <v>267.82045439526422</v>
      </c>
      <c r="AM53" s="59">
        <f t="shared" si="5"/>
        <v>561.15378772859754</v>
      </c>
      <c r="AN53" s="59">
        <f ca="1">AVERAGE(OFFSET($AM$3,0,0,'Données projet'!$E$10+1,1))-AVERAGE(OFFSET($H$3,0,0,'Données projet'!$E$10+1,1))</f>
        <v>158.58786357608489</v>
      </c>
      <c r="AO53" s="59">
        <f t="shared" si="36"/>
        <v>163.20074068819849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435</v>
      </c>
      <c r="BB53" s="12">
        <f>VLOOKUP(A53,'Données projet'!$A$87:$I$107,9,0)</f>
        <v>18.899999999999999</v>
      </c>
      <c r="BC53" s="12">
        <f t="array" ref="BC53">INDEX(BB:BB,MIN(IF(ISNUMBER(BB53:BB249),ROW(BB53:BB249),"")))</f>
        <v>18.899999999999999</v>
      </c>
      <c r="BD53" s="12">
        <f>IF('Données projet'!$A$88&gt;35,BD52+BC53-BL52,IF(A53&lt;'Données projet'!$A$88,$BA$205^A53,IF(A53='Données projet'!$A$88,'Données projet'!$B$88,BD52+BC53-BL52)))</f>
        <v>434.99999999999972</v>
      </c>
      <c r="BE53" s="13">
        <f>BD53*VLOOKUP('Données projet'!$B$11,Paramètres!$A$1:$I$89,3,0)*VLOOKUP('Données projet'!$B$11,Paramètres!$A$1:$I$89,5,0)</f>
        <v>260.12999999999988</v>
      </c>
      <c r="BF53" s="13">
        <f t="shared" si="37"/>
        <v>62.750087896510983</v>
      </c>
      <c r="BG53" s="20">
        <f t="shared" si="7"/>
        <v>562.34948641975632</v>
      </c>
      <c r="BH53" s="59">
        <f t="shared" si="8"/>
        <v>855.68281975308969</v>
      </c>
      <c r="BI53" s="59">
        <f ca="1">AVERAGE(OFFSET($BH$3,0,0,'Données projet'!$E$11+1,1))-AVERAGE(OFFSET($H$3,0,0,'Données projet'!$E$11+1,1))</f>
        <v>316.58509520829671</v>
      </c>
      <c r="BJ53" s="59">
        <f t="shared" si="38"/>
        <v>240.71332110643596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107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1.7056238592137392</v>
      </c>
      <c r="BQ53" s="21">
        <f>EXP(-LN(2)/25)*BQ52+(1-EXP(-LN(2)/25))/(LN(2)/25)*Calculateur!BL53*Calculateur!BN53*VLOOKUP('Données projet'!$B$11,Paramètres!$A$1:$I$89,3,0)*0.475*44/12</f>
        <v>8.7691211540816827</v>
      </c>
      <c r="BR53" s="21">
        <f>EXP(-LN(2)/2)*BR52+(1-EXP(-LN(2)/2))/(LN(2)/2)*BL53*BO53*VLOOKUP('Données projet'!$B$11,Paramètres!$A$1:$I$89,3,0)*0.475*44/12</f>
        <v>2.1425139716934393E-2</v>
      </c>
      <c r="BS53" s="22">
        <f t="shared" si="9"/>
        <v>10.496170153012356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285</v>
      </c>
      <c r="BW53" s="12">
        <f>VLOOKUP(A53,'Données projet'!$A$113:$I$133,9,0)</f>
        <v>9.1999999999999993</v>
      </c>
      <c r="BX53" s="12">
        <f t="array" ref="BX53">INDEX(BW:BW,MIN(IF(ISNUMBER(BW53:BW249),ROW(BW53:BW249),"")))</f>
        <v>9.1999999999999993</v>
      </c>
      <c r="BY53" s="12">
        <f>IF('Données projet'!$A$114&gt;35,BY52+BX53-CG52,IF(A53&lt;'Données projet'!$A$114,$BV$205^A53,IF(A53='Données projet'!$A$114,'Données projet'!$B$114,BY52+BX53-CG52)))</f>
        <v>284.99999999999983</v>
      </c>
      <c r="BZ53" s="13">
        <f>BY53*VLOOKUP('Données projet'!$B$12,Paramètres!$A$1:$I$89,3,0)*VLOOKUP('Données projet'!$B$12,Paramètres!$A$1:$I$89,5,0)</f>
        <v>226.74599999999987</v>
      </c>
      <c r="CA53" s="13">
        <f t="shared" si="39"/>
        <v>55.578508240245917</v>
      </c>
      <c r="CB53" s="20">
        <f t="shared" si="10"/>
        <v>491.71518518509475</v>
      </c>
      <c r="CC53" s="59">
        <f t="shared" si="11"/>
        <v>785.04851851842807</v>
      </c>
      <c r="CD53" s="59">
        <f ca="1">AVERAGE(OFFSET($CC$3,0,0,'Données projet'!$E$12+1,1))-AVERAGE(OFFSET($H$3,0,0,'Données projet'!$E$12+1,1))</f>
        <v>260.20517190557814</v>
      </c>
      <c r="CE53" s="59">
        <f t="shared" si="40"/>
        <v>307.22009971147133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43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2.1958296958687598</v>
      </c>
      <c r="CL53" s="21">
        <f>EXP(-LN(2)/25)*CL52+(1-EXP(-LN(2)/25))/(LN(2)/25)*Calculateur!CG53*Calculateur!CI53*VLOOKUP('Données projet'!$B$12,Paramètres!$A$1:$I$89,3,0)*0.475*44/12</f>
        <v>11.785416947583496</v>
      </c>
      <c r="CM53" s="21">
        <f>EXP(-LN(2)/2)*CM52+(1-EXP(-LN(2)/2))/(LN(2)/2)*CG53*CJ53*VLOOKUP('Données projet'!$B$12,Paramètres!$A$1:$I$89,3,0)*0.475*44/12</f>
        <v>2.3475619387458287E-2</v>
      </c>
      <c r="CN53" s="22">
        <f t="shared" si="12"/>
        <v>14.004722262839714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8.8736263736263741</v>
      </c>
      <c r="CT53" s="12">
        <f>IF('Données projet'!$A$140&gt;35,CT52+CS53-DB52,IF(A53&lt;'Données projet'!$A$140,$CQ$205^A53,IF(A53='Données projet'!$A$140,'Données projet'!$B$140,CT52+CS53-DB52)))</f>
        <v>154.07417582417585</v>
      </c>
      <c r="CU53" s="17">
        <f>CT53*VLOOKUP('Données projet'!$B$13,Paramètres!$A$1:$I$89,3,0)*VLOOKUP('Données projet'!$B$13,Paramètres!$A$1:$I$89,5,0)</f>
        <v>156.23121428571432</v>
      </c>
      <c r="CV53" s="13">
        <f t="shared" si="41"/>
        <v>39.991279580917869</v>
      </c>
      <c r="CW53" s="20">
        <f t="shared" si="13"/>
        <v>341.75417681771773</v>
      </c>
      <c r="CX53" s="59">
        <f t="shared" si="14"/>
        <v>635.08751015105099</v>
      </c>
      <c r="CY53" s="59">
        <f ca="1">AVERAGE(OFFSET($CX$3,0,0,'Données projet'!$E$13+1,1))-AVERAGE(OFFSET($H$3,0,0,'Données projet'!$E$13+1,1))</f>
        <v>263.15518481854753</v>
      </c>
      <c r="CZ53" s="59">
        <f t="shared" si="42"/>
        <v>210.80755370263819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0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220</v>
      </c>
      <c r="DM53" s="12">
        <f>VLOOKUP(A53,'Données projet'!$A$165:$I$185,9,0)</f>
        <v>7</v>
      </c>
      <c r="DN53" s="12">
        <f t="array" ref="DN53">INDEX(DM:DM,MIN(IF(ISNUMBER(DM53:DM249),ROW(DM53:DM249),"")))</f>
        <v>7</v>
      </c>
      <c r="DO53" s="12">
        <f>IF('Données projet'!$A$166&gt;35,DO52+DN53-DW52,IF(A53&lt;'Données projet'!$A$166,$DL$205^A53,IF(A53='Données projet'!$A$166,'Données projet'!$B$166,DO52+DN53-DW52)))</f>
        <v>219.99999999999991</v>
      </c>
      <c r="DP53" s="17">
        <f>DO53*VLOOKUP('Données projet'!$B$14,Paramètres!$A$1:$I$89,3,0)*VLOOKUP('Données projet'!$B$14,Paramètres!$A$1:$I$89,5,0)</f>
        <v>178.46399999999994</v>
      </c>
      <c r="DQ53" s="13">
        <f t="shared" si="43"/>
        <v>44.980284206661821</v>
      </c>
      <c r="DR53" s="20">
        <f t="shared" si="16"/>
        <v>389.16546165993594</v>
      </c>
      <c r="DS53" s="59">
        <f t="shared" si="17"/>
        <v>682.49879499326926</v>
      </c>
      <c r="DT53" s="59">
        <f ca="1">AVERAGE(OFFSET($DS$3,0,0,'Données projet'!$E$14+1,1))-AVERAGE(OFFSET($H$3,0,0,'Données projet'!$E$14+1,1))</f>
        <v>203.21935660591021</v>
      </c>
      <c r="DU53" s="59">
        <f t="shared" si="44"/>
        <v>180.54762778843178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34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0.67468291950227877</v>
      </c>
      <c r="EB53" s="21">
        <f>EXP(-LN(2)/25)*EB52+(1-EXP(-LN(2)/25))/(LN(2)/25)*Calculateur!DW53*Calculateur!DY53*VLOOKUP('Données projet'!$B$14,Paramètres!$A$1:$I$89,3,0)*0.475*44/12</f>
        <v>3.3333508697461274</v>
      </c>
      <c r="EC53" s="21">
        <f>EXP(-LN(2)/2)*EC52+(1-EXP(-LN(2)/2))/(LN(2)/2)*DW53*DZ53*VLOOKUP('Données projet'!$B$14,Paramètres!$A$1:$I$89,3,0)*0.475*44/12</f>
        <v>8.8502778519335377E-3</v>
      </c>
      <c r="ED53" s="22">
        <f t="shared" si="18"/>
        <v>4.0168840671003396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285</v>
      </c>
      <c r="EH53" s="12">
        <f>VLOOKUP(A53,'Données projet'!$A$191:$I$211,9,0)</f>
        <v>9.1999999999999993</v>
      </c>
      <c r="EI53" s="12">
        <f t="array" ref="EI53">INDEX(EH:EH,MIN(IF(ISNUMBER(EH53:EH249),ROW(EH53:EH249),"")))</f>
        <v>9.1999999999999993</v>
      </c>
      <c r="EJ53" s="12">
        <f>IF('Données projet'!$A$192&gt;35,EJ52+EI53-ER52,IF(A53&lt;'Données projet'!$A$192,$EG$205^A53,IF(A53='Données projet'!$A$192,'Données projet'!$B$192,EJ52+EI53-ER52)))</f>
        <v>284.99999999999983</v>
      </c>
      <c r="EK53" s="17">
        <f>EJ53*VLOOKUP('Données projet'!$B$15,Paramètres!$A$1:$I$89,3,0)*VLOOKUP('Données projet'!$B$15,Paramètres!$A$1:$I$89,5,0)</f>
        <v>191.17799999999988</v>
      </c>
      <c r="EL53" s="13">
        <f t="shared" si="45"/>
        <v>47.80029816501365</v>
      </c>
      <c r="EM53" s="20">
        <f t="shared" si="19"/>
        <v>416.22053597073187</v>
      </c>
      <c r="EN53" s="59">
        <f t="shared" si="20"/>
        <v>709.55386930406519</v>
      </c>
      <c r="EO53" s="59">
        <f ca="1">AVERAGE(OFFSET($EN$3,0,0,'Données projet'!$E$15+1,1))-AVERAGE(OFFSET($H$3,0,0,'Données projet'!$E$15+1,1))</f>
        <v>207.93042467236967</v>
      </c>
      <c r="EP53" s="59">
        <f t="shared" si="46"/>
        <v>250.70954318710835</v>
      </c>
      <c r="EQ53" s="15">
        <f>IF(ISNA(VLOOKUP(A53,'Données projet'!$A$191:$I$211,3,0)),0,VLOOKUP(A53,'Données projet'!$A$191:$I$211,3,0))</f>
        <v>4</v>
      </c>
      <c r="ER53" s="15">
        <f>IF(ISNA(VLOOKUP(A53,'Données projet'!$A$191:$I$211,4,0)),0,VLOOKUP(A53,'Données projet'!$A$191:$I$211,4,0))</f>
        <v>43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1.8513858220069932</v>
      </c>
      <c r="EW53" s="21">
        <f>EXP(-LN(2)/25)*EW52+(1-EXP(-LN(2)/25))/(LN(2)/25)*Calculateur!ER53*Calculateur!ET53*VLOOKUP('Données projet'!$B$15,Paramètres!$A$1:$I$89,3,0)*0.475*44/12</f>
        <v>9.9367240930605991</v>
      </c>
      <c r="EX53" s="21">
        <f>EXP(-LN(2)/2)*EX52+(1-EXP(-LN(2)/2))/(LN(2)/2)*ER53*EU53*VLOOKUP('Données projet'!$B$15,Paramètres!$A$1:$I$89,3,0)*0.475*44/12</f>
        <v>1.9793169287464829E-2</v>
      </c>
      <c r="EY53" s="22">
        <f t="shared" si="21"/>
        <v>11.807903084355056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20.507692307692299</v>
      </c>
      <c r="N54" s="13">
        <f>IF('Données projet'!$A$36&gt;35,N53+M54-V53,IF(A54&lt;'Données projet'!$A$36,$K$205^A54,IF(A54='Données projet'!$A$36,'Données projet'!$B$36,N53+M54-V53)))</f>
        <v>505.27692307692286</v>
      </c>
      <c r="O54" s="13">
        <f>N54*VLOOKUP('Données projet'!$B$9,Paramètres!$A$1:$I$89,3,0)*VLOOKUP('Données projet'!$B$9,Paramètres!$A$1:$I$89,5,0)</f>
        <v>282.44979999999987</v>
      </c>
      <c r="P54" s="13">
        <f t="shared" si="33"/>
        <v>67.484459274997945</v>
      </c>
      <c r="Q54" s="20">
        <f t="shared" si="53"/>
        <v>609.46883490395442</v>
      </c>
      <c r="R54" s="59">
        <f t="shared" si="0"/>
        <v>902.80216823728779</v>
      </c>
      <c r="S54" s="59">
        <f ca="1">AVERAGE(OFFSET($R$3,0,0,'Données projet'!$E$9+1,1))-AVERAGE(OFFSET($H$3,0,0,'Données projet'!$E$9+1,1))</f>
        <v>255.5374979188561</v>
      </c>
      <c r="T54" s="59">
        <f t="shared" si="34"/>
        <v>343.10418468620901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2.038666670819961</v>
      </c>
      <c r="AA54" s="21">
        <f>EXP(-LN(2)/25)*AA53+(1-EXP(-LN(2)/25))/(LN(2)/25)*Calculateur!V54*Calculateur!X54*VLOOKUP('Données projet'!$B$9,Paramètres!$A$1:$I$89,3,0)*0.475*44/12</f>
        <v>8.9160961232740839</v>
      </c>
      <c r="AB54" s="21">
        <f>EXP(-LN(2)/2)*AB53+(1-EXP(-LN(2)/2))/(LN(2)/2)*V54*Y54*VLOOKUP('Données projet'!$B$9,Paramètres!$A$1:$I$89,3,0)*0.475*44/12</f>
        <v>1.1688337534877743E-3</v>
      </c>
      <c r="AC54" s="22">
        <f t="shared" si="3"/>
        <v>10.955931627847532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14.668131868131875</v>
      </c>
      <c r="AI54" s="13">
        <f>IF('Données projet'!$A$62&gt;35,AI53+AH54-AQ53,IF(A54&lt;'Données projet'!$A$62,$AF$205^A54,IF(A54='Données projet'!$A$62,'Données projet'!$B$62,AI53+AH54-AQ53)))</f>
        <v>274.71318681318684</v>
      </c>
      <c r="AJ54" s="13">
        <f>AI54*VLOOKUP('Données projet'!$B$10,Paramètres!$A$1:$I$89,3,0)*VLOOKUP('Données projet'!$B$10,Paramètres!$A$1:$I$89,5,0)</f>
        <v>128.56577142857145</v>
      </c>
      <c r="AK54" s="13">
        <f t="shared" si="35"/>
        <v>33.664737545838108</v>
      </c>
      <c r="AL54" s="20">
        <f t="shared" si="4"/>
        <v>282.55146979709662</v>
      </c>
      <c r="AM54" s="59">
        <f t="shared" si="5"/>
        <v>575.88480313042987</v>
      </c>
      <c r="AN54" s="59">
        <f ca="1">AVERAGE(OFFSET($AM$3,0,0,'Données projet'!$E$10+1,1))-AVERAGE(OFFSET($H$3,0,0,'Données projet'!$E$10+1,1))</f>
        <v>158.58786357608489</v>
      </c>
      <c r="AO54" s="59">
        <f t="shared" si="36"/>
        <v>163.20074068819849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18</v>
      </c>
      <c r="BD54" s="12">
        <f>IF('Données projet'!$A$88&gt;35,BD53+BC54-BL53,IF(A54&lt;'Données projet'!$A$88,$BA$205^A54,IF(A54='Données projet'!$A$88,'Données projet'!$B$88,BD53+BC54-BL53)))</f>
        <v>345.99999999999972</v>
      </c>
      <c r="BE54" s="13">
        <f>BD54*VLOOKUP('Données projet'!$B$11,Paramètres!$A$1:$I$89,3,0)*VLOOKUP('Données projet'!$B$11,Paramètres!$A$1:$I$89,5,0)</f>
        <v>206.90799999999984</v>
      </c>
      <c r="BF54" s="13">
        <f t="shared" si="37"/>
        <v>51.25932369987143</v>
      </c>
      <c r="BG54" s="20">
        <f t="shared" si="7"/>
        <v>449.6414221106092</v>
      </c>
      <c r="BH54" s="59">
        <f t="shared" si="8"/>
        <v>742.97475544394251</v>
      </c>
      <c r="BI54" s="59">
        <f ca="1">AVERAGE(OFFSET($BH$3,0,0,'Données projet'!$E$11+1,1))-AVERAGE(OFFSET($H$3,0,0,'Données projet'!$E$11+1,1))</f>
        <v>316.58509520829671</v>
      </c>
      <c r="BJ54" s="59">
        <f t="shared" si="38"/>
        <v>240.71332110643596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1.672177615662388</v>
      </c>
      <c r="BQ54" s="21">
        <f>EXP(-LN(2)/25)*BQ53+(1-EXP(-LN(2)/25))/(LN(2)/25)*Calculateur!BL54*Calculateur!BN54*VLOOKUP('Données projet'!$B$11,Paramètres!$A$1:$I$89,3,0)*0.475*44/12</f>
        <v>8.5293290749752799</v>
      </c>
      <c r="BR54" s="21">
        <f>EXP(-LN(2)/2)*BR53+(1-EXP(-LN(2)/2))/(LN(2)/2)*BL54*BO54*VLOOKUP('Données projet'!$B$11,Paramètres!$A$1:$I$89,3,0)*0.475*44/12</f>
        <v>1.5149861581713537E-2</v>
      </c>
      <c r="BS54" s="22">
        <f t="shared" si="9"/>
        <v>10.216656552219382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6.8</v>
      </c>
      <c r="BY54" s="12">
        <f>IF('Données projet'!$A$114&gt;35,BY53+BX54-CG53,IF(A54&lt;'Données projet'!$A$114,$BV$205^A54,IF(A54='Données projet'!$A$114,'Données projet'!$B$114,BY53+BX54-CG53)))</f>
        <v>248.79999999999984</v>
      </c>
      <c r="BZ54" s="13">
        <f>BY54*VLOOKUP('Données projet'!$B$12,Paramètres!$A$1:$I$89,3,0)*VLOOKUP('Données projet'!$B$12,Paramètres!$A$1:$I$89,5,0)</f>
        <v>197.94527999999988</v>
      </c>
      <c r="CA54" s="13">
        <f t="shared" si="39"/>
        <v>49.29233142017484</v>
      </c>
      <c r="CB54" s="20">
        <f t="shared" si="10"/>
        <v>430.6055065568043</v>
      </c>
      <c r="CC54" s="59">
        <f t="shared" si="11"/>
        <v>723.93883989013761</v>
      </c>
      <c r="CD54" s="59">
        <f ca="1">AVERAGE(OFFSET($CC$3,0,0,'Données projet'!$E$12+1,1))-AVERAGE(OFFSET($H$3,0,0,'Données projet'!$E$12+1,1))</f>
        <v>260.20517190557814</v>
      </c>
      <c r="CE54" s="59">
        <f t="shared" si="40"/>
        <v>307.22009971147133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2.1527708148566407</v>
      </c>
      <c r="CL54" s="21">
        <f>EXP(-LN(2)/25)*CL53+(1-EXP(-LN(2)/25))/(LN(2)/25)*Calculateur!CG54*Calculateur!CI54*VLOOKUP('Données projet'!$B$12,Paramètres!$A$1:$I$89,3,0)*0.475*44/12</f>
        <v>11.463144101383683</v>
      </c>
      <c r="CM54" s="21">
        <f>EXP(-LN(2)/2)*CM53+(1-EXP(-LN(2)/2))/(LN(2)/2)*CG54*CJ54*VLOOKUP('Données projet'!$B$12,Paramètres!$A$1:$I$89,3,0)*0.475*44/12</f>
        <v>1.659976966142614E-2</v>
      </c>
      <c r="CN54" s="22">
        <f t="shared" si="12"/>
        <v>13.63251468590175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8.8736263736263741</v>
      </c>
      <c r="CT54" s="12">
        <f>IF('Données projet'!$A$140&gt;35,CT53+CS54-DB53,IF(A54&lt;'Données projet'!$A$140,$CQ$205^A54,IF(A54='Données projet'!$A$140,'Données projet'!$B$140,CT53+CS54-DB53)))</f>
        <v>162.94780219780222</v>
      </c>
      <c r="CU54" s="17">
        <f>CT54*VLOOKUP('Données projet'!$B$13,Paramètres!$A$1:$I$89,3,0)*VLOOKUP('Données projet'!$B$13,Paramètres!$A$1:$I$89,5,0)</f>
        <v>165.22907142857144</v>
      </c>
      <c r="CV54" s="13">
        <f t="shared" si="41"/>
        <v>42.019730517668535</v>
      </c>
      <c r="CW54" s="20">
        <f t="shared" si="13"/>
        <v>360.95833005636797</v>
      </c>
      <c r="CX54" s="59">
        <f t="shared" si="14"/>
        <v>654.29166338970128</v>
      </c>
      <c r="CY54" s="59">
        <f ca="1">AVERAGE(OFFSET($CX$3,0,0,'Données projet'!$E$13+1,1))-AVERAGE(OFFSET($H$3,0,0,'Données projet'!$E$13+1,1))</f>
        <v>263.15518481854753</v>
      </c>
      <c r="CZ54" s="59">
        <f t="shared" si="42"/>
        <v>210.80755370263819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0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6.4</v>
      </c>
      <c r="DO54" s="12">
        <f>IF('Données projet'!$A$166&gt;35,DO53+DN54-DW53,IF(A54&lt;'Données projet'!$A$166,$DL$205^A54,IF(A54='Données projet'!$A$166,'Données projet'!$B$166,DO53+DN54-DW53)))</f>
        <v>192.39999999999992</v>
      </c>
      <c r="DP54" s="17">
        <f>DO54*VLOOKUP('Données projet'!$B$14,Paramètres!$A$1:$I$89,3,0)*VLOOKUP('Données projet'!$B$14,Paramètres!$A$1:$I$89,5,0)</f>
        <v>156.07487999999995</v>
      </c>
      <c r="DQ54" s="13">
        <f t="shared" si="43"/>
        <v>39.955917913584059</v>
      </c>
      <c r="DR54" s="20">
        <f t="shared" si="16"/>
        <v>341.42030636615885</v>
      </c>
      <c r="DS54" s="59">
        <f t="shared" si="17"/>
        <v>634.75363969949217</v>
      </c>
      <c r="DT54" s="59">
        <f ca="1">AVERAGE(OFFSET($DS$3,0,0,'Données projet'!$E$14+1,1))-AVERAGE(OFFSET($H$3,0,0,'Données projet'!$E$14+1,1))</f>
        <v>203.21935660591021</v>
      </c>
      <c r="DU54" s="59">
        <f t="shared" si="44"/>
        <v>180.54762778843178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0.6614527989667861</v>
      </c>
      <c r="EB54" s="21">
        <f>EXP(-LN(2)/25)*EB53+(1-EXP(-LN(2)/25))/(LN(2)/25)*Calculateur!DW54*Calculateur!DY54*VLOOKUP('Données projet'!$B$14,Paramètres!$A$1:$I$89,3,0)*0.475*44/12</f>
        <v>3.2422002149196159</v>
      </c>
      <c r="EC54" s="21">
        <f>EXP(-LN(2)/2)*EC53+(1-EXP(-LN(2)/2))/(LN(2)/2)*DW54*DZ54*VLOOKUP('Données projet'!$B$14,Paramètres!$A$1:$I$89,3,0)*0.475*44/12</f>
        <v>6.2580914844873161E-3</v>
      </c>
      <c r="ED54" s="22">
        <f t="shared" si="18"/>
        <v>3.9099111053708895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6.8</v>
      </c>
      <c r="EJ54" s="12">
        <f>IF('Données projet'!$A$192&gt;35,EJ53+EI54-ER53,IF(A54&lt;'Données projet'!$A$192,$EG$205^A54,IF(A54='Données projet'!$A$192,'Données projet'!$B$192,EJ53+EI54-ER53)))</f>
        <v>248.79999999999984</v>
      </c>
      <c r="EK54" s="17">
        <f>EJ54*VLOOKUP('Données projet'!$B$15,Paramètres!$A$1:$I$89,3,0)*VLOOKUP('Données projet'!$B$15,Paramètres!$A$1:$I$89,5,0)</f>
        <v>166.89503999999988</v>
      </c>
      <c r="EL54" s="13">
        <f t="shared" si="45"/>
        <v>42.393871547398746</v>
      </c>
      <c r="EM54" s="20">
        <f t="shared" si="19"/>
        <v>364.51152094505261</v>
      </c>
      <c r="EN54" s="59">
        <f t="shared" si="20"/>
        <v>657.84485427838592</v>
      </c>
      <c r="EO54" s="59">
        <f ca="1">AVERAGE(OFFSET($EN$3,0,0,'Données projet'!$E$15+1,1))-AVERAGE(OFFSET($H$3,0,0,'Données projet'!$E$15+1,1))</f>
        <v>207.93042467236967</v>
      </c>
      <c r="EP54" s="59">
        <f t="shared" si="46"/>
        <v>250.70954318710835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1.8150812752712848</v>
      </c>
      <c r="EW54" s="21">
        <f>EXP(-LN(2)/25)*EW53+(1-EXP(-LN(2)/25))/(LN(2)/25)*Calculateur!ER54*Calculateur!ET54*VLOOKUP('Données projet'!$B$15,Paramètres!$A$1:$I$89,3,0)*0.475*44/12</f>
        <v>9.6650038501862472</v>
      </c>
      <c r="EX54" s="21">
        <f>EXP(-LN(2)/2)*EX53+(1-EXP(-LN(2)/2))/(LN(2)/2)*ER54*EU54*VLOOKUP('Données projet'!$B$15,Paramètres!$A$1:$I$89,3,0)*0.475*44/12</f>
        <v>1.3995884224339686E-2</v>
      </c>
      <c r="EY54" s="22">
        <f t="shared" si="21"/>
        <v>11.494081009681871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20.507692307692299</v>
      </c>
      <c r="N55" s="13">
        <f>IF('Données projet'!$A$36&gt;35,N54+M55-V54,IF(A55&lt;'Données projet'!$A$36,$K$205^A55,IF(A55='Données projet'!$A$36,'Données projet'!$B$36,N54+M55-V54)))</f>
        <v>525.78461538461511</v>
      </c>
      <c r="O55" s="13">
        <f>N55*VLOOKUP('Données projet'!$B$9,Paramètres!$A$1:$I$89,3,0)*VLOOKUP('Données projet'!$B$9,Paramètres!$A$1:$I$89,5,0)</f>
        <v>293.91359999999986</v>
      </c>
      <c r="P55" s="13">
        <f t="shared" si="33"/>
        <v>69.899002171586702</v>
      </c>
      <c r="Q55" s="20">
        <f t="shared" si="53"/>
        <v>633.64028211551329</v>
      </c>
      <c r="R55" s="59">
        <f t="shared" si="0"/>
        <v>926.97361544884666</v>
      </c>
      <c r="S55" s="59">
        <f ca="1">AVERAGE(OFFSET($R$3,0,0,'Données projet'!$E$9+1,1))-AVERAGE(OFFSET($H$3,0,0,'Données projet'!$E$9+1,1))</f>
        <v>255.5374979188561</v>
      </c>
      <c r="T55" s="59">
        <f t="shared" si="34"/>
        <v>343.10418468620901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1.998689660869069</v>
      </c>
      <c r="AA55" s="21">
        <f>EXP(-LN(2)/25)*AA54+(1-EXP(-LN(2)/25))/(LN(2)/25)*Calculateur!V55*Calculateur!X55*VLOOKUP('Données projet'!$B$9,Paramètres!$A$1:$I$89,3,0)*0.475*44/12</f>
        <v>8.672285005906037</v>
      </c>
      <c r="AB55" s="21">
        <f>EXP(-LN(2)/2)*AB54+(1-EXP(-LN(2)/2))/(LN(2)/2)*V55*Y55*VLOOKUP('Données projet'!$B$9,Paramètres!$A$1:$I$89,3,0)*0.475*44/12</f>
        <v>8.2649027317093068E-4</v>
      </c>
      <c r="AC55" s="22">
        <f t="shared" si="3"/>
        <v>10.671801157048277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14.668131868131875</v>
      </c>
      <c r="AI55" s="13">
        <f>IF('Données projet'!$A$62&gt;35,AI54+AH55-AQ54,IF(A55&lt;'Données projet'!$A$62,$AF$205^A55,IF(A55='Données projet'!$A$62,'Données projet'!$B$62,AI54+AH55-AQ54)))</f>
        <v>289.3813186813187</v>
      </c>
      <c r="AJ55" s="13">
        <f>AI55*VLOOKUP('Données projet'!$B$10,Paramètres!$A$1:$I$89,3,0)*VLOOKUP('Données projet'!$B$10,Paramètres!$A$1:$I$89,5,0)</f>
        <v>135.43045714285716</v>
      </c>
      <c r="AK55" s="13">
        <f t="shared" si="35"/>
        <v>35.248174253598229</v>
      </c>
      <c r="AL55" s="20">
        <f t="shared" si="4"/>
        <v>297.26528301549314</v>
      </c>
      <c r="AM55" s="59">
        <f t="shared" si="5"/>
        <v>590.59861634882645</v>
      </c>
      <c r="AN55" s="59">
        <f ca="1">AVERAGE(OFFSET($AM$3,0,0,'Données projet'!$E$10+1,1))-AVERAGE(OFFSET($H$3,0,0,'Données projet'!$E$10+1,1))</f>
        <v>158.58786357608489</v>
      </c>
      <c r="AO55" s="59">
        <f t="shared" si="36"/>
        <v>163.20074068819849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18</v>
      </c>
      <c r="BD55" s="12">
        <f>IF('Données projet'!$A$88&gt;35,BD54+BC55-BL54,IF(A55&lt;'Données projet'!$A$88,$BA$205^A55,IF(A55='Données projet'!$A$88,'Données projet'!$B$88,BD54+BC55-BL54)))</f>
        <v>363.99999999999972</v>
      </c>
      <c r="BE55" s="13">
        <f>BD55*VLOOKUP('Données projet'!$B$11,Paramètres!$A$1:$I$89,3,0)*VLOOKUP('Données projet'!$B$11,Paramètres!$A$1:$I$89,5,0)</f>
        <v>217.67199999999985</v>
      </c>
      <c r="BF55" s="13">
        <f t="shared" si="37"/>
        <v>53.60859357546002</v>
      </c>
      <c r="BG55" s="20">
        <f t="shared" si="7"/>
        <v>472.48036714392589</v>
      </c>
      <c r="BH55" s="59">
        <f t="shared" si="8"/>
        <v>765.8137004772592</v>
      </c>
      <c r="BI55" s="59">
        <f ca="1">AVERAGE(OFFSET($BH$3,0,0,'Données projet'!$E$11+1,1))-AVERAGE(OFFSET($H$3,0,0,'Données projet'!$E$11+1,1))</f>
        <v>316.58509520829671</v>
      </c>
      <c r="BJ55" s="59">
        <f t="shared" si="38"/>
        <v>240.71332110643596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1.6393872325468846</v>
      </c>
      <c r="BQ55" s="21">
        <f>EXP(-LN(2)/25)*BQ54+(1-EXP(-LN(2)/25))/(LN(2)/25)*Calculateur!BL55*Calculateur!BN55*VLOOKUP('Données projet'!$B$11,Paramètres!$A$1:$I$89,3,0)*0.475*44/12</f>
        <v>8.2960941228821596</v>
      </c>
      <c r="BR55" s="21">
        <f>EXP(-LN(2)/2)*BR54+(1-EXP(-LN(2)/2))/(LN(2)/2)*BL55*BO55*VLOOKUP('Données projet'!$B$11,Paramètres!$A$1:$I$89,3,0)*0.475*44/12</f>
        <v>1.0712569858467198E-2</v>
      </c>
      <c r="BS55" s="22">
        <f t="shared" si="9"/>
        <v>9.9461939252875116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6.8</v>
      </c>
      <c r="BY55" s="12">
        <f>IF('Données projet'!$A$114&gt;35,BY54+BX55-CG54,IF(A55&lt;'Données projet'!$A$114,$BV$205^A55,IF(A55='Données projet'!$A$114,'Données projet'!$B$114,BY54+BX55-CG54)))</f>
        <v>255.59999999999985</v>
      </c>
      <c r="BZ55" s="13">
        <f>BY55*VLOOKUP('Données projet'!$B$12,Paramètres!$A$1:$I$89,3,0)*VLOOKUP('Données projet'!$B$12,Paramètres!$A$1:$I$89,5,0)</f>
        <v>203.35535999999991</v>
      </c>
      <c r="CA55" s="13">
        <f t="shared" si="39"/>
        <v>50.480858741452501</v>
      </c>
      <c r="CB55" s="20">
        <f t="shared" si="10"/>
        <v>442.09808097469619</v>
      </c>
      <c r="CC55" s="59">
        <f t="shared" si="11"/>
        <v>735.4314143080295</v>
      </c>
      <c r="CD55" s="59">
        <f ca="1">AVERAGE(OFFSET($CC$3,0,0,'Données projet'!$E$12+1,1))-AVERAGE(OFFSET($H$3,0,0,'Données projet'!$E$12+1,1))</f>
        <v>260.20517190557814</v>
      </c>
      <c r="CE55" s="59">
        <f t="shared" si="40"/>
        <v>307.22009971147133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2.1105562922378449</v>
      </c>
      <c r="CL55" s="21">
        <f>EXP(-LN(2)/25)*CL54+(1-EXP(-LN(2)/25))/(LN(2)/25)*Calculateur!CG55*Calculateur!CI55*VLOOKUP('Données projet'!$B$12,Paramètres!$A$1:$I$89,3,0)*0.475*44/12</f>
        <v>11.149683823110797</v>
      </c>
      <c r="CM55" s="21">
        <f>EXP(-LN(2)/2)*CM54+(1-EXP(-LN(2)/2))/(LN(2)/2)*CG55*CJ55*VLOOKUP('Données projet'!$B$12,Paramètres!$A$1:$I$89,3,0)*0.475*44/12</f>
        <v>1.1737809693729144E-2</v>
      </c>
      <c r="CN55" s="22">
        <f t="shared" si="12"/>
        <v>13.271977925042371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8.8736263736263741</v>
      </c>
      <c r="CT55" s="12">
        <f>IF('Données projet'!$A$140&gt;35,CT54+CS55-DB54,IF(A55&lt;'Données projet'!$A$140,$CQ$205^A55,IF(A55='Données projet'!$A$140,'Données projet'!$B$140,CT54+CS55-DB54)))</f>
        <v>171.82142857142858</v>
      </c>
      <c r="CU55" s="17">
        <f>CT55*VLOOKUP('Données projet'!$B$13,Paramètres!$A$1:$I$89,3,0)*VLOOKUP('Données projet'!$B$13,Paramètres!$A$1:$I$89,5,0)</f>
        <v>174.2269285714286</v>
      </c>
      <c r="CV55" s="13">
        <f t="shared" si="41"/>
        <v>44.035357527108694</v>
      </c>
      <c r="CW55" s="20">
        <f t="shared" si="13"/>
        <v>380.14014828828573</v>
      </c>
      <c r="CX55" s="59">
        <f t="shared" si="14"/>
        <v>673.47348162161904</v>
      </c>
      <c r="CY55" s="59">
        <f ca="1">AVERAGE(OFFSET($CX$3,0,0,'Données projet'!$E$13+1,1))-AVERAGE(OFFSET($H$3,0,0,'Données projet'!$E$13+1,1))</f>
        <v>263.15518481854753</v>
      </c>
      <c r="CZ55" s="59">
        <f t="shared" si="42"/>
        <v>210.80755370263819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0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6.4</v>
      </c>
      <c r="DO55" s="12">
        <f>IF('Données projet'!$A$166&gt;35,DO54+DN55-DW54,IF(A55&lt;'Données projet'!$A$166,$DL$205^A55,IF(A55='Données projet'!$A$166,'Données projet'!$B$166,DO54+DN55-DW54)))</f>
        <v>198.79999999999993</v>
      </c>
      <c r="DP55" s="17">
        <f>DO55*VLOOKUP('Données projet'!$B$14,Paramètres!$A$1:$I$89,3,0)*VLOOKUP('Données projet'!$B$14,Paramètres!$A$1:$I$89,5,0)</f>
        <v>161.26655999999994</v>
      </c>
      <c r="DQ55" s="13">
        <f t="shared" si="43"/>
        <v>41.128060321982517</v>
      </c>
      <c r="DR55" s="20">
        <f t="shared" si="16"/>
        <v>352.5039637274528</v>
      </c>
      <c r="DS55" s="59">
        <f t="shared" si="17"/>
        <v>645.83729706078611</v>
      </c>
      <c r="DT55" s="59">
        <f ca="1">AVERAGE(OFFSET($DS$3,0,0,'Données projet'!$E$14+1,1))-AVERAGE(OFFSET($H$3,0,0,'Données projet'!$E$14+1,1))</f>
        <v>203.21935660591021</v>
      </c>
      <c r="DU55" s="59">
        <f t="shared" si="44"/>
        <v>180.54762778843178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0.64848211302541781</v>
      </c>
      <c r="EB55" s="21">
        <f>EXP(-LN(2)/25)*EB54+(1-EXP(-LN(2)/25))/(LN(2)/25)*Calculateur!DW55*Calculateur!DY55*VLOOKUP('Données projet'!$B$14,Paramètres!$A$1:$I$89,3,0)*0.475*44/12</f>
        <v>3.1535420795427398</v>
      </c>
      <c r="EC55" s="21">
        <f>EXP(-LN(2)/2)*EC54+(1-EXP(-LN(2)/2))/(LN(2)/2)*DW55*DZ55*VLOOKUP('Données projet'!$B$14,Paramètres!$A$1:$I$89,3,0)*0.475*44/12</f>
        <v>4.4251389259667689E-3</v>
      </c>
      <c r="ED55" s="22">
        <f t="shared" si="18"/>
        <v>3.8064493314941243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6.8</v>
      </c>
      <c r="EJ55" s="12">
        <f>IF('Données projet'!$A$192&gt;35,EJ54+EI55-ER54,IF(A55&lt;'Données projet'!$A$192,$EG$205^A55,IF(A55='Données projet'!$A$192,'Données projet'!$B$192,EJ54+EI55-ER54)))</f>
        <v>255.59999999999985</v>
      </c>
      <c r="EK55" s="17">
        <f>EJ55*VLOOKUP('Données projet'!$B$15,Paramètres!$A$1:$I$89,3,0)*VLOOKUP('Données projet'!$B$15,Paramètres!$A$1:$I$89,5,0)</f>
        <v>171.45647999999989</v>
      </c>
      <c r="EL55" s="13">
        <f t="shared" si="45"/>
        <v>43.416064516104512</v>
      </c>
      <c r="EM55" s="20">
        <f t="shared" si="19"/>
        <v>374.23634836554851</v>
      </c>
      <c r="EN55" s="59">
        <f t="shared" si="20"/>
        <v>667.56968169888182</v>
      </c>
      <c r="EO55" s="59">
        <f ca="1">AVERAGE(OFFSET($EN$3,0,0,'Données projet'!$E$15+1,1))-AVERAGE(OFFSET($H$3,0,0,'Données projet'!$E$15+1,1))</f>
        <v>207.93042467236967</v>
      </c>
      <c r="EP55" s="59">
        <f t="shared" si="46"/>
        <v>250.70954318710835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1.7794886385534767</v>
      </c>
      <c r="EW55" s="21">
        <f>EXP(-LN(2)/25)*EW54+(1-EXP(-LN(2)/25))/(LN(2)/25)*Calculateur!ER55*Calculateur!ET55*VLOOKUP('Données projet'!$B$15,Paramètres!$A$1:$I$89,3,0)*0.475*44/12</f>
        <v>9.4007138116424418</v>
      </c>
      <c r="EX55" s="21">
        <f>EXP(-LN(2)/2)*EX54+(1-EXP(-LN(2)/2))/(LN(2)/2)*ER55*EU55*VLOOKUP('Données projet'!$B$15,Paramètres!$A$1:$I$89,3,0)*0.475*44/12</f>
        <v>9.8965846437324145E-3</v>
      </c>
      <c r="EY55" s="22">
        <f t="shared" si="21"/>
        <v>11.190099034839651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20.507692307692299</v>
      </c>
      <c r="N56" s="13">
        <f>IF('Données projet'!$A$36&gt;35,N55+M56-V55,IF(A56&lt;'Données projet'!$A$36,$K$205^A56,IF(A56='Données projet'!$A$36,'Données projet'!$B$36,N55+M56-V55)))</f>
        <v>546.29230769230742</v>
      </c>
      <c r="O56" s="13">
        <f>N56*VLOOKUP('Données projet'!$B$9,Paramètres!$A$1:$I$89,3,0)*VLOOKUP('Données projet'!$B$9,Paramètres!$A$1:$I$89,5,0)</f>
        <v>305.37739999999985</v>
      </c>
      <c r="P56" s="13">
        <f t="shared" si="33"/>
        <v>72.302604807906476</v>
      </c>
      <c r="Q56" s="20">
        <f t="shared" si="53"/>
        <v>657.79267504043685</v>
      </c>
      <c r="R56" s="59">
        <f t="shared" si="0"/>
        <v>951.12600837377022</v>
      </c>
      <c r="S56" s="59">
        <f ca="1">AVERAGE(OFFSET($R$3,0,0,'Données projet'!$E$9+1,1))-AVERAGE(OFFSET($H$3,0,0,'Données projet'!$E$9+1,1))</f>
        <v>255.5374979188561</v>
      </c>
      <c r="T56" s="59">
        <f t="shared" si="34"/>
        <v>343.10418468620901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1.9594965756997456</v>
      </c>
      <c r="AA56" s="21">
        <f>EXP(-LN(2)/25)*AA55+(1-EXP(-LN(2)/25))/(LN(2)/25)*Calculateur!V56*Calculateur!X56*VLOOKUP('Données projet'!$B$9,Paramètres!$A$1:$I$89,3,0)*0.475*44/12</f>
        <v>8.4351409163638884</v>
      </c>
      <c r="AB56" s="21">
        <f>EXP(-LN(2)/2)*AB55+(1-EXP(-LN(2)/2))/(LN(2)/2)*V56*Y56*VLOOKUP('Données projet'!$B$9,Paramètres!$A$1:$I$89,3,0)*0.475*44/12</f>
        <v>5.8441687674388716E-4</v>
      </c>
      <c r="AC56" s="22">
        <f t="shared" si="3"/>
        <v>10.395221908940378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14.668131868131875</v>
      </c>
      <c r="AI56" s="13">
        <f>IF('Données projet'!$A$62&gt;35,AI55+AH56-AQ55,IF(A56&lt;'Données projet'!$A$62,$AF$205^A56,IF(A56='Données projet'!$A$62,'Données projet'!$B$62,AI55+AH56-AQ55)))</f>
        <v>304.04945054945057</v>
      </c>
      <c r="AJ56" s="13">
        <f>AI56*VLOOKUP('Données projet'!$B$10,Paramètres!$A$1:$I$89,3,0)*VLOOKUP('Données projet'!$B$10,Paramètres!$A$1:$I$89,5,0)</f>
        <v>142.29514285714285</v>
      </c>
      <c r="AK56" s="13">
        <f t="shared" si="35"/>
        <v>36.822291864436032</v>
      </c>
      <c r="AL56" s="20">
        <f t="shared" si="4"/>
        <v>311.96286547341651</v>
      </c>
      <c r="AM56" s="59">
        <f t="shared" si="5"/>
        <v>605.29619880674977</v>
      </c>
      <c r="AN56" s="59">
        <f ca="1">AVERAGE(OFFSET($AM$3,0,0,'Données projet'!$E$10+1,1))-AVERAGE(OFFSET($H$3,0,0,'Données projet'!$E$10+1,1))</f>
        <v>158.58786357608489</v>
      </c>
      <c r="AO56" s="59">
        <f t="shared" si="36"/>
        <v>163.20074068819849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18</v>
      </c>
      <c r="BD56" s="12">
        <f>IF('Données projet'!$A$88&gt;35,BD55+BC56-BL55,IF(A56&lt;'Données projet'!$A$88,$BA$205^A56,IF(A56='Données projet'!$A$88,'Données projet'!$B$88,BD55+BC56-BL55)))</f>
        <v>381.99999999999972</v>
      </c>
      <c r="BE56" s="13">
        <f>BD56*VLOOKUP('Données projet'!$B$11,Paramètres!$A$1:$I$89,3,0)*VLOOKUP('Données projet'!$B$11,Paramètres!$A$1:$I$89,5,0)</f>
        <v>228.43599999999986</v>
      </c>
      <c r="BF56" s="13">
        <f t="shared" si="37"/>
        <v>55.944373989427987</v>
      </c>
      <c r="BG56" s="20">
        <f t="shared" si="7"/>
        <v>495.29581803158686</v>
      </c>
      <c r="BH56" s="59">
        <f t="shared" si="8"/>
        <v>788.62915136492018</v>
      </c>
      <c r="BI56" s="59">
        <f ca="1">AVERAGE(OFFSET($BH$3,0,0,'Données projet'!$E$11+1,1))-AVERAGE(OFFSET($H$3,0,0,'Données projet'!$E$11+1,1))</f>
        <v>316.58509520829671</v>
      </c>
      <c r="BJ56" s="59">
        <f t="shared" si="38"/>
        <v>240.71332110643596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1.6072398488441173</v>
      </c>
      <c r="BQ56" s="21">
        <f>EXP(-LN(2)/25)*BQ55+(1-EXP(-LN(2)/25))/(LN(2)/25)*Calculateur!BL56*Calculateur!BN56*VLOOKUP('Données projet'!$B$11,Paramètres!$A$1:$I$89,3,0)*0.475*44/12</f>
        <v>8.0692369928193184</v>
      </c>
      <c r="BR56" s="21">
        <f>EXP(-LN(2)/2)*BR55+(1-EXP(-LN(2)/2))/(LN(2)/2)*BL56*BO56*VLOOKUP('Données projet'!$B$11,Paramètres!$A$1:$I$89,3,0)*0.475*44/12</f>
        <v>7.5749307908567704E-3</v>
      </c>
      <c r="BS56" s="22">
        <f t="shared" si="9"/>
        <v>9.6840517724542909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6.8</v>
      </c>
      <c r="BY56" s="12">
        <f>IF('Données projet'!$A$114&gt;35,BY55+BX56-CG55,IF(A56&lt;'Données projet'!$A$114,$BV$205^A56,IF(A56='Données projet'!$A$114,'Données projet'!$B$114,BY55+BX56-CG55)))</f>
        <v>262.39999999999986</v>
      </c>
      <c r="BZ56" s="13">
        <f>BY56*VLOOKUP('Données projet'!$B$12,Paramètres!$A$1:$I$89,3,0)*VLOOKUP('Données projet'!$B$12,Paramètres!$A$1:$I$89,5,0)</f>
        <v>208.7654399999999</v>
      </c>
      <c r="CA56" s="13">
        <f t="shared" si="39"/>
        <v>51.665710768737398</v>
      </c>
      <c r="CB56" s="20">
        <f t="shared" si="10"/>
        <v>453.58425425555083</v>
      </c>
      <c r="CC56" s="59">
        <f t="shared" si="11"/>
        <v>746.91758758888409</v>
      </c>
      <c r="CD56" s="59">
        <f ca="1">AVERAGE(OFFSET($CC$3,0,0,'Données projet'!$E$12+1,1))-AVERAGE(OFFSET($H$3,0,0,'Données projet'!$E$12+1,1))</f>
        <v>260.20517190557814</v>
      </c>
      <c r="CE56" s="59">
        <f t="shared" si="40"/>
        <v>307.22009971147133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2.0691695706592874</v>
      </c>
      <c r="CL56" s="21">
        <f>EXP(-LN(2)/25)*CL55+(1-EXP(-LN(2)/25))/(LN(2)/25)*Calculateur!CG56*Calculateur!CI56*VLOOKUP('Données projet'!$B$12,Paramètres!$A$1:$I$89,3,0)*0.475*44/12</f>
        <v>10.844795132631443</v>
      </c>
      <c r="CM56" s="21">
        <f>EXP(-LN(2)/2)*CM55+(1-EXP(-LN(2)/2))/(LN(2)/2)*CG56*CJ56*VLOOKUP('Données projet'!$B$12,Paramètres!$A$1:$I$89,3,0)*0.475*44/12</f>
        <v>8.2998848307130699E-3</v>
      </c>
      <c r="CN56" s="22">
        <f t="shared" si="12"/>
        <v>12.922264588121443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8.8736263736263741</v>
      </c>
      <c r="CT56" s="12">
        <f>IF('Données projet'!$A$140&gt;35,CT55+CS56-DB55,IF(A56&lt;'Données projet'!$A$140,$CQ$205^A56,IF(A56='Données projet'!$A$140,'Données projet'!$B$140,CT55+CS56-DB55)))</f>
        <v>180.69505494505495</v>
      </c>
      <c r="CU56" s="17">
        <f>CT56*VLOOKUP('Données projet'!$B$13,Paramètres!$A$1:$I$89,3,0)*VLOOKUP('Données projet'!$B$13,Paramètres!$A$1:$I$89,5,0)</f>
        <v>183.22478571428573</v>
      </c>
      <c r="CV56" s="13">
        <f t="shared" si="41"/>
        <v>46.038898438557553</v>
      </c>
      <c r="CW56" s="20">
        <f t="shared" si="13"/>
        <v>399.30091656620198</v>
      </c>
      <c r="CX56" s="59">
        <f t="shared" si="14"/>
        <v>692.63424989953523</v>
      </c>
      <c r="CY56" s="59">
        <f ca="1">AVERAGE(OFFSET($CX$3,0,0,'Données projet'!$E$13+1,1))-AVERAGE(OFFSET($H$3,0,0,'Données projet'!$E$13+1,1))</f>
        <v>263.15518481854753</v>
      </c>
      <c r="CZ56" s="59">
        <f t="shared" si="42"/>
        <v>210.80755370263819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0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6.4</v>
      </c>
      <c r="DO56" s="12">
        <f>IF('Données projet'!$A$166&gt;35,DO55+DN56-DW55,IF(A56&lt;'Données projet'!$A$166,$DL$205^A56,IF(A56='Données projet'!$A$166,'Données projet'!$B$166,DO55+DN56-DW55)))</f>
        <v>205.19999999999993</v>
      </c>
      <c r="DP56" s="17">
        <f>DO56*VLOOKUP('Données projet'!$B$14,Paramètres!$A$1:$I$89,3,0)*VLOOKUP('Données projet'!$B$14,Paramètres!$A$1:$I$89,5,0)</f>
        <v>166.45823999999996</v>
      </c>
      <c r="DQ56" s="13">
        <f t="shared" si="43"/>
        <v>42.295817799452642</v>
      </c>
      <c r="DR56" s="20">
        <f t="shared" si="16"/>
        <v>363.5799840007133</v>
      </c>
      <c r="DS56" s="59">
        <f t="shared" si="17"/>
        <v>656.91331733404661</v>
      </c>
      <c r="DT56" s="59">
        <f ca="1">AVERAGE(OFFSET($DS$3,0,0,'Données projet'!$E$14+1,1))-AVERAGE(OFFSET($H$3,0,0,'Données projet'!$E$14+1,1))</f>
        <v>203.21935660591021</v>
      </c>
      <c r="DU56" s="59">
        <f t="shared" si="44"/>
        <v>180.54762778843178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0.63576577432402248</v>
      </c>
      <c r="EB56" s="21">
        <f>EXP(-LN(2)/25)*EB55+(1-EXP(-LN(2)/25))/(LN(2)/25)*Calculateur!DW56*Calculateur!DY56*VLOOKUP('Données projet'!$B$14,Paramètres!$A$1:$I$89,3,0)*0.475*44/12</f>
        <v>3.0673083055400729</v>
      </c>
      <c r="EC56" s="21">
        <f>EXP(-LN(2)/2)*EC55+(1-EXP(-LN(2)/2))/(LN(2)/2)*DW56*DZ56*VLOOKUP('Données projet'!$B$14,Paramètres!$A$1:$I$89,3,0)*0.475*44/12</f>
        <v>3.129045742243658E-3</v>
      </c>
      <c r="ED56" s="22">
        <f t="shared" si="18"/>
        <v>3.706203125606339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6.8</v>
      </c>
      <c r="EJ56" s="12">
        <f>IF('Données projet'!$A$192&gt;35,EJ55+EI56-ER55,IF(A56&lt;'Données projet'!$A$192,$EG$205^A56,IF(A56='Données projet'!$A$192,'Données projet'!$B$192,EJ55+EI56-ER55)))</f>
        <v>262.39999999999986</v>
      </c>
      <c r="EK56" s="17">
        <f>EJ56*VLOOKUP('Données projet'!$B$15,Paramètres!$A$1:$I$89,3,0)*VLOOKUP('Données projet'!$B$15,Paramètres!$A$1:$I$89,5,0)</f>
        <v>176.01791999999992</v>
      </c>
      <c r="EL56" s="13">
        <f t="shared" si="45"/>
        <v>44.435096548069509</v>
      </c>
      <c r="EM56" s="20">
        <f t="shared" si="19"/>
        <v>383.95567048788757</v>
      </c>
      <c r="EN56" s="59">
        <f t="shared" si="20"/>
        <v>677.28900382122083</v>
      </c>
      <c r="EO56" s="59">
        <f ca="1">AVERAGE(OFFSET($EN$3,0,0,'Données projet'!$E$15+1,1))-AVERAGE(OFFSET($H$3,0,0,'Données projet'!$E$15+1,1))</f>
        <v>207.93042467236967</v>
      </c>
      <c r="EP56" s="59">
        <f t="shared" si="46"/>
        <v>250.70954318710835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1.7445939517323401</v>
      </c>
      <c r="EW56" s="21">
        <f>EXP(-LN(2)/25)*EW55+(1-EXP(-LN(2)/25))/(LN(2)/25)*Calculateur!ER56*Calculateur!ET56*VLOOKUP('Données projet'!$B$15,Paramètres!$A$1:$I$89,3,0)*0.475*44/12</f>
        <v>9.1436507981010262</v>
      </c>
      <c r="EX56" s="21">
        <f>EXP(-LN(2)/2)*EX55+(1-EXP(-LN(2)/2))/(LN(2)/2)*ER56*EU56*VLOOKUP('Données projet'!$B$15,Paramètres!$A$1:$I$89,3,0)*0.475*44/12</f>
        <v>6.9979421121698429E-3</v>
      </c>
      <c r="EY56" s="22">
        <f t="shared" si="21"/>
        <v>10.895242691945535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566.79999999999995</v>
      </c>
      <c r="L57" s="12">
        <f>VLOOKUP(A57,'Données projet'!$A$35:$I$55,9,0)</f>
        <v>20.507692307692299</v>
      </c>
      <c r="M57" s="12">
        <f t="array" ref="M57">INDEX(L:L,MIN(IF(ISNUMBER(L57:L253),ROW(L57:L253),"")))</f>
        <v>20.507692307692299</v>
      </c>
      <c r="N57" s="13">
        <f>IF('Données projet'!$A$36&gt;35,N56+M57-V56,IF(A57&lt;'Données projet'!$A$36,$K$205^A57,IF(A57='Données projet'!$A$36,'Données projet'!$B$36,N56+M57-V56)))</f>
        <v>566.79999999999973</v>
      </c>
      <c r="O57" s="13">
        <f>N57*VLOOKUP('Données projet'!$B$9,Paramètres!$A$1:$I$89,3,0)*VLOOKUP('Données projet'!$B$9,Paramètres!$A$1:$I$89,5,0)</f>
        <v>316.84119999999984</v>
      </c>
      <c r="P57" s="13">
        <f t="shared" si="33"/>
        <v>74.695724902330795</v>
      </c>
      <c r="Q57" s="20">
        <f t="shared" si="53"/>
        <v>681.92681087155916</v>
      </c>
      <c r="R57" s="59">
        <f t="shared" si="0"/>
        <v>975.26014420489241</v>
      </c>
      <c r="S57" s="59">
        <f ca="1">AVERAGE(OFFSET($R$3,0,0,'Données projet'!$E$9+1,1))-AVERAGE(OFFSET($H$3,0,0,'Données projet'!$E$9+1,1))</f>
        <v>255.5374979188561</v>
      </c>
      <c r="T57" s="59">
        <f t="shared" si="34"/>
        <v>343.10418468620901</v>
      </c>
      <c r="U57" s="15">
        <f>IF(ISNA(VLOOKUP(A57,'Données projet'!$A$35:$I$55,3,0)),0,VLOOKUP(A57,'Données projet'!$A$35:$I$55,3,0))</f>
        <v>7</v>
      </c>
      <c r="V57" s="15">
        <f>IF(ISNA(VLOOKUP(A57,'Données projet'!$A$35:$I$55,4,0)),0,VLOOKUP(A57,'Données projet'!$A$35:$I$55,4,0))</f>
        <v>566.79999999999995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1.9210720430251711</v>
      </c>
      <c r="AA57" s="21">
        <f>EXP(-LN(2)/25)*AA56+(1-EXP(-LN(2)/25))/(LN(2)/25)*Calculateur!V57*Calculateur!X57*VLOOKUP('Données projet'!$B$9,Paramètres!$A$1:$I$89,3,0)*0.475*44/12</f>
        <v>8.2044815444211352</v>
      </c>
      <c r="AB57" s="21">
        <f>EXP(-LN(2)/2)*AB56+(1-EXP(-LN(2)/2))/(LN(2)/2)*V57*Y57*VLOOKUP('Données projet'!$B$9,Paramètres!$A$1:$I$89,3,0)*0.475*44/12</f>
        <v>4.1324513658546534E-4</v>
      </c>
      <c r="AC57" s="22">
        <f t="shared" si="3"/>
        <v>10.125966832582892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14.668131868131875</v>
      </c>
      <c r="AI57" s="13">
        <f>IF('Données projet'!$A$62&gt;35,AI56+AH57-AQ56,IF(A57&lt;'Données projet'!$A$62,$AF$205^A57,IF(A57='Données projet'!$A$62,'Données projet'!$B$62,AI56+AH57-AQ56)))</f>
        <v>318.71758241758243</v>
      </c>
      <c r="AJ57" s="13">
        <f>AI57*VLOOKUP('Données projet'!$B$10,Paramètres!$A$1:$I$89,3,0)*VLOOKUP('Données projet'!$B$10,Paramètres!$A$1:$I$89,5,0)</f>
        <v>149.15982857142859</v>
      </c>
      <c r="AK57" s="13">
        <f t="shared" si="35"/>
        <v>38.387591277502224</v>
      </c>
      <c r="AL57" s="20">
        <f t="shared" si="4"/>
        <v>326.64508957022116</v>
      </c>
      <c r="AM57" s="59">
        <f t="shared" si="5"/>
        <v>619.97842290355447</v>
      </c>
      <c r="AN57" s="59">
        <f ca="1">AVERAGE(OFFSET($AM$3,0,0,'Données projet'!$E$10+1,1))-AVERAGE(OFFSET($H$3,0,0,'Données projet'!$E$10+1,1))</f>
        <v>158.58786357608489</v>
      </c>
      <c r="AO57" s="59">
        <f t="shared" si="36"/>
        <v>163.20074068819849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18</v>
      </c>
      <c r="BD57" s="12">
        <f>IF('Données projet'!$A$88&gt;35,BD56+BC57-BL56,IF(A57&lt;'Données projet'!$A$88,$BA$205^A57,IF(A57='Données projet'!$A$88,'Données projet'!$B$88,BD56+BC57-BL56)))</f>
        <v>399.99999999999972</v>
      </c>
      <c r="BE57" s="13">
        <f>BD57*VLOOKUP('Données projet'!$B$11,Paramètres!$A$1:$I$89,3,0)*VLOOKUP('Données projet'!$B$11,Paramètres!$A$1:$I$89,5,0)</f>
        <v>239.19999999999985</v>
      </c>
      <c r="BF57" s="13">
        <f t="shared" si="37"/>
        <v>58.267373151570702</v>
      </c>
      <c r="BG57" s="20">
        <f t="shared" si="7"/>
        <v>518.08900823898523</v>
      </c>
      <c r="BH57" s="59">
        <f t="shared" si="8"/>
        <v>811.4223415723186</v>
      </c>
      <c r="BI57" s="59">
        <f ca="1">AVERAGE(OFFSET($BH$3,0,0,'Données projet'!$E$11+1,1))-AVERAGE(OFFSET($H$3,0,0,'Données projet'!$E$11+1,1))</f>
        <v>316.58509520829671</v>
      </c>
      <c r="BJ57" s="59">
        <f t="shared" si="38"/>
        <v>240.71332110643596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1.5757228557277934</v>
      </c>
      <c r="BQ57" s="21">
        <f>EXP(-LN(2)/25)*BQ56+(1-EXP(-LN(2)/25))/(LN(2)/25)*Calculateur!BL57*Calculateur!BN57*VLOOKUP('Données projet'!$B$11,Paramètres!$A$1:$I$89,3,0)*0.475*44/12</f>
        <v>7.8485832829079429</v>
      </c>
      <c r="BR57" s="21">
        <f>EXP(-LN(2)/2)*BR56+(1-EXP(-LN(2)/2))/(LN(2)/2)*BL57*BO57*VLOOKUP('Données projet'!$B$11,Paramètres!$A$1:$I$89,3,0)*0.475*44/12</f>
        <v>5.3562849292336E-3</v>
      </c>
      <c r="BS57" s="22">
        <f t="shared" si="9"/>
        <v>9.4296624235649684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6.8</v>
      </c>
      <c r="BY57" s="12">
        <f>IF('Données projet'!$A$114&gt;35,BY56+BX57-CG56,IF(A57&lt;'Données projet'!$A$114,$BV$205^A57,IF(A57='Données projet'!$A$114,'Données projet'!$B$114,BY56+BX57-CG56)))</f>
        <v>269.19999999999987</v>
      </c>
      <c r="BZ57" s="13">
        <f>BY57*VLOOKUP('Données projet'!$B$12,Paramètres!$A$1:$I$89,3,0)*VLOOKUP('Données projet'!$B$12,Paramètres!$A$1:$I$89,5,0)</f>
        <v>214.17551999999992</v>
      </c>
      <c r="CA57" s="13">
        <f t="shared" si="39"/>
        <v>52.846993696165399</v>
      </c>
      <c r="CB57" s="20">
        <f t="shared" si="10"/>
        <v>465.06421135415462</v>
      </c>
      <c r="CC57" s="59">
        <f t="shared" si="11"/>
        <v>758.39754468748788</v>
      </c>
      <c r="CD57" s="59">
        <f ca="1">AVERAGE(OFFSET($CC$3,0,0,'Données projet'!$E$12+1,1))-AVERAGE(OFFSET($H$3,0,0,'Données projet'!$E$12+1,1))</f>
        <v>260.20517190557814</v>
      </c>
      <c r="CE57" s="59">
        <f t="shared" si="40"/>
        <v>307.22009971147133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2.0285944174474779</v>
      </c>
      <c r="CL57" s="21">
        <f>EXP(-LN(2)/25)*CL56+(1-EXP(-LN(2)/25))/(LN(2)/25)*Calculateur!CG57*Calculateur!CI57*VLOOKUP('Données projet'!$B$12,Paramètres!$A$1:$I$89,3,0)*0.475*44/12</f>
        <v>10.548243639426646</v>
      </c>
      <c r="CM57" s="21">
        <f>EXP(-LN(2)/2)*CM56+(1-EXP(-LN(2)/2))/(LN(2)/2)*CG57*CJ57*VLOOKUP('Données projet'!$B$12,Paramètres!$A$1:$I$89,3,0)*0.475*44/12</f>
        <v>5.8689048468645718E-3</v>
      </c>
      <c r="CN57" s="22">
        <f t="shared" si="12"/>
        <v>12.582706961720989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8.8736263736263741</v>
      </c>
      <c r="CT57" s="12">
        <f>IF('Données projet'!$A$140&gt;35,CT56+CS57-DB56,IF(A57&lt;'Données projet'!$A$140,$CQ$205^A57,IF(A57='Données projet'!$A$140,'Données projet'!$B$140,CT56+CS57-DB56)))</f>
        <v>189.56868131868131</v>
      </c>
      <c r="CU57" s="17">
        <f>CT57*VLOOKUP('Données projet'!$B$13,Paramètres!$A$1:$I$89,3,0)*VLOOKUP('Données projet'!$B$13,Paramètres!$A$1:$I$89,5,0)</f>
        <v>192.22264285714286</v>
      </c>
      <c r="CV57" s="13">
        <f t="shared" si="41"/>
        <v>48.031014520243872</v>
      </c>
      <c r="CW57" s="20">
        <f t="shared" si="13"/>
        <v>418.44178659894851</v>
      </c>
      <c r="CX57" s="59">
        <f t="shared" si="14"/>
        <v>711.77511993228177</v>
      </c>
      <c r="CY57" s="59">
        <f ca="1">AVERAGE(OFFSET($CX$3,0,0,'Données projet'!$E$13+1,1))-AVERAGE(OFFSET($H$3,0,0,'Données projet'!$E$13+1,1))</f>
        <v>263.15518481854753</v>
      </c>
      <c r="CZ57" s="59">
        <f t="shared" si="42"/>
        <v>210.80755370263819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0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6.4</v>
      </c>
      <c r="DO57" s="12">
        <f>IF('Données projet'!$A$166&gt;35,DO56+DN57-DW56,IF(A57&lt;'Données projet'!$A$166,$DL$205^A57,IF(A57='Données projet'!$A$166,'Données projet'!$B$166,DO56+DN57-DW56)))</f>
        <v>211.59999999999994</v>
      </c>
      <c r="DP57" s="17">
        <f>DO57*VLOOKUP('Données projet'!$B$14,Paramètres!$A$1:$I$89,3,0)*VLOOKUP('Données projet'!$B$14,Paramètres!$A$1:$I$89,5,0)</f>
        <v>171.64991999999995</v>
      </c>
      <c r="DQ57" s="13">
        <f t="shared" si="43"/>
        <v>43.45934280040629</v>
      </c>
      <c r="DR57" s="20">
        <f t="shared" si="16"/>
        <v>374.64863271070755</v>
      </c>
      <c r="DS57" s="59">
        <f t="shared" si="17"/>
        <v>667.98196604404086</v>
      </c>
      <c r="DT57" s="59">
        <f ca="1">AVERAGE(OFFSET($DS$3,0,0,'Données projet'!$E$14+1,1))-AVERAGE(OFFSET($H$3,0,0,'Données projet'!$E$14+1,1))</f>
        <v>203.21935660591021</v>
      </c>
      <c r="DU57" s="59">
        <f t="shared" si="44"/>
        <v>180.54762778843178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0.62329879526836074</v>
      </c>
      <c r="EB57" s="21">
        <f>EXP(-LN(2)/25)*EB56+(1-EXP(-LN(2)/25))/(LN(2)/25)*Calculateur!DW57*Calculateur!DY57*VLOOKUP('Données projet'!$B$14,Paramètres!$A$1:$I$89,3,0)*0.475*44/12</f>
        <v>2.9834325986223464</v>
      </c>
      <c r="EC57" s="21">
        <f>EXP(-LN(2)/2)*EC56+(1-EXP(-LN(2)/2))/(LN(2)/2)*DW57*DZ57*VLOOKUP('Données projet'!$B$14,Paramètres!$A$1:$I$89,3,0)*0.475*44/12</f>
        <v>2.2125694629833844E-3</v>
      </c>
      <c r="ED57" s="22">
        <f t="shared" si="18"/>
        <v>3.6089439633536906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6.8</v>
      </c>
      <c r="EJ57" s="12">
        <f>IF('Données projet'!$A$192&gt;35,EJ56+EI57-ER56,IF(A57&lt;'Données projet'!$A$192,$EG$205^A57,IF(A57='Données projet'!$A$192,'Données projet'!$B$192,EJ56+EI57-ER56)))</f>
        <v>269.19999999999987</v>
      </c>
      <c r="EK57" s="17">
        <f>EJ57*VLOOKUP('Données projet'!$B$15,Paramètres!$A$1:$I$89,3,0)*VLOOKUP('Données projet'!$B$15,Paramètres!$A$1:$I$89,5,0)</f>
        <v>180.57935999999992</v>
      </c>
      <c r="EL57" s="13">
        <f t="shared" si="45"/>
        <v>45.451058975564287</v>
      </c>
      <c r="EM57" s="20">
        <f t="shared" si="19"/>
        <v>393.66964638244093</v>
      </c>
      <c r="EN57" s="59">
        <f t="shared" si="20"/>
        <v>687.00297971577425</v>
      </c>
      <c r="EO57" s="59">
        <f ca="1">AVERAGE(OFFSET($EN$3,0,0,'Données projet'!$E$15+1,1))-AVERAGE(OFFSET($H$3,0,0,'Données projet'!$E$15+1,1))</f>
        <v>207.93042467236967</v>
      </c>
      <c r="EP57" s="59">
        <f t="shared" si="46"/>
        <v>250.70954318710835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1.7103835284361086</v>
      </c>
      <c r="EW57" s="21">
        <f>EXP(-LN(2)/25)*EW56+(1-EXP(-LN(2)/25))/(LN(2)/25)*Calculateur!ER57*Calculateur!ET57*VLOOKUP('Données projet'!$B$15,Paramètres!$A$1:$I$89,3,0)*0.475*44/12</f>
        <v>8.8936171861832563</v>
      </c>
      <c r="EX57" s="21">
        <f>EXP(-LN(2)/2)*EX56+(1-EXP(-LN(2)/2))/(LN(2)/2)*ER57*EU57*VLOOKUP('Données projet'!$B$15,Paramètres!$A$1:$I$89,3,0)*0.475*44/12</f>
        <v>4.9482923218662073E-3</v>
      </c>
      <c r="EY57" s="22">
        <f t="shared" si="21"/>
        <v>10.608949006941232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-2.2737367544323206E-13</v>
      </c>
      <c r="O58" s="13">
        <f>N58*VLOOKUP('Données projet'!$B$9,Paramètres!$A$1:$I$89,3,0)*VLOOKUP('Données projet'!$B$9,Paramètres!$A$1:$I$89,5,0)</f>
        <v>-1.2710188457276673E-13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255.5374979188561</v>
      </c>
      <c r="T58" s="59">
        <f t="shared" si="34"/>
        <v>343.10418468620901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1.8834009919996941</v>
      </c>
      <c r="AA58" s="21">
        <f>EXP(-LN(2)/25)*AA57+(1-EXP(-LN(2)/25))/(LN(2)/25)*Calculateur!V58*Calculateur!X58*VLOOKUP('Données projet'!$B$9,Paramètres!$A$1:$I$89,3,0)*0.475*44/12</f>
        <v>7.9801295651340061</v>
      </c>
      <c r="AB58" s="21">
        <f>EXP(-LN(2)/2)*AB57+(1-EXP(-LN(2)/2))/(LN(2)/2)*V58*Y58*VLOOKUP('Données projet'!$B$9,Paramètres!$A$1:$I$89,3,0)*0.475*44/12</f>
        <v>2.9220843837194358E-4</v>
      </c>
      <c r="AC58" s="22">
        <f t="shared" si="3"/>
        <v>9.8638227655720723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14.668131868131875</v>
      </c>
      <c r="AI58" s="13">
        <f>IF('Données projet'!$A$62&gt;35,AI57+AH58-AQ57,IF(A58&lt;'Données projet'!$A$62,$AF$205^A58,IF(A58='Données projet'!$A$62,'Données projet'!$B$62,AI57+AH58-AQ57)))</f>
        <v>333.3857142857143</v>
      </c>
      <c r="AJ58" s="13">
        <f>AI58*VLOOKUP('Données projet'!$B$10,Paramètres!$A$1:$I$89,3,0)*VLOOKUP('Données projet'!$B$10,Paramètres!$A$1:$I$89,5,0)</f>
        <v>156.0245142857143</v>
      </c>
      <c r="AK58" s="13">
        <f t="shared" si="35"/>
        <v>39.944524680961258</v>
      </c>
      <c r="AL58" s="20">
        <f t="shared" si="4"/>
        <v>341.31274286695992</v>
      </c>
      <c r="AM58" s="59">
        <f t="shared" si="5"/>
        <v>634.64607620029324</v>
      </c>
      <c r="AN58" s="59">
        <f ca="1">AVERAGE(OFFSET($AM$3,0,0,'Données projet'!$E$10+1,1))-AVERAGE(OFFSET($H$3,0,0,'Données projet'!$E$10+1,1))</f>
        <v>158.58786357608489</v>
      </c>
      <c r="AO58" s="59">
        <f t="shared" si="36"/>
        <v>163.20074068819849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18</v>
      </c>
      <c r="BD58" s="12">
        <f>IF('Données projet'!$A$88&gt;35,BD57+BC58-BL57,IF(A58&lt;'Données projet'!$A$88,$BA$205^A58,IF(A58='Données projet'!$A$88,'Données projet'!$B$88,BD57+BC58-BL57)))</f>
        <v>417.99999999999972</v>
      </c>
      <c r="BE58" s="13">
        <f>BD58*VLOOKUP('Données projet'!$B$11,Paramètres!$A$1:$I$89,3,0)*VLOOKUP('Données projet'!$B$11,Paramètres!$A$1:$I$89,5,0)</f>
        <v>249.96399999999986</v>
      </c>
      <c r="BF58" s="13">
        <f t="shared" si="37"/>
        <v>60.578231929558321</v>
      </c>
      <c r="BG58" s="20">
        <f t="shared" si="7"/>
        <v>540.86105394398044</v>
      </c>
      <c r="BH58" s="59">
        <f t="shared" si="8"/>
        <v>834.19438727731381</v>
      </c>
      <c r="BI58" s="59">
        <f ca="1">AVERAGE(OFFSET($BH$3,0,0,'Données projet'!$E$11+1,1))-AVERAGE(OFFSET($H$3,0,0,'Données projet'!$E$11+1,1))</f>
        <v>316.58509520829671</v>
      </c>
      <c r="BJ58" s="59">
        <f t="shared" si="38"/>
        <v>240.71332110643596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1.544823891623013</v>
      </c>
      <c r="BQ58" s="21">
        <f>EXP(-LN(2)/25)*BQ57+(1-EXP(-LN(2)/25))/(LN(2)/25)*Calculateur!BL58*Calculateur!BN58*VLOOKUP('Données projet'!$B$11,Paramètres!$A$1:$I$89,3,0)*0.475*44/12</f>
        <v>7.633963360297769</v>
      </c>
      <c r="BR58" s="21">
        <f>EXP(-LN(2)/2)*BR57+(1-EXP(-LN(2)/2))/(LN(2)/2)*BL58*BO58*VLOOKUP('Données projet'!$B$11,Paramètres!$A$1:$I$89,3,0)*0.475*44/12</f>
        <v>3.7874653954283856E-3</v>
      </c>
      <c r="BS58" s="22">
        <f t="shared" si="9"/>
        <v>9.1825747173162107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6.8</v>
      </c>
      <c r="BY58" s="12">
        <f>IF('Données projet'!$A$114&gt;35,BY57+BX58-CG57,IF(A58&lt;'Données projet'!$A$114,$BV$205^A58,IF(A58='Données projet'!$A$114,'Données projet'!$B$114,BY57+BX58-CG57)))</f>
        <v>275.99999999999989</v>
      </c>
      <c r="BZ58" s="13">
        <f>BY58*VLOOKUP('Données projet'!$B$12,Paramètres!$A$1:$I$89,3,0)*VLOOKUP('Données projet'!$B$12,Paramètres!$A$1:$I$89,5,0)</f>
        <v>219.58559999999991</v>
      </c>
      <c r="CA58" s="13">
        <f t="shared" si="39"/>
        <v>54.024808047218549</v>
      </c>
      <c r="CB58" s="20">
        <f t="shared" si="10"/>
        <v>476.53812734890556</v>
      </c>
      <c r="CC58" s="59">
        <f t="shared" si="11"/>
        <v>769.87146068223888</v>
      </c>
      <c r="CD58" s="59">
        <f ca="1">AVERAGE(OFFSET($CC$3,0,0,'Données projet'!$E$12+1,1))-AVERAGE(OFFSET($H$3,0,0,'Données projet'!$E$12+1,1))</f>
        <v>260.20517190557814</v>
      </c>
      <c r="CE58" s="59">
        <f t="shared" si="40"/>
        <v>307.22009971147133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1.9888149182417523</v>
      </c>
      <c r="CL58" s="21">
        <f>EXP(-LN(2)/25)*CL57+(1-EXP(-LN(2)/25))/(LN(2)/25)*Calculateur!CG58*Calculateur!CI58*VLOOKUP('Données projet'!$B$12,Paramètres!$A$1:$I$89,3,0)*0.475*44/12</f>
        <v>10.2598013623985</v>
      </c>
      <c r="CM58" s="21">
        <f>EXP(-LN(2)/2)*CM57+(1-EXP(-LN(2)/2))/(LN(2)/2)*CG58*CJ58*VLOOKUP('Données projet'!$B$12,Paramètres!$A$1:$I$89,3,0)*0.475*44/12</f>
        <v>4.149942415356535E-3</v>
      </c>
      <c r="CN58" s="22">
        <f t="shared" si="12"/>
        <v>12.252766223055609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>
        <f>VLOOKUP(A58,'Données projet'!$A$139:$I$159,2,0)</f>
        <v>198.44230769230768</v>
      </c>
      <c r="CR58" s="12">
        <f>VLOOKUP(A58,'Données projet'!$A$139:$I$159,9,0)</f>
        <v>8.8736263736263741</v>
      </c>
      <c r="CS58" s="12">
        <f t="array" ref="CS58">INDEX(CR:CR,MIN(IF(ISNUMBER(CR58:CR254),ROW(CR58:CR254),"")))</f>
        <v>8.8736263736263741</v>
      </c>
      <c r="CT58" s="12">
        <f>IF('Données projet'!$A$140&gt;35,CT57+CS58-DB57,IF(A58&lt;'Données projet'!$A$140,$CQ$205^A58,IF(A58='Données projet'!$A$140,'Données projet'!$B$140,CT57+CS58-DB57)))</f>
        <v>198.44230769230768</v>
      </c>
      <c r="CU58" s="17">
        <f>CT58*VLOOKUP('Données projet'!$B$13,Paramètres!$A$1:$I$89,3,0)*VLOOKUP('Données projet'!$B$13,Paramètres!$A$1:$I$89,5,0)</f>
        <v>201.22049999999999</v>
      </c>
      <c r="CV58" s="13">
        <f t="shared" si="41"/>
        <v>50.012301634497518</v>
      </c>
      <c r="CW58" s="20">
        <f t="shared" si="13"/>
        <v>437.5637961800831</v>
      </c>
      <c r="CX58" s="59">
        <f t="shared" si="14"/>
        <v>730.89712951341642</v>
      </c>
      <c r="CY58" s="59">
        <f ca="1">AVERAGE(OFFSET($CX$3,0,0,'Données projet'!$E$13+1,1))-AVERAGE(OFFSET($H$3,0,0,'Données projet'!$E$13+1,1))</f>
        <v>263.15518481854753</v>
      </c>
      <c r="CZ58" s="59">
        <f t="shared" si="42"/>
        <v>210.80755370263819</v>
      </c>
      <c r="DA58" s="15">
        <f>IF(ISNA(VLOOKUP(A58,'Données projet'!$A$139:$I$159,3,0)),0,VLOOKUP(A58,'Données projet'!$A$139:$I$159,3,0))</f>
        <v>4</v>
      </c>
      <c r="DB58" s="15">
        <f>IF(ISNA(VLOOKUP(A58,'Données projet'!$A$139:$I$159,4,0)),0,VLOOKUP(A58,'Données projet'!$A$139:$I$159,4,0))</f>
        <v>45.147435897435898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0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6.4</v>
      </c>
      <c r="DO58" s="12">
        <f>IF('Données projet'!$A$166&gt;35,DO57+DN58-DW57,IF(A58&lt;'Données projet'!$A$166,$DL$205^A58,IF(A58='Données projet'!$A$166,'Données projet'!$B$166,DO57+DN58-DW57)))</f>
        <v>217.99999999999994</v>
      </c>
      <c r="DP58" s="17">
        <f>DO58*VLOOKUP('Données projet'!$B$14,Paramètres!$A$1:$I$89,3,0)*VLOOKUP('Données projet'!$B$14,Paramètres!$A$1:$I$89,5,0)</f>
        <v>176.84159999999997</v>
      </c>
      <c r="DQ58" s="13">
        <f t="shared" si="43"/>
        <v>44.618778032982917</v>
      </c>
      <c r="DR58" s="20">
        <f t="shared" si="16"/>
        <v>385.71015840744514</v>
      </c>
      <c r="DS58" s="59">
        <f t="shared" si="17"/>
        <v>679.04349174077845</v>
      </c>
      <c r="DT58" s="59">
        <f ca="1">AVERAGE(OFFSET($DS$3,0,0,'Données projet'!$E$14+1,1))-AVERAGE(OFFSET($H$3,0,0,'Données projet'!$E$14+1,1))</f>
        <v>203.21935660591021</v>
      </c>
      <c r="DU58" s="59">
        <f t="shared" si="44"/>
        <v>180.54762778843178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0.61107628606787412</v>
      </c>
      <c r="EB58" s="21">
        <f>EXP(-LN(2)/25)*EB57+(1-EXP(-LN(2)/25))/(LN(2)/25)*Calculateur!DW58*Calculateur!DY58*VLOOKUP('Données projet'!$B$14,Paramètres!$A$1:$I$89,3,0)*0.475*44/12</f>
        <v>2.9018504773211169</v>
      </c>
      <c r="EC58" s="21">
        <f>EXP(-LN(2)/2)*EC57+(1-EXP(-LN(2)/2))/(LN(2)/2)*DW58*DZ58*VLOOKUP('Données projet'!$B$14,Paramètres!$A$1:$I$89,3,0)*0.475*44/12</f>
        <v>1.564522871121829E-3</v>
      </c>
      <c r="ED58" s="22">
        <f t="shared" si="18"/>
        <v>3.5144912862601125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6.8</v>
      </c>
      <c r="EJ58" s="12">
        <f>IF('Données projet'!$A$192&gt;35,EJ57+EI58-ER57,IF(A58&lt;'Données projet'!$A$192,$EG$205^A58,IF(A58='Données projet'!$A$192,'Données projet'!$B$192,EJ57+EI58-ER57)))</f>
        <v>275.99999999999989</v>
      </c>
      <c r="EK58" s="17">
        <f>EJ58*VLOOKUP('Données projet'!$B$15,Paramètres!$A$1:$I$89,3,0)*VLOOKUP('Données projet'!$B$15,Paramètres!$A$1:$I$89,5,0)</f>
        <v>185.14079999999993</v>
      </c>
      <c r="EL58" s="13">
        <f t="shared" si="45"/>
        <v>46.464038253813463</v>
      </c>
      <c r="EM58" s="20">
        <f t="shared" si="19"/>
        <v>403.37842662539168</v>
      </c>
      <c r="EN58" s="59">
        <f t="shared" si="20"/>
        <v>696.711759958725</v>
      </c>
      <c r="EO58" s="59">
        <f ca="1">AVERAGE(OFFSET($EN$3,0,0,'Données projet'!$E$15+1,1))-AVERAGE(OFFSET($H$3,0,0,'Données projet'!$E$15+1,1))</f>
        <v>207.93042467236967</v>
      </c>
      <c r="EP58" s="59">
        <f t="shared" si="46"/>
        <v>250.70954318710835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1.6768439506744184</v>
      </c>
      <c r="EW58" s="21">
        <f>EXP(-LN(2)/25)*EW57+(1-EXP(-LN(2)/25))/(LN(2)/25)*Calculateur!ER58*Calculateur!ET58*VLOOKUP('Données projet'!$B$15,Paramètres!$A$1:$I$89,3,0)*0.475*44/12</f>
        <v>8.6504207565320748</v>
      </c>
      <c r="EX58" s="21">
        <f>EXP(-LN(2)/2)*EX57+(1-EXP(-LN(2)/2))/(LN(2)/2)*ER58*EU58*VLOOKUP('Données projet'!$B$15,Paramètres!$A$1:$I$89,3,0)*0.475*44/12</f>
        <v>3.4989710560849215E-3</v>
      </c>
      <c r="EY58" s="22">
        <f t="shared" si="21"/>
        <v>10.33076367826258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-2.2737367544323206E-13</v>
      </c>
      <c r="O59" s="13">
        <f>N59*VLOOKUP('Données projet'!$B$9,Paramètres!$A$1:$I$89,3,0)*VLOOKUP('Données projet'!$B$9,Paramètres!$A$1:$I$89,5,0)</f>
        <v>-1.2710188457276673E-13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255.5374979188561</v>
      </c>
      <c r="T59" s="59">
        <f t="shared" si="34"/>
        <v>343.10418468620901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1.8464686473077545</v>
      </c>
      <c r="AA59" s="21">
        <f>EXP(-LN(2)/25)*AA58+(1-EXP(-LN(2)/25))/(LN(2)/25)*Calculateur!V59*Calculateur!X59*VLOOKUP('Données projet'!$B$9,Paramètres!$A$1:$I$89,3,0)*0.475*44/12</f>
        <v>7.7619125025186415</v>
      </c>
      <c r="AB59" s="21">
        <f>EXP(-LN(2)/2)*AB58+(1-EXP(-LN(2)/2))/(LN(2)/2)*V59*Y59*VLOOKUP('Données projet'!$B$9,Paramètres!$A$1:$I$89,3,0)*0.475*44/12</f>
        <v>2.0662256829273267E-4</v>
      </c>
      <c r="AC59" s="22">
        <f t="shared" si="3"/>
        <v>9.6085877723946886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348.05384615384617</v>
      </c>
      <c r="AG59" s="12">
        <f>VLOOKUP(A59,'Données projet'!$A$61:$I$81,9,0)</f>
        <v>14.668131868131875</v>
      </c>
      <c r="AH59" s="12">
        <f t="array" ref="AH59">INDEX(AG:AG,MIN(IF(ISNUMBER(AG59:AG255),ROW(AG59:AG255),"")))</f>
        <v>14.668131868131875</v>
      </c>
      <c r="AI59" s="13">
        <f>IF('Données projet'!$A$62&gt;35,AI58+AH59-AQ58,IF(A59&lt;'Données projet'!$A$62,$AF$205^A59,IF(A59='Données projet'!$A$62,'Données projet'!$B$62,AI58+AH59-AQ58)))</f>
        <v>348.05384615384617</v>
      </c>
      <c r="AJ59" s="13">
        <f>AI59*VLOOKUP('Données projet'!$B$10,Paramètres!$A$1:$I$89,3,0)*VLOOKUP('Données projet'!$B$10,Paramètres!$A$1:$I$89,5,0)</f>
        <v>162.88919999999999</v>
      </c>
      <c r="AK59" s="13">
        <f t="shared" si="35"/>
        <v>41.493502222820894</v>
      </c>
      <c r="AL59" s="20">
        <f t="shared" si="4"/>
        <v>355.96653970474637</v>
      </c>
      <c r="AM59" s="59">
        <f t="shared" si="5"/>
        <v>649.29987303807968</v>
      </c>
      <c r="AN59" s="59">
        <f ca="1">AVERAGE(OFFSET($AM$3,0,0,'Données projet'!$E$10+1,1))-AVERAGE(OFFSET($H$3,0,0,'Données projet'!$E$10+1,1))</f>
        <v>158.58786357608489</v>
      </c>
      <c r="AO59" s="59">
        <f t="shared" si="36"/>
        <v>163.20074068819849</v>
      </c>
      <c r="AP59" s="15">
        <f>IF(ISNA(VLOOKUP(A59,'Données projet'!$A$61:$I$81,3,0)),0,VLOOKUP(A59,'Données projet'!$A$61:$I$81,3,0))</f>
        <v>3</v>
      </c>
      <c r="AQ59" s="15">
        <f>IF(ISNA(VLOOKUP(A59,'Données projet'!$A$61:$I$81,4,0)),0,VLOOKUP(A59,'Données projet'!$A$61:$I$81,4,0))</f>
        <v>72.769230769230759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18</v>
      </c>
      <c r="BD59" s="12">
        <f>IF('Données projet'!$A$88&gt;35,BD58+BC59-BL58,IF(A59&lt;'Données projet'!$A$88,$BA$205^A59,IF(A59='Données projet'!$A$88,'Données projet'!$B$88,BD58+BC59-BL58)))</f>
        <v>435.99999999999972</v>
      </c>
      <c r="BE59" s="13">
        <f>BD59*VLOOKUP('Données projet'!$B$11,Paramètres!$A$1:$I$89,3,0)*VLOOKUP('Données projet'!$B$11,Paramètres!$A$1:$I$89,5,0)</f>
        <v>260.72799999999984</v>
      </c>
      <c r="BF59" s="13">
        <f t="shared" si="37"/>
        <v>62.87753287516481</v>
      </c>
      <c r="BG59" s="20">
        <f t="shared" si="7"/>
        <v>563.61296975757841</v>
      </c>
      <c r="BH59" s="59">
        <f t="shared" si="8"/>
        <v>856.94630309091167</v>
      </c>
      <c r="BI59" s="59">
        <f ca="1">AVERAGE(OFFSET($BH$3,0,0,'Données projet'!$E$11+1,1))-AVERAGE(OFFSET($H$3,0,0,'Données projet'!$E$11+1,1))</f>
        <v>316.58509520829671</v>
      </c>
      <c r="BJ59" s="59">
        <f t="shared" si="38"/>
        <v>240.71332110643596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1.5145308373578201</v>
      </c>
      <c r="BQ59" s="21">
        <f>EXP(-LN(2)/25)*BQ58+(1-EXP(-LN(2)/25))/(LN(2)/25)*Calculateur!BL59*Calculateur!BN59*VLOOKUP('Données projet'!$B$11,Paramètres!$A$1:$I$89,3,0)*0.475*44/12</f>
        <v>7.4252122307577411</v>
      </c>
      <c r="BR59" s="21">
        <f>EXP(-LN(2)/2)*BR58+(1-EXP(-LN(2)/2))/(LN(2)/2)*BL59*BO59*VLOOKUP('Données projet'!$B$11,Paramètres!$A$1:$I$89,3,0)*0.475*44/12</f>
        <v>2.6781424646168004E-3</v>
      </c>
      <c r="BS59" s="22">
        <f t="shared" si="9"/>
        <v>8.9424212105801786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6.8</v>
      </c>
      <c r="BY59" s="12">
        <f>IF('Données projet'!$A$114&gt;35,BY58+BX59-CG58,IF(A59&lt;'Données projet'!$A$114,$BV$205^A59,IF(A59='Données projet'!$A$114,'Données projet'!$B$114,BY58+BX59-CG58)))</f>
        <v>282.7999999999999</v>
      </c>
      <c r="BZ59" s="13">
        <f>BY59*VLOOKUP('Données projet'!$B$12,Paramètres!$A$1:$I$89,3,0)*VLOOKUP('Données projet'!$B$12,Paramètres!$A$1:$I$89,5,0)</f>
        <v>224.99567999999994</v>
      </c>
      <c r="CA59" s="13">
        <f t="shared" si="39"/>
        <v>55.199249109676629</v>
      </c>
      <c r="CB59" s="20">
        <f t="shared" si="10"/>
        <v>488.00616819935334</v>
      </c>
      <c r="CC59" s="59">
        <f t="shared" si="11"/>
        <v>781.33950153268665</v>
      </c>
      <c r="CD59" s="59">
        <f ca="1">AVERAGE(OFFSET($CC$3,0,0,'Données projet'!$E$12+1,1))-AVERAGE(OFFSET($H$3,0,0,'Données projet'!$E$12+1,1))</f>
        <v>260.20517190557814</v>
      </c>
      <c r="CE59" s="59">
        <f t="shared" si="40"/>
        <v>307.22009971147133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1.9498154707523523</v>
      </c>
      <c r="CL59" s="21">
        <f>EXP(-LN(2)/25)*CL58+(1-EXP(-LN(2)/25))/(LN(2)/25)*Calculateur!CG59*Calculateur!CI59*VLOOKUP('Données projet'!$B$12,Paramètres!$A$1:$I$89,3,0)*0.475*44/12</f>
        <v>9.9792465546042077</v>
      </c>
      <c r="CM59" s="21">
        <f>EXP(-LN(2)/2)*CM58+(1-EXP(-LN(2)/2))/(LN(2)/2)*CG59*CJ59*VLOOKUP('Données projet'!$B$12,Paramètres!$A$1:$I$89,3,0)*0.475*44/12</f>
        <v>2.9344524234322859E-3</v>
      </c>
      <c r="CN59" s="22">
        <f t="shared" si="12"/>
        <v>11.931996477779991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8.374198717948719</v>
      </c>
      <c r="CT59" s="12">
        <f>IF('Données projet'!$A$140&gt;35,CT58+CS59-DB58,IF(A59&lt;'Données projet'!$A$140,$CQ$205^A59,IF(A59='Données projet'!$A$140,'Données projet'!$B$140,CT58+CS59-DB58)))</f>
        <v>161.6690705128205</v>
      </c>
      <c r="CU59" s="17">
        <f>CT59*VLOOKUP('Données projet'!$B$13,Paramètres!$A$1:$I$89,3,0)*VLOOKUP('Données projet'!$B$13,Paramètres!$A$1:$I$89,5,0)</f>
        <v>163.93243749999999</v>
      </c>
      <c r="CV59" s="13">
        <f t="shared" si="41"/>
        <v>41.728230370613375</v>
      </c>
      <c r="CW59" s="20">
        <f t="shared" si="13"/>
        <v>358.19232987465165</v>
      </c>
      <c r="CX59" s="59">
        <f t="shared" si="14"/>
        <v>651.52566320798496</v>
      </c>
      <c r="CY59" s="59">
        <f ca="1">AVERAGE(OFFSET($CX$3,0,0,'Données projet'!$E$13+1,1))-AVERAGE(OFFSET($H$3,0,0,'Données projet'!$E$13+1,1))</f>
        <v>263.15518481854753</v>
      </c>
      <c r="CZ59" s="59">
        <f t="shared" si="42"/>
        <v>210.80755370263819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0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6.4</v>
      </c>
      <c r="DO59" s="12">
        <f>IF('Données projet'!$A$166&gt;35,DO58+DN59-DW58,IF(A59&lt;'Données projet'!$A$166,$DL$205^A59,IF(A59='Données projet'!$A$166,'Données projet'!$B$166,DO58+DN59-DW58)))</f>
        <v>224.39999999999995</v>
      </c>
      <c r="DP59" s="17">
        <f>DO59*VLOOKUP('Données projet'!$B$14,Paramètres!$A$1:$I$89,3,0)*VLOOKUP('Données projet'!$B$14,Paramètres!$A$1:$I$89,5,0)</f>
        <v>182.03327999999996</v>
      </c>
      <c r="DQ59" s="13">
        <f t="shared" si="43"/>
        <v>45.774257349740239</v>
      </c>
      <c r="DR59" s="20">
        <f t="shared" si="16"/>
        <v>396.76479421746416</v>
      </c>
      <c r="DS59" s="59">
        <f t="shared" si="17"/>
        <v>690.09812755079747</v>
      </c>
      <c r="DT59" s="59">
        <f ca="1">AVERAGE(OFFSET($DS$3,0,0,'Données projet'!$E$14+1,1))-AVERAGE(OFFSET($H$3,0,0,'Données projet'!$E$14+1,1))</f>
        <v>203.21935660591021</v>
      </c>
      <c r="DU59" s="59">
        <f t="shared" si="44"/>
        <v>180.54762778843178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0.59909345281781456</v>
      </c>
      <c r="EB59" s="21">
        <f>EXP(-LN(2)/25)*EB58+(1-EXP(-LN(2)/25))/(LN(2)/25)*Calculateur!DW59*Calculateur!DY59*VLOOKUP('Données projet'!$B$14,Paramètres!$A$1:$I$89,3,0)*0.475*44/12</f>
        <v>2.8224992234170867</v>
      </c>
      <c r="EC59" s="21">
        <f>EXP(-LN(2)/2)*EC58+(1-EXP(-LN(2)/2))/(LN(2)/2)*DW59*DZ59*VLOOKUP('Données projet'!$B$14,Paramètres!$A$1:$I$89,3,0)*0.475*44/12</f>
        <v>1.1062847314916922E-3</v>
      </c>
      <c r="ED59" s="22">
        <f t="shared" si="18"/>
        <v>3.4226989609663931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6.8</v>
      </c>
      <c r="EJ59" s="12">
        <f>IF('Données projet'!$A$192&gt;35,EJ58+EI59-ER58,IF(A59&lt;'Données projet'!$A$192,$EG$205^A59,IF(A59='Données projet'!$A$192,'Données projet'!$B$192,EJ58+EI59-ER58)))</f>
        <v>282.7999999999999</v>
      </c>
      <c r="EK59" s="17">
        <f>EJ59*VLOOKUP('Données projet'!$B$15,Paramètres!$A$1:$I$89,3,0)*VLOOKUP('Données projet'!$B$15,Paramètres!$A$1:$I$89,5,0)</f>
        <v>189.70223999999993</v>
      </c>
      <c r="EL59" s="13">
        <f t="shared" si="45"/>
        <v>47.474116335075863</v>
      </c>
      <c r="EM59" s="20">
        <f t="shared" si="19"/>
        <v>413.08215395025701</v>
      </c>
      <c r="EN59" s="59">
        <f t="shared" si="20"/>
        <v>706.41548728359032</v>
      </c>
      <c r="EO59" s="59">
        <f ca="1">AVERAGE(OFFSET($EN$3,0,0,'Données projet'!$E$15+1,1))-AVERAGE(OFFSET($H$3,0,0,'Données projet'!$E$15+1,1))</f>
        <v>207.93042467236967</v>
      </c>
      <c r="EP59" s="59">
        <f t="shared" si="46"/>
        <v>250.70954318710835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1.6439620635755123</v>
      </c>
      <c r="EW59" s="21">
        <f>EXP(-LN(2)/25)*EW58+(1-EXP(-LN(2)/25))/(LN(2)/25)*Calculateur!ER59*Calculateur!ET59*VLOOKUP('Données projet'!$B$15,Paramètres!$A$1:$I$89,3,0)*0.475*44/12</f>
        <v>8.4138745460388478</v>
      </c>
      <c r="EX59" s="21">
        <f>EXP(-LN(2)/2)*EX58+(1-EXP(-LN(2)/2))/(LN(2)/2)*ER59*EU59*VLOOKUP('Données projet'!$B$15,Paramètres!$A$1:$I$89,3,0)*0.475*44/12</f>
        <v>2.4741461609331036E-3</v>
      </c>
      <c r="EY59" s="22">
        <f t="shared" si="21"/>
        <v>10.060310755775294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-2.2737367544323206E-13</v>
      </c>
      <c r="O60" s="13">
        <f>N60*VLOOKUP('Données projet'!$B$9,Paramètres!$A$1:$I$89,3,0)*VLOOKUP('Données projet'!$B$9,Paramètres!$A$1:$I$89,5,0)</f>
        <v>-1.2710188457276673E-13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255.5374979188561</v>
      </c>
      <c r="T60" s="59">
        <f t="shared" si="34"/>
        <v>343.10418468620901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1.8102605233687179</v>
      </c>
      <c r="AA60" s="21">
        <f>EXP(-LN(2)/25)*AA59+(1-EXP(-LN(2)/25))/(LN(2)/25)*Calculateur!V60*Calculateur!X60*VLOOKUP('Données projet'!$B$9,Paramètres!$A$1:$I$89,3,0)*0.475*44/12</f>
        <v>7.5496625969560309</v>
      </c>
      <c r="AB60" s="21">
        <f>EXP(-LN(2)/2)*AB59+(1-EXP(-LN(2)/2))/(LN(2)/2)*V60*Y60*VLOOKUP('Données projet'!$B$9,Paramètres!$A$1:$I$89,3,0)*0.475*44/12</f>
        <v>1.4610421918597179E-4</v>
      </c>
      <c r="AC60" s="22">
        <f t="shared" si="3"/>
        <v>9.3600692245439348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14.270329670329668</v>
      </c>
      <c r="AI60" s="13">
        <f>IF('Données projet'!$A$62&gt;35,AI59+AH60-AQ59,IF(A60&lt;'Données projet'!$A$62,$AF$205^A60,IF(A60='Données projet'!$A$62,'Données projet'!$B$62,AI59+AH60-AQ59)))</f>
        <v>289.55494505494505</v>
      </c>
      <c r="AJ60" s="13">
        <f>AI60*VLOOKUP('Données projet'!$B$10,Paramètres!$A$1:$I$89,3,0)*VLOOKUP('Données projet'!$B$10,Paramètres!$A$1:$I$89,5,0)</f>
        <v>135.51171428571428</v>
      </c>
      <c r="AK60" s="13">
        <f t="shared" si="35"/>
        <v>35.26686051307076</v>
      </c>
      <c r="AL60" s="20">
        <f t="shared" si="4"/>
        <v>297.43935110788397</v>
      </c>
      <c r="AM60" s="59">
        <f t="shared" si="5"/>
        <v>590.77268444121728</v>
      </c>
      <c r="AN60" s="59">
        <f ca="1">AVERAGE(OFFSET($AM$3,0,0,'Données projet'!$E$10+1,1))-AVERAGE(OFFSET($H$3,0,0,'Données projet'!$E$10+1,1))</f>
        <v>158.58786357608489</v>
      </c>
      <c r="AO60" s="59">
        <f t="shared" si="36"/>
        <v>163.20074068819849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18</v>
      </c>
      <c r="BD60" s="12">
        <f>IF('Données projet'!$A$88&gt;35,BD59+BC60-BL59,IF(A60&lt;'Données projet'!$A$88,$BA$205^A60,IF(A60='Données projet'!$A$88,'Données projet'!$B$88,BD59+BC60-BL59)))</f>
        <v>453.99999999999972</v>
      </c>
      <c r="BE60" s="13">
        <f>BD60*VLOOKUP('Données projet'!$B$11,Paramètres!$A$1:$I$89,3,0)*VLOOKUP('Données projet'!$B$11,Paramètres!$A$1:$I$89,5,0)</f>
        <v>271.49199999999985</v>
      </c>
      <c r="BF60" s="13">
        <f t="shared" si="37"/>
        <v>65.165807717935309</v>
      </c>
      <c r="BG60" s="20">
        <f t="shared" si="7"/>
        <v>586.3456817754037</v>
      </c>
      <c r="BH60" s="59">
        <f t="shared" si="8"/>
        <v>879.67901510873708</v>
      </c>
      <c r="BI60" s="59">
        <f ca="1">AVERAGE(OFFSET($BH$3,0,0,'Données projet'!$E$11+1,1))-AVERAGE(OFFSET($H$3,0,0,'Données projet'!$E$11+1,1))</f>
        <v>316.58509520829671</v>
      </c>
      <c r="BJ60" s="59">
        <f t="shared" si="38"/>
        <v>240.71332110643596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1.4848318114098291</v>
      </c>
      <c r="BQ60" s="21">
        <f>EXP(-LN(2)/25)*BQ59+(1-EXP(-LN(2)/25))/(LN(2)/25)*Calculateur!BL60*Calculateur!BN60*VLOOKUP('Données projet'!$B$11,Paramètres!$A$1:$I$89,3,0)*0.475*44/12</f>
        <v>7.2221694118327298</v>
      </c>
      <c r="BR60" s="21">
        <f>EXP(-LN(2)/2)*BR59+(1-EXP(-LN(2)/2))/(LN(2)/2)*BL60*BO60*VLOOKUP('Données projet'!$B$11,Paramètres!$A$1:$I$89,3,0)*0.475*44/12</f>
        <v>1.893732697714193E-3</v>
      </c>
      <c r="BS60" s="22">
        <f t="shared" si="9"/>
        <v>8.7088949559402735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6.8</v>
      </c>
      <c r="BY60" s="12">
        <f>IF('Données projet'!$A$114&gt;35,BY59+BX60-CG59,IF(A60&lt;'Données projet'!$A$114,$BV$205^A60,IF(A60='Données projet'!$A$114,'Données projet'!$B$114,BY59+BX60-CG59)))</f>
        <v>289.59999999999991</v>
      </c>
      <c r="BZ60" s="13">
        <f>BY60*VLOOKUP('Données projet'!$B$12,Paramètres!$A$1:$I$89,3,0)*VLOOKUP('Données projet'!$B$12,Paramètres!$A$1:$I$89,5,0)</f>
        <v>230.40575999999996</v>
      </c>
      <c r="CA60" s="13">
        <f t="shared" si="39"/>
        <v>56.370407327556237</v>
      </c>
      <c r="CB60" s="20">
        <f t="shared" si="10"/>
        <v>499.46849142882706</v>
      </c>
      <c r="CC60" s="59">
        <f t="shared" si="11"/>
        <v>792.80182476216032</v>
      </c>
      <c r="CD60" s="59">
        <f ca="1">AVERAGE(OFFSET($CC$3,0,0,'Données projet'!$E$12+1,1))-AVERAGE(OFFSET($H$3,0,0,'Données projet'!$E$12+1,1))</f>
        <v>260.20517190557814</v>
      </c>
      <c r="CE60" s="59">
        <f t="shared" si="40"/>
        <v>307.22009971147133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1.9115807786409051</v>
      </c>
      <c r="CL60" s="21">
        <f>EXP(-LN(2)/25)*CL59+(1-EXP(-LN(2)/25))/(LN(2)/25)*Calculateur!CG60*Calculateur!CI60*VLOOKUP('Données projet'!$B$12,Paramètres!$A$1:$I$89,3,0)*0.475*44/12</f>
        <v>9.7063635327827864</v>
      </c>
      <c r="CM60" s="21">
        <f>EXP(-LN(2)/2)*CM59+(1-EXP(-LN(2)/2))/(LN(2)/2)*CG60*CJ60*VLOOKUP('Données projet'!$B$12,Paramètres!$A$1:$I$89,3,0)*0.475*44/12</f>
        <v>2.0749712076782675E-3</v>
      </c>
      <c r="CN60" s="22">
        <f t="shared" si="12"/>
        <v>11.62001928263137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8.374198717948719</v>
      </c>
      <c r="CT60" s="12">
        <f>IF('Données projet'!$A$140&gt;35,CT59+CS60-DB59,IF(A60&lt;'Données projet'!$A$140,$CQ$205^A60,IF(A60='Données projet'!$A$140,'Données projet'!$B$140,CT59+CS60-DB59)))</f>
        <v>170.04326923076923</v>
      </c>
      <c r="CU60" s="17">
        <f>CT60*VLOOKUP('Données projet'!$B$13,Paramètres!$A$1:$I$89,3,0)*VLOOKUP('Données projet'!$B$13,Paramètres!$A$1:$I$89,5,0)</f>
        <v>172.42387500000001</v>
      </c>
      <c r="CV60" s="13">
        <f t="shared" si="41"/>
        <v>43.632442843289994</v>
      </c>
      <c r="CW60" s="20">
        <f t="shared" si="13"/>
        <v>376.29808691039671</v>
      </c>
      <c r="CX60" s="59">
        <f t="shared" si="14"/>
        <v>669.63142024372996</v>
      </c>
      <c r="CY60" s="59">
        <f ca="1">AVERAGE(OFFSET($CX$3,0,0,'Données projet'!$E$13+1,1))-AVERAGE(OFFSET($H$3,0,0,'Données projet'!$E$13+1,1))</f>
        <v>263.15518481854753</v>
      </c>
      <c r="CZ60" s="59">
        <f t="shared" si="42"/>
        <v>210.80755370263819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0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6.4</v>
      </c>
      <c r="DO60" s="12">
        <f>IF('Données projet'!$A$166&gt;35,DO59+DN60-DW59,IF(A60&lt;'Données projet'!$A$166,$DL$205^A60,IF(A60='Données projet'!$A$166,'Données projet'!$B$166,DO59+DN60-DW59)))</f>
        <v>230.79999999999995</v>
      </c>
      <c r="DP60" s="17">
        <f>DO60*VLOOKUP('Données projet'!$B$14,Paramètres!$A$1:$I$89,3,0)*VLOOKUP('Données projet'!$B$14,Paramètres!$A$1:$I$89,5,0)</f>
        <v>187.22495999999998</v>
      </c>
      <c r="DQ60" s="13">
        <f t="shared" si="43"/>
        <v>46.925906533876862</v>
      </c>
      <c r="DR60" s="20">
        <f t="shared" si="16"/>
        <v>407.81275921316882</v>
      </c>
      <c r="DS60" s="59">
        <f t="shared" si="17"/>
        <v>701.14609254650213</v>
      </c>
      <c r="DT60" s="59">
        <f ca="1">AVERAGE(OFFSET($DS$3,0,0,'Données projet'!$E$14+1,1))-AVERAGE(OFFSET($H$3,0,0,'Données projet'!$E$14+1,1))</f>
        <v>203.21935660591021</v>
      </c>
      <c r="DU60" s="59">
        <f t="shared" si="44"/>
        <v>180.54762778843178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0.58734559561898214</v>
      </c>
      <c r="EB60" s="21">
        <f>EXP(-LN(2)/25)*EB59+(1-EXP(-LN(2)/25))/(LN(2)/25)*Calculateur!DW60*Calculateur!DY60*VLOOKUP('Données projet'!$B$14,Paramètres!$A$1:$I$89,3,0)*0.475*44/12</f>
        <v>2.7453178337239632</v>
      </c>
      <c r="EC60" s="21">
        <f>EXP(-LN(2)/2)*EC59+(1-EXP(-LN(2)/2))/(LN(2)/2)*DW60*DZ60*VLOOKUP('Données projet'!$B$14,Paramètres!$A$1:$I$89,3,0)*0.475*44/12</f>
        <v>7.8226143556091451E-4</v>
      </c>
      <c r="ED60" s="22">
        <f t="shared" si="18"/>
        <v>3.3334456907785062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6.8</v>
      </c>
      <c r="EJ60" s="12">
        <f>IF('Données projet'!$A$192&gt;35,EJ59+EI60-ER59,IF(A60&lt;'Données projet'!$A$192,$EG$205^A60,IF(A60='Données projet'!$A$192,'Données projet'!$B$192,EJ59+EI60-ER59)))</f>
        <v>289.59999999999991</v>
      </c>
      <c r="EK60" s="17">
        <f>EJ60*VLOOKUP('Données projet'!$B$15,Paramètres!$A$1:$I$89,3,0)*VLOOKUP('Données projet'!$B$15,Paramètres!$A$1:$I$89,5,0)</f>
        <v>194.26367999999994</v>
      </c>
      <c r="EL60" s="13">
        <f t="shared" si="45"/>
        <v>48.481371005731333</v>
      </c>
      <c r="EM60" s="20">
        <f t="shared" si="19"/>
        <v>422.78096383498195</v>
      </c>
      <c r="EN60" s="59">
        <f t="shared" si="20"/>
        <v>716.11429716831526</v>
      </c>
      <c r="EO60" s="59">
        <f ca="1">AVERAGE(OFFSET($EN$3,0,0,'Données projet'!$E$15+1,1))-AVERAGE(OFFSET($H$3,0,0,'Données projet'!$E$15+1,1))</f>
        <v>207.93042467236967</v>
      </c>
      <c r="EP60" s="59">
        <f t="shared" si="46"/>
        <v>250.70954318710835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1.6117249702266452</v>
      </c>
      <c r="EW60" s="21">
        <f>EXP(-LN(2)/25)*EW59+(1-EXP(-LN(2)/25))/(LN(2)/25)*Calculateur!ER60*Calculateur!ET60*VLOOKUP('Données projet'!$B$15,Paramètres!$A$1:$I$89,3,0)*0.475*44/12</f>
        <v>8.1837967041109838</v>
      </c>
      <c r="EX60" s="21">
        <f>EXP(-LN(2)/2)*EX59+(1-EXP(-LN(2)/2))/(LN(2)/2)*ER60*EU60*VLOOKUP('Données projet'!$B$15,Paramètres!$A$1:$I$89,3,0)*0.475*44/12</f>
        <v>1.7494855280424607E-3</v>
      </c>
      <c r="EY60" s="22">
        <f t="shared" si="21"/>
        <v>9.7972711598656712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-2.2737367544323206E-13</v>
      </c>
      <c r="O61" s="13">
        <f>N61*VLOOKUP('Données projet'!$B$9,Paramètres!$A$1:$I$89,3,0)*VLOOKUP('Données projet'!$B$9,Paramètres!$A$1:$I$89,5,0)</f>
        <v>-1.2710188457276673E-13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255.5374979188561</v>
      </c>
      <c r="T61" s="59">
        <f t="shared" si="34"/>
        <v>343.10418468620901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1.7747624186553508</v>
      </c>
      <c r="AA61" s="21">
        <f>EXP(-LN(2)/25)*AA60+(1-EXP(-LN(2)/25))/(LN(2)/25)*Calculateur!V61*Calculateur!X61*VLOOKUP('Données projet'!$B$9,Paramètres!$A$1:$I$89,3,0)*0.475*44/12</f>
        <v>7.3432166762227675</v>
      </c>
      <c r="AB61" s="21">
        <f>EXP(-LN(2)/2)*AB60+(1-EXP(-LN(2)/2))/(LN(2)/2)*V61*Y61*VLOOKUP('Données projet'!$B$9,Paramètres!$A$1:$I$89,3,0)*0.475*44/12</f>
        <v>1.0331128414636634E-4</v>
      </c>
      <c r="AC61" s="22">
        <f t="shared" si="3"/>
        <v>9.1180824061622641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14.270329670329668</v>
      </c>
      <c r="AI61" s="13">
        <f>IF('Données projet'!$A$62&gt;35,AI60+AH61-AQ60,IF(A61&lt;'Données projet'!$A$62,$AF$205^A61,IF(A61='Données projet'!$A$62,'Données projet'!$B$62,AI60+AH61-AQ60)))</f>
        <v>303.82527472527471</v>
      </c>
      <c r="AJ61" s="13">
        <f>AI61*VLOOKUP('Données projet'!$B$10,Paramètres!$A$1:$I$89,3,0)*VLOOKUP('Données projet'!$B$10,Paramètres!$A$1:$I$89,5,0)</f>
        <v>142.19022857142855</v>
      </c>
      <c r="AK61" s="13">
        <f t="shared" si="35"/>
        <v>36.798301893816983</v>
      </c>
      <c r="AL61" s="20">
        <f t="shared" si="4"/>
        <v>311.7383572269693</v>
      </c>
      <c r="AM61" s="59">
        <f t="shared" si="5"/>
        <v>605.07169056030261</v>
      </c>
      <c r="AN61" s="59">
        <f ca="1">AVERAGE(OFFSET($AM$3,0,0,'Données projet'!$E$10+1,1))-AVERAGE(OFFSET($H$3,0,0,'Données projet'!$E$10+1,1))</f>
        <v>158.58786357608489</v>
      </c>
      <c r="AO61" s="59">
        <f t="shared" si="36"/>
        <v>163.20074068819849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18</v>
      </c>
      <c r="BD61" s="12">
        <f>IF('Données projet'!$A$88&gt;35,BD60+BC61-BL60,IF(A61&lt;'Données projet'!$A$88,$BA$205^A61,IF(A61='Données projet'!$A$88,'Données projet'!$B$88,BD60+BC61-BL60)))</f>
        <v>471.99999999999972</v>
      </c>
      <c r="BE61" s="13">
        <f>BD61*VLOOKUP('Données projet'!$B$11,Paramètres!$A$1:$I$89,3,0)*VLOOKUP('Données projet'!$B$11,Paramètres!$A$1:$I$89,5,0)</f>
        <v>282.25599999999986</v>
      </c>
      <c r="BF61" s="13">
        <f t="shared" si="37"/>
        <v>67.443543636985055</v>
      </c>
      <c r="BG61" s="20">
        <f t="shared" si="7"/>
        <v>609.06003850108198</v>
      </c>
      <c r="BH61" s="59">
        <f t="shared" si="8"/>
        <v>902.39337183441535</v>
      </c>
      <c r="BI61" s="59">
        <f ca="1">AVERAGE(OFFSET($BH$3,0,0,'Données projet'!$E$11+1,1))-AVERAGE(OFFSET($H$3,0,0,'Données projet'!$E$11+1,1))</f>
        <v>316.58509520829671</v>
      </c>
      <c r="BJ61" s="59">
        <f t="shared" si="38"/>
        <v>240.71332110643596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1.4557151652460609</v>
      </c>
      <c r="BQ61" s="21">
        <f>EXP(-LN(2)/25)*BQ60+(1-EXP(-LN(2)/25))/(LN(2)/25)*Calculateur!BL61*Calculateur!BN61*VLOOKUP('Données projet'!$B$11,Paramètres!$A$1:$I$89,3,0)*0.475*44/12</f>
        <v>7.0246788094687806</v>
      </c>
      <c r="BR61" s="21">
        <f>EXP(-LN(2)/2)*BR60+(1-EXP(-LN(2)/2))/(LN(2)/2)*BL61*BO61*VLOOKUP('Données projet'!$B$11,Paramètres!$A$1:$I$89,3,0)*0.475*44/12</f>
        <v>1.3390712323084004E-3</v>
      </c>
      <c r="BS61" s="22">
        <f t="shared" si="9"/>
        <v>8.4817330459471503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6.8</v>
      </c>
      <c r="BY61" s="12">
        <f>IF('Données projet'!$A$114&gt;35,BY60+BX61-CG60,IF(A61&lt;'Données projet'!$A$114,$BV$205^A61,IF(A61='Données projet'!$A$114,'Données projet'!$B$114,BY60+BX61-CG60)))</f>
        <v>296.39999999999992</v>
      </c>
      <c r="BZ61" s="13">
        <f>BY61*VLOOKUP('Données projet'!$B$12,Paramètres!$A$1:$I$89,3,0)*VLOOKUP('Données projet'!$B$12,Paramètres!$A$1:$I$89,5,0)</f>
        <v>235.81583999999995</v>
      </c>
      <c r="CA61" s="13">
        <f t="shared" si="39"/>
        <v>57.538368655200898</v>
      </c>
      <c r="CB61" s="20">
        <f t="shared" si="10"/>
        <v>510.92524674114156</v>
      </c>
      <c r="CC61" s="59">
        <f t="shared" si="11"/>
        <v>804.25858007447482</v>
      </c>
      <c r="CD61" s="59">
        <f ca="1">AVERAGE(OFFSET($CC$3,0,0,'Données projet'!$E$12+1,1))-AVERAGE(OFFSET($H$3,0,0,'Données projet'!$E$12+1,1))</f>
        <v>260.20517190557814</v>
      </c>
      <c r="CE61" s="59">
        <f t="shared" si="40"/>
        <v>307.22009971147133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1.874095845520904</v>
      </c>
      <c r="CL61" s="21">
        <f>EXP(-LN(2)/25)*CL60+(1-EXP(-LN(2)/25))/(LN(2)/25)*Calculateur!CG61*Calculateur!CI61*VLOOKUP('Données projet'!$B$12,Paramètres!$A$1:$I$89,3,0)*0.475*44/12</f>
        <v>9.4409425115433674</v>
      </c>
      <c r="CM61" s="21">
        <f>EXP(-LN(2)/2)*CM60+(1-EXP(-LN(2)/2))/(LN(2)/2)*CG61*CJ61*VLOOKUP('Données projet'!$B$12,Paramètres!$A$1:$I$89,3,0)*0.475*44/12</f>
        <v>1.467226211716143E-3</v>
      </c>
      <c r="CN61" s="22">
        <f t="shared" si="12"/>
        <v>11.316505583275987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8.374198717948719</v>
      </c>
      <c r="CT61" s="12">
        <f>IF('Données projet'!$A$140&gt;35,CT60+CS61-DB60,IF(A61&lt;'Données projet'!$A$140,$CQ$205^A61,IF(A61='Données projet'!$A$140,'Données projet'!$B$140,CT60+CS61-DB60)))</f>
        <v>178.41746794871796</v>
      </c>
      <c r="CU61" s="17">
        <f>CT61*VLOOKUP('Données projet'!$B$13,Paramètres!$A$1:$I$89,3,0)*VLOOKUP('Données projet'!$B$13,Paramètres!$A$1:$I$89,5,0)</f>
        <v>180.91531250000003</v>
      </c>
      <c r="CV61" s="13">
        <f t="shared" si="41"/>
        <v>45.525766180401902</v>
      </c>
      <c r="CW61" s="20">
        <f t="shared" si="13"/>
        <v>394.38487870169996</v>
      </c>
      <c r="CX61" s="59">
        <f t="shared" si="14"/>
        <v>687.71821203503328</v>
      </c>
      <c r="CY61" s="59">
        <f ca="1">AVERAGE(OFFSET($CX$3,0,0,'Données projet'!$E$13+1,1))-AVERAGE(OFFSET($H$3,0,0,'Données projet'!$E$13+1,1))</f>
        <v>263.15518481854753</v>
      </c>
      <c r="CZ61" s="59">
        <f t="shared" si="42"/>
        <v>210.80755370263819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0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6.4</v>
      </c>
      <c r="DO61" s="12">
        <f>IF('Données projet'!$A$166&gt;35,DO60+DN61-DW60,IF(A61&lt;'Données projet'!$A$166,$DL$205^A61,IF(A61='Données projet'!$A$166,'Données projet'!$B$166,DO60+DN61-DW60)))</f>
        <v>237.19999999999996</v>
      </c>
      <c r="DP61" s="17">
        <f>DO61*VLOOKUP('Données projet'!$B$14,Paramètres!$A$1:$I$89,3,0)*VLOOKUP('Données projet'!$B$14,Paramètres!$A$1:$I$89,5,0)</f>
        <v>192.41663999999997</v>
      </c>
      <c r="DQ61" s="13">
        <f t="shared" si="43"/>
        <v>48.073843995796572</v>
      </c>
      <c r="DR61" s="20">
        <f t="shared" si="16"/>
        <v>418.85425962601227</v>
      </c>
      <c r="DS61" s="59">
        <f t="shared" si="17"/>
        <v>712.18759295934558</v>
      </c>
      <c r="DT61" s="59">
        <f ca="1">AVERAGE(OFFSET($DS$3,0,0,'Données projet'!$E$14+1,1))-AVERAGE(OFFSET($H$3,0,0,'Données projet'!$E$14+1,1))</f>
        <v>203.21935660591021</v>
      </c>
      <c r="DU61" s="59">
        <f t="shared" si="44"/>
        <v>180.54762778843178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0.57582810673433338</v>
      </c>
      <c r="EB61" s="21">
        <f>EXP(-LN(2)/25)*EB60+(1-EXP(-LN(2)/25))/(LN(2)/25)*Calculateur!DW61*Calculateur!DY61*VLOOKUP('Données projet'!$B$14,Paramètres!$A$1:$I$89,3,0)*0.475*44/12</f>
        <v>2.6702469731907912</v>
      </c>
      <c r="EC61" s="21">
        <f>EXP(-LN(2)/2)*EC60+(1-EXP(-LN(2)/2))/(LN(2)/2)*DW61*DZ61*VLOOKUP('Données projet'!$B$14,Paramètres!$A$1:$I$89,3,0)*0.475*44/12</f>
        <v>5.5314236574584611E-4</v>
      </c>
      <c r="ED61" s="22">
        <f t="shared" si="18"/>
        <v>3.2466282222908704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6.8</v>
      </c>
      <c r="EJ61" s="12">
        <f>IF('Données projet'!$A$192&gt;35,EJ60+EI61-ER60,IF(A61&lt;'Données projet'!$A$192,$EG$205^A61,IF(A61='Données projet'!$A$192,'Données projet'!$B$192,EJ60+EI61-ER60)))</f>
        <v>296.39999999999992</v>
      </c>
      <c r="EK61" s="17">
        <f>EJ61*VLOOKUP('Données projet'!$B$15,Paramètres!$A$1:$I$89,3,0)*VLOOKUP('Données projet'!$B$15,Paramètres!$A$1:$I$89,5,0)</f>
        <v>198.82511999999997</v>
      </c>
      <c r="EL61" s="13">
        <f t="shared" si="45"/>
        <v>49.485876190816356</v>
      </c>
      <c r="EM61" s="20">
        <f t="shared" si="19"/>
        <v>432.47498503233845</v>
      </c>
      <c r="EN61" s="59">
        <f t="shared" si="20"/>
        <v>725.80831836567177</v>
      </c>
      <c r="EO61" s="59">
        <f ca="1">AVERAGE(OFFSET($EN$3,0,0,'Données projet'!$E$15+1,1))-AVERAGE(OFFSET($H$3,0,0,'Données projet'!$E$15+1,1))</f>
        <v>207.93042467236967</v>
      </c>
      <c r="EP61" s="59">
        <f t="shared" si="46"/>
        <v>250.70954318710835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1.5801200266156639</v>
      </c>
      <c r="EW61" s="21">
        <f>EXP(-LN(2)/25)*EW60+(1-EXP(-LN(2)/25))/(LN(2)/25)*Calculateur!ER61*Calculateur!ET61*VLOOKUP('Données projet'!$B$15,Paramètres!$A$1:$I$89,3,0)*0.475*44/12</f>
        <v>7.9600103528699044</v>
      </c>
      <c r="EX61" s="21">
        <f>EXP(-LN(2)/2)*EX60+(1-EXP(-LN(2)/2))/(LN(2)/2)*ER61*EU61*VLOOKUP('Données projet'!$B$15,Paramètres!$A$1:$I$89,3,0)*0.475*44/12</f>
        <v>1.2370730804665518E-3</v>
      </c>
      <c r="EY61" s="22">
        <f t="shared" si="21"/>
        <v>9.5413674525660337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-2.2737367544323206E-13</v>
      </c>
      <c r="O62" s="13">
        <f>N62*VLOOKUP('Données projet'!$B$9,Paramètres!$A$1:$I$89,3,0)*VLOOKUP('Données projet'!$B$9,Paramètres!$A$1:$I$89,5,0)</f>
        <v>-1.2710188457276673E-13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255.5374979188561</v>
      </c>
      <c r="T62" s="59">
        <f t="shared" si="34"/>
        <v>343.10418468620901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1.7399604101237069</v>
      </c>
      <c r="AA62" s="21">
        <f>EXP(-LN(2)/25)*AA61+(1-EXP(-LN(2)/25))/(LN(2)/25)*Calculateur!V62*Calculateur!X62*VLOOKUP('Données projet'!$B$9,Paramètres!$A$1:$I$89,3,0)*0.475*44/12</f>
        <v>7.1424160300484738</v>
      </c>
      <c r="AB62" s="21">
        <f>EXP(-LN(2)/2)*AB61+(1-EXP(-LN(2)/2))/(LN(2)/2)*V62*Y62*VLOOKUP('Données projet'!$B$9,Paramètres!$A$1:$I$89,3,0)*0.475*44/12</f>
        <v>7.3052109592985895E-5</v>
      </c>
      <c r="AC62" s="22">
        <f t="shared" si="3"/>
        <v>8.8824494922817738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14.270329670329668</v>
      </c>
      <c r="AI62" s="13">
        <f>IF('Données projet'!$A$62&gt;35,AI61+AH62-AQ61,IF(A62&lt;'Données projet'!$A$62,$AF$205^A62,IF(A62='Données projet'!$A$62,'Données projet'!$B$62,AI61+AH62-AQ61)))</f>
        <v>318.09560439560437</v>
      </c>
      <c r="AJ62" s="13">
        <f>AI62*VLOOKUP('Données projet'!$B$10,Paramètres!$A$1:$I$89,3,0)*VLOOKUP('Données projet'!$B$10,Paramètres!$A$1:$I$89,5,0)</f>
        <v>148.86874285714285</v>
      </c>
      <c r="AK62" s="13">
        <f t="shared" si="35"/>
        <v>38.321390217280914</v>
      </c>
      <c r="AL62" s="20">
        <f t="shared" si="4"/>
        <v>326.02281510462137</v>
      </c>
      <c r="AM62" s="59">
        <f t="shared" si="5"/>
        <v>619.35614843795474</v>
      </c>
      <c r="AN62" s="59">
        <f ca="1">AVERAGE(OFFSET($AM$3,0,0,'Données projet'!$E$10+1,1))-AVERAGE(OFFSET($H$3,0,0,'Données projet'!$E$10+1,1))</f>
        <v>158.58786357608489</v>
      </c>
      <c r="AO62" s="59">
        <f t="shared" si="36"/>
        <v>163.20074068819849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18</v>
      </c>
      <c r="BD62" s="12">
        <f>IF('Données projet'!$A$88&gt;35,BD61+BC62-BL61,IF(A62&lt;'Données projet'!$A$88,$BA$205^A62,IF(A62='Données projet'!$A$88,'Données projet'!$B$88,BD61+BC62-BL61)))</f>
        <v>489.99999999999972</v>
      </c>
      <c r="BE62" s="13">
        <f>BD62*VLOOKUP('Données projet'!$B$11,Paramètres!$A$1:$I$89,3,0)*VLOOKUP('Données projet'!$B$11,Paramètres!$A$1:$I$89,5,0)</f>
        <v>293.01999999999987</v>
      </c>
      <c r="BF62" s="13">
        <f t="shared" si="37"/>
        <v>69.711188549176683</v>
      </c>
      <c r="BG62" s="20">
        <f t="shared" si="7"/>
        <v>631.75682005648241</v>
      </c>
      <c r="BH62" s="59">
        <f t="shared" si="8"/>
        <v>925.09015338981567</v>
      </c>
      <c r="BI62" s="59">
        <f ca="1">AVERAGE(OFFSET($BH$3,0,0,'Données projet'!$E$11+1,1))-AVERAGE(OFFSET($H$3,0,0,'Données projet'!$E$11+1,1))</f>
        <v>316.58509520829671</v>
      </c>
      <c r="BJ62" s="59">
        <f t="shared" si="38"/>
        <v>240.71332110643596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1.4271694787541638</v>
      </c>
      <c r="BQ62" s="21">
        <f>EXP(-LN(2)/25)*BQ61+(1-EXP(-LN(2)/25))/(LN(2)/25)*Calculateur!BL62*Calculateur!BN62*VLOOKUP('Données projet'!$B$11,Paramètres!$A$1:$I$89,3,0)*0.475*44/12</f>
        <v>6.8325885980120535</v>
      </c>
      <c r="BR62" s="21">
        <f>EXP(-LN(2)/2)*BR61+(1-EXP(-LN(2)/2))/(LN(2)/2)*BL62*BO62*VLOOKUP('Données projet'!$B$11,Paramètres!$A$1:$I$89,3,0)*0.475*44/12</f>
        <v>9.4686634885709673E-4</v>
      </c>
      <c r="BS62" s="22">
        <f t="shared" si="9"/>
        <v>8.2607049431150745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6.8</v>
      </c>
      <c r="BY62" s="12">
        <f>IF('Données projet'!$A$114&gt;35,BY61+BX62-CG61,IF(A62&lt;'Données projet'!$A$114,$BV$205^A62,IF(A62='Données projet'!$A$114,'Données projet'!$B$114,BY61+BX62-CG61)))</f>
        <v>303.19999999999993</v>
      </c>
      <c r="BZ62" s="13">
        <f>BY62*VLOOKUP('Données projet'!$B$12,Paramètres!$A$1:$I$89,3,0)*VLOOKUP('Données projet'!$B$12,Paramètres!$A$1:$I$89,5,0)</f>
        <v>241.22591999999997</v>
      </c>
      <c r="CA62" s="13">
        <f t="shared" si="39"/>
        <v>58.703214877960853</v>
      </c>
      <c r="CB62" s="20">
        <f t="shared" si="10"/>
        <v>522.37657657911507</v>
      </c>
      <c r="CC62" s="59">
        <f t="shared" si="11"/>
        <v>815.70990991244844</v>
      </c>
      <c r="CD62" s="59">
        <f ca="1">AVERAGE(OFFSET($CC$3,0,0,'Données projet'!$E$12+1,1))-AVERAGE(OFFSET($H$3,0,0,'Données projet'!$E$12+1,1))</f>
        <v>260.20517190557814</v>
      </c>
      <c r="CE62" s="59">
        <f t="shared" si="40"/>
        <v>307.22009971147133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1.8373459690758345</v>
      </c>
      <c r="CL62" s="21">
        <f>EXP(-LN(2)/25)*CL61+(1-EXP(-LN(2)/25))/(LN(2)/25)*Calculateur!CG62*Calculateur!CI62*VLOOKUP('Données projet'!$B$12,Paramètres!$A$1:$I$89,3,0)*0.475*44/12</f>
        <v>9.1827794420876252</v>
      </c>
      <c r="CM62" s="21">
        <f>EXP(-LN(2)/2)*CM61+(1-EXP(-LN(2)/2))/(LN(2)/2)*CG62*CJ62*VLOOKUP('Données projet'!$B$12,Paramètres!$A$1:$I$89,3,0)*0.475*44/12</f>
        <v>1.0374856038391337E-3</v>
      </c>
      <c r="CN62" s="22">
        <f t="shared" si="12"/>
        <v>11.021162896767299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8.374198717948719</v>
      </c>
      <c r="CT62" s="12">
        <f>IF('Données projet'!$A$140&gt;35,CT61+CS62-DB61,IF(A62&lt;'Données projet'!$A$140,$CQ$205^A62,IF(A62='Données projet'!$A$140,'Données projet'!$B$140,CT61+CS62-DB61)))</f>
        <v>186.79166666666669</v>
      </c>
      <c r="CU62" s="17">
        <f>CT62*VLOOKUP('Données projet'!$B$13,Paramètres!$A$1:$I$89,3,0)*VLOOKUP('Données projet'!$B$13,Paramètres!$A$1:$I$89,5,0)</f>
        <v>189.40675000000005</v>
      </c>
      <c r="CV62" s="13">
        <f t="shared" si="41"/>
        <v>47.408769837095754</v>
      </c>
      <c r="CW62" s="20">
        <f t="shared" si="13"/>
        <v>412.45369704960848</v>
      </c>
      <c r="CX62" s="59">
        <f t="shared" si="14"/>
        <v>705.78703038294179</v>
      </c>
      <c r="CY62" s="59">
        <f ca="1">AVERAGE(OFFSET($CX$3,0,0,'Données projet'!$E$13+1,1))-AVERAGE(OFFSET($H$3,0,0,'Données projet'!$E$13+1,1))</f>
        <v>263.15518481854753</v>
      </c>
      <c r="CZ62" s="59">
        <f t="shared" si="42"/>
        <v>210.80755370263819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0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6.4</v>
      </c>
      <c r="DO62" s="12">
        <f>IF('Données projet'!$A$166&gt;35,DO61+DN62-DW61,IF(A62&lt;'Données projet'!$A$166,$DL$205^A62,IF(A62='Données projet'!$A$166,'Données projet'!$B$166,DO61+DN62-DW61)))</f>
        <v>243.59999999999997</v>
      </c>
      <c r="DP62" s="17">
        <f>DO62*VLOOKUP('Données projet'!$B$14,Paramètres!$A$1:$I$89,3,0)*VLOOKUP('Données projet'!$B$14,Paramètres!$A$1:$I$89,5,0)</f>
        <v>197.60831999999999</v>
      </c>
      <c r="DQ62" s="13">
        <f t="shared" si="43"/>
        <v>49.218181392381361</v>
      </c>
      <c r="DR62" s="20">
        <f t="shared" si="16"/>
        <v>429.8894899250642</v>
      </c>
      <c r="DS62" s="59">
        <f t="shared" si="17"/>
        <v>723.22282325839751</v>
      </c>
      <c r="DT62" s="59">
        <f ca="1">AVERAGE(OFFSET($DS$3,0,0,'Données projet'!$E$14+1,1))-AVERAGE(OFFSET($H$3,0,0,'Données projet'!$E$14+1,1))</f>
        <v>203.21935660591021</v>
      </c>
      <c r="DU62" s="59">
        <f t="shared" si="44"/>
        <v>180.54762778843178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0.56453646878173802</v>
      </c>
      <c r="EB62" s="21">
        <f>EXP(-LN(2)/25)*EB61+(1-EXP(-LN(2)/25))/(LN(2)/25)*Calculateur!DW62*Calculateur!DY62*VLOOKUP('Données projet'!$B$14,Paramètres!$A$1:$I$89,3,0)*0.475*44/12</f>
        <v>2.5972289292867035</v>
      </c>
      <c r="EC62" s="21">
        <f>EXP(-LN(2)/2)*EC61+(1-EXP(-LN(2)/2))/(LN(2)/2)*DW62*DZ62*VLOOKUP('Données projet'!$B$14,Paramètres!$A$1:$I$89,3,0)*0.475*44/12</f>
        <v>3.9113071778045725E-4</v>
      </c>
      <c r="ED62" s="22">
        <f t="shared" si="18"/>
        <v>3.1621565287862219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6.8</v>
      </c>
      <c r="EJ62" s="12">
        <f>IF('Données projet'!$A$192&gt;35,EJ61+EI62-ER61,IF(A62&lt;'Données projet'!$A$192,$EG$205^A62,IF(A62='Données projet'!$A$192,'Données projet'!$B$192,EJ61+EI62-ER61)))</f>
        <v>303.19999999999993</v>
      </c>
      <c r="EK62" s="17">
        <f>EJ62*VLOOKUP('Données projet'!$B$15,Paramètres!$A$1:$I$89,3,0)*VLOOKUP('Données projet'!$B$15,Paramètres!$A$1:$I$89,5,0)</f>
        <v>203.38655999999997</v>
      </c>
      <c r="EL62" s="13">
        <f t="shared" si="45"/>
        <v>50.487702229824656</v>
      </c>
      <c r="EM62" s="20">
        <f t="shared" si="19"/>
        <v>442.16434005027787</v>
      </c>
      <c r="EN62" s="59">
        <f t="shared" si="20"/>
        <v>735.49767338361119</v>
      </c>
      <c r="EO62" s="59">
        <f ca="1">AVERAGE(OFFSET($EN$3,0,0,'Données projet'!$E$15+1,1))-AVERAGE(OFFSET($H$3,0,0,'Données projet'!$E$15+1,1))</f>
        <v>207.93042467236967</v>
      </c>
      <c r="EP62" s="59">
        <f t="shared" si="46"/>
        <v>250.70954318710835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1.5491348366717816</v>
      </c>
      <c r="EW62" s="21">
        <f>EXP(-LN(2)/25)*EW61+(1-EXP(-LN(2)/25))/(LN(2)/25)*Calculateur!ER62*Calculateur!ET62*VLOOKUP('Données projet'!$B$15,Paramètres!$A$1:$I$89,3,0)*0.475*44/12</f>
        <v>7.7423434511719256</v>
      </c>
      <c r="EX62" s="21">
        <f>EXP(-LN(2)/2)*EX61+(1-EXP(-LN(2)/2))/(LN(2)/2)*ER62*EU62*VLOOKUP('Données projet'!$B$15,Paramètres!$A$1:$I$89,3,0)*0.475*44/12</f>
        <v>8.7474276402123036E-4</v>
      </c>
      <c r="EY62" s="22">
        <f t="shared" si="21"/>
        <v>9.2923530306077282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-2.2737367544323206E-13</v>
      </c>
      <c r="O63" s="13">
        <f>N63*VLOOKUP('Données projet'!$B$9,Paramètres!$A$1:$I$89,3,0)*VLOOKUP('Données projet'!$B$9,Paramètres!$A$1:$I$89,5,0)</f>
        <v>-1.2710188457276673E-13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255.5374979188561</v>
      </c>
      <c r="T63" s="59">
        <f t="shared" si="34"/>
        <v>343.10418468620901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1.7058408477522393</v>
      </c>
      <c r="AA63" s="21">
        <f>EXP(-LN(2)/25)*AA62+(1-EXP(-LN(2)/25))/(LN(2)/25)*Calculateur!V63*Calculateur!X63*VLOOKUP('Données projet'!$B$9,Paramètres!$A$1:$I$89,3,0)*0.475*44/12</f>
        <v>6.9471062881034635</v>
      </c>
      <c r="AB63" s="21">
        <f>EXP(-LN(2)/2)*AB62+(1-EXP(-LN(2)/2))/(LN(2)/2)*V63*Y63*VLOOKUP('Données projet'!$B$9,Paramètres!$A$1:$I$89,3,0)*0.475*44/12</f>
        <v>5.1655642073183168E-5</v>
      </c>
      <c r="AC63" s="22">
        <f t="shared" si="3"/>
        <v>8.652998791497776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14.270329670329668</v>
      </c>
      <c r="AI63" s="13">
        <f>IF('Données projet'!$A$62&gt;35,AI62+AH63-AQ62,IF(A63&lt;'Données projet'!$A$62,$AF$205^A63,IF(A63='Données projet'!$A$62,'Données projet'!$B$62,AI62+AH63-AQ62)))</f>
        <v>332.36593406593403</v>
      </c>
      <c r="AJ63" s="13">
        <f>AI63*VLOOKUP('Données projet'!$B$10,Paramètres!$A$1:$I$89,3,0)*VLOOKUP('Données projet'!$B$10,Paramètres!$A$1:$I$89,5,0)</f>
        <v>155.54725714285712</v>
      </c>
      <c r="AK63" s="13">
        <f t="shared" si="35"/>
        <v>39.836543030962723</v>
      </c>
      <c r="AL63" s="20">
        <f t="shared" si="4"/>
        <v>340.29345196940289</v>
      </c>
      <c r="AM63" s="59">
        <f t="shared" si="5"/>
        <v>633.62678530273615</v>
      </c>
      <c r="AN63" s="59">
        <f ca="1">AVERAGE(OFFSET($AM$3,0,0,'Données projet'!$E$10+1,1))-AVERAGE(OFFSET($H$3,0,0,'Données projet'!$E$10+1,1))</f>
        <v>158.58786357608489</v>
      </c>
      <c r="AO63" s="59">
        <f t="shared" si="36"/>
        <v>163.20074068819849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508</v>
      </c>
      <c r="BB63" s="12">
        <f>VLOOKUP(A63,'Données projet'!$A$87:$I$107,9,0)</f>
        <v>18</v>
      </c>
      <c r="BC63" s="12">
        <f t="array" ref="BC63">INDEX(BB:BB,MIN(IF(ISNUMBER(BB63:BB259),ROW(BB63:BB259),"")))</f>
        <v>18</v>
      </c>
      <c r="BD63" s="12">
        <f>IF('Données projet'!$A$88&gt;35,BD62+BC63-BL62,IF(A63&lt;'Données projet'!$A$88,$BA$205^A63,IF(A63='Données projet'!$A$88,'Données projet'!$B$88,BD62+BC63-BL62)))</f>
        <v>507.99999999999972</v>
      </c>
      <c r="BE63" s="13">
        <f>BD63*VLOOKUP('Données projet'!$B$11,Paramètres!$A$1:$I$89,3,0)*VLOOKUP('Données projet'!$B$11,Paramètres!$A$1:$I$89,5,0)</f>
        <v>303.78399999999988</v>
      </c>
      <c r="BF63" s="13">
        <f t="shared" si="37"/>
        <v>71.969155598417572</v>
      </c>
      <c r="BG63" s="20">
        <f t="shared" si="7"/>
        <v>654.43674600057705</v>
      </c>
      <c r="BH63" s="59">
        <f t="shared" si="8"/>
        <v>947.77007933391042</v>
      </c>
      <c r="BI63" s="59">
        <f ca="1">AVERAGE(OFFSET($BH$3,0,0,'Données projet'!$E$11+1,1))-AVERAGE(OFFSET($H$3,0,0,'Données projet'!$E$11+1,1))</f>
        <v>316.58509520829671</v>
      </c>
      <c r="BJ63" s="59">
        <f t="shared" si="38"/>
        <v>240.71332110643596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108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1.3991835557632231</v>
      </c>
      <c r="BQ63" s="21">
        <f>EXP(-LN(2)/25)*BQ62+(1-EXP(-LN(2)/25))/(LN(2)/25)*Calculateur!BL63*Calculateur!BN63*VLOOKUP('Données projet'!$B$11,Paramètres!$A$1:$I$89,3,0)*0.475*44/12</f>
        <v>6.6457511034891956</v>
      </c>
      <c r="BR63" s="21">
        <f>EXP(-LN(2)/2)*BR62+(1-EXP(-LN(2)/2))/(LN(2)/2)*BL63*BO63*VLOOKUP('Données projet'!$B$11,Paramètres!$A$1:$I$89,3,0)*0.475*44/12</f>
        <v>6.6953561615420033E-4</v>
      </c>
      <c r="BS63" s="22">
        <f t="shared" si="9"/>
        <v>8.0456041948685737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310</v>
      </c>
      <c r="BW63" s="12">
        <f>VLOOKUP(A63,'Données projet'!$A$113:$I$133,9,0)</f>
        <v>6.8</v>
      </c>
      <c r="BX63" s="12">
        <f t="array" ref="BX63">INDEX(BW:BW,MIN(IF(ISNUMBER(BW63:BW259),ROW(BW63:BW259),"")))</f>
        <v>6.8</v>
      </c>
      <c r="BY63" s="12">
        <f>IF('Données projet'!$A$114&gt;35,BY62+BX63-CG62,IF(A63&lt;'Données projet'!$A$114,$BV$205^A63,IF(A63='Données projet'!$A$114,'Données projet'!$B$114,BY62+BX63-CG62)))</f>
        <v>309.99999999999994</v>
      </c>
      <c r="BZ63" s="13">
        <f>BY63*VLOOKUP('Données projet'!$B$12,Paramètres!$A$1:$I$89,3,0)*VLOOKUP('Données projet'!$B$12,Paramètres!$A$1:$I$89,5,0)</f>
        <v>246.63599999999997</v>
      </c>
      <c r="CA63" s="13">
        <f t="shared" si="39"/>
        <v>59.865023903294535</v>
      </c>
      <c r="CB63" s="20">
        <f t="shared" si="10"/>
        <v>533.82261663157112</v>
      </c>
      <c r="CC63" s="59">
        <f t="shared" si="11"/>
        <v>827.15594996490449</v>
      </c>
      <c r="CD63" s="59">
        <f ca="1">AVERAGE(OFFSET($CC$3,0,0,'Données projet'!$E$12+1,1))-AVERAGE(OFFSET($H$3,0,0,'Données projet'!$E$12+1,1))</f>
        <v>260.20517190557814</v>
      </c>
      <c r="CE63" s="59">
        <f t="shared" si="40"/>
        <v>307.22009971147133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30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1.8013167352926416</v>
      </c>
      <c r="CL63" s="21">
        <f>EXP(-LN(2)/25)*CL62+(1-EXP(-LN(2)/25))/(LN(2)/25)*Calculateur!CG63*Calculateur!CI63*VLOOKUP('Données projet'!$B$12,Paramètres!$A$1:$I$89,3,0)*0.475*44/12</f>
        <v>8.9316758553423554</v>
      </c>
      <c r="CM63" s="21">
        <f>EXP(-LN(2)/2)*CM62+(1-EXP(-LN(2)/2))/(LN(2)/2)*CG63*CJ63*VLOOKUP('Données projet'!$B$12,Paramètres!$A$1:$I$89,3,0)*0.475*44/12</f>
        <v>7.3361310585807148E-4</v>
      </c>
      <c r="CN63" s="22">
        <f t="shared" si="12"/>
        <v>10.733726203740854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8.374198717948719</v>
      </c>
      <c r="CT63" s="12">
        <f>IF('Données projet'!$A$140&gt;35,CT62+CS63-DB62,IF(A63&lt;'Données projet'!$A$140,$CQ$205^A63,IF(A63='Données projet'!$A$140,'Données projet'!$B$140,CT62+CS63-DB62)))</f>
        <v>195.16586538461542</v>
      </c>
      <c r="CU63" s="17">
        <f>CT63*VLOOKUP('Données projet'!$B$13,Paramètres!$A$1:$I$89,3,0)*VLOOKUP('Données projet'!$B$13,Paramètres!$A$1:$I$89,5,0)</f>
        <v>197.89818750000003</v>
      </c>
      <c r="CV63" s="13">
        <f t="shared" si="41"/>
        <v>49.28196932261676</v>
      </c>
      <c r="CW63" s="20">
        <f t="shared" si="13"/>
        <v>430.5054397993909</v>
      </c>
      <c r="CX63" s="59">
        <f t="shared" si="14"/>
        <v>723.83877313272421</v>
      </c>
      <c r="CY63" s="59">
        <f ca="1">AVERAGE(OFFSET($CX$3,0,0,'Données projet'!$E$13+1,1))-AVERAGE(OFFSET($H$3,0,0,'Données projet'!$E$13+1,1))</f>
        <v>263.15518481854753</v>
      </c>
      <c r="CZ63" s="59">
        <f t="shared" si="42"/>
        <v>210.80755370263819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0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250</v>
      </c>
      <c r="DM63" s="12">
        <f>VLOOKUP(A63,'Données projet'!$A$165:$I$185,9,0)</f>
        <v>6.4</v>
      </c>
      <c r="DN63" s="12">
        <f t="array" ref="DN63">INDEX(DM:DM,MIN(IF(ISNUMBER(DM63:DM259),ROW(DM63:DM259),"")))</f>
        <v>6.4</v>
      </c>
      <c r="DO63" s="12">
        <f>IF('Données projet'!$A$166&gt;35,DO62+DN63-DW62,IF(A63&lt;'Données projet'!$A$166,$DL$205^A63,IF(A63='Données projet'!$A$166,'Données projet'!$B$166,DO62+DN63-DW62)))</f>
        <v>249.99999999999997</v>
      </c>
      <c r="DP63" s="17">
        <f>DO63*VLOOKUP('Données projet'!$B$14,Paramètres!$A$1:$I$89,3,0)*VLOOKUP('Données projet'!$B$14,Paramètres!$A$1:$I$89,5,0)</f>
        <v>202.8</v>
      </c>
      <c r="DQ63" s="13">
        <f t="shared" si="43"/>
        <v>50.359024179354016</v>
      </c>
      <c r="DR63" s="20">
        <f t="shared" si="16"/>
        <v>440.91863377904156</v>
      </c>
      <c r="DS63" s="59">
        <f t="shared" si="17"/>
        <v>734.25196711237481</v>
      </c>
      <c r="DT63" s="59">
        <f ca="1">AVERAGE(OFFSET($DS$3,0,0,'Données projet'!$E$14+1,1))-AVERAGE(OFFSET($H$3,0,0,'Données projet'!$E$14+1,1))</f>
        <v>203.21935660591021</v>
      </c>
      <c r="DU63" s="59">
        <f t="shared" si="44"/>
        <v>180.54762778843178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34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0.553466252962174</v>
      </c>
      <c r="EB63" s="21">
        <f>EXP(-LN(2)/25)*EB62+(1-EXP(-LN(2)/25))/(LN(2)/25)*Calculateur!DW63*Calculateur!DY63*VLOOKUP('Données projet'!$B$14,Paramètres!$A$1:$I$89,3,0)*0.475*44/12</f>
        <v>2.5262075676330253</v>
      </c>
      <c r="EC63" s="21">
        <f>EXP(-LN(2)/2)*EC62+(1-EXP(-LN(2)/2))/(LN(2)/2)*DW63*DZ63*VLOOKUP('Données projet'!$B$14,Paramètres!$A$1:$I$89,3,0)*0.475*44/12</f>
        <v>2.7657118287292305E-4</v>
      </c>
      <c r="ED63" s="22">
        <f t="shared" si="18"/>
        <v>3.0799503917780724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310</v>
      </c>
      <c r="EH63" s="12">
        <f>VLOOKUP(A63,'Données projet'!$A$191:$I$211,9,0)</f>
        <v>6.8</v>
      </c>
      <c r="EI63" s="12">
        <f t="array" ref="EI63">INDEX(EH:EH,MIN(IF(ISNUMBER(EH63:EH259),ROW(EH63:EH259),"")))</f>
        <v>6.8</v>
      </c>
      <c r="EJ63" s="12">
        <f>IF('Données projet'!$A$192&gt;35,EJ62+EI63-ER62,IF(A63&lt;'Données projet'!$A$192,$EG$205^A63,IF(A63='Données projet'!$A$192,'Données projet'!$B$192,EJ62+EI63-ER62)))</f>
        <v>309.99999999999994</v>
      </c>
      <c r="EK63" s="17">
        <f>EJ63*VLOOKUP('Données projet'!$B$15,Paramètres!$A$1:$I$89,3,0)*VLOOKUP('Données projet'!$B$15,Paramètres!$A$1:$I$89,5,0)</f>
        <v>207.94799999999998</v>
      </c>
      <c r="EL63" s="13">
        <f t="shared" si="45"/>
        <v>51.486916127068838</v>
      </c>
      <c r="EM63" s="20">
        <f t="shared" si="19"/>
        <v>451.84914558797823</v>
      </c>
      <c r="EN63" s="59">
        <f t="shared" si="20"/>
        <v>745.18247892131149</v>
      </c>
      <c r="EO63" s="59">
        <f ca="1">AVERAGE(OFFSET($EN$3,0,0,'Données projet'!$E$15+1,1))-AVERAGE(OFFSET($H$3,0,0,'Données projet'!$E$15+1,1))</f>
        <v>207.93042467236967</v>
      </c>
      <c r="EP63" s="59">
        <f t="shared" si="46"/>
        <v>250.70954318710835</v>
      </c>
      <c r="EQ63" s="15">
        <f>IF(ISNA(VLOOKUP(A63,'Données projet'!$A$191:$I$211,3,0)),0,VLOOKUP(A63,'Données projet'!$A$191:$I$211,3,0))</f>
        <v>5</v>
      </c>
      <c r="ER63" s="15">
        <f>IF(ISNA(VLOOKUP(A63,'Données projet'!$A$191:$I$211,4,0)),0,VLOOKUP(A63,'Données projet'!$A$191:$I$211,4,0))</f>
        <v>30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1.5187572474035993</v>
      </c>
      <c r="EW63" s="21">
        <f>EXP(-LN(2)/25)*EW62+(1-EXP(-LN(2)/25))/(LN(2)/25)*Calculateur!ER63*Calculateur!ET63*VLOOKUP('Données projet'!$B$15,Paramètres!$A$1:$I$89,3,0)*0.475*44/12</f>
        <v>7.5306286623474827</v>
      </c>
      <c r="EX63" s="21">
        <f>EXP(-LN(2)/2)*EX62+(1-EXP(-LN(2)/2))/(LN(2)/2)*ER63*EU63*VLOOKUP('Données projet'!$B$15,Paramètres!$A$1:$I$89,3,0)*0.475*44/12</f>
        <v>6.1853654023327591E-4</v>
      </c>
      <c r="EY63" s="22">
        <f t="shared" si="21"/>
        <v>9.0500044462913163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-2.2737367544323206E-13</v>
      </c>
      <c r="O64" s="13">
        <f>N64*VLOOKUP('Données projet'!$B$9,Paramètres!$A$1:$I$89,3,0)*VLOOKUP('Données projet'!$B$9,Paramètres!$A$1:$I$89,5,0)</f>
        <v>-1.2710188457276673E-13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255.5374979188561</v>
      </c>
      <c r="T64" s="59">
        <f t="shared" si="34"/>
        <v>343.10418468620901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1.6723903491879981</v>
      </c>
      <c r="AA64" s="21">
        <f>EXP(-LN(2)/25)*AA63+(1-EXP(-LN(2)/25))/(LN(2)/25)*Calculateur!V64*Calculateur!X64*VLOOKUP('Données projet'!$B$9,Paramètres!$A$1:$I$89,3,0)*0.475*44/12</f>
        <v>6.7571373013228326</v>
      </c>
      <c r="AB64" s="21">
        <f>EXP(-LN(2)/2)*AB63+(1-EXP(-LN(2)/2))/(LN(2)/2)*V64*Y64*VLOOKUP('Données projet'!$B$9,Paramètres!$A$1:$I$89,3,0)*0.475*44/12</f>
        <v>3.6526054796492948E-5</v>
      </c>
      <c r="AC64" s="22">
        <f t="shared" si="3"/>
        <v>8.4295641765656271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14.270329670329668</v>
      </c>
      <c r="AI64" s="13">
        <f>IF('Données projet'!$A$62&gt;35,AI63+AH64-AQ63,IF(A64&lt;'Données projet'!$A$62,$AF$205^A64,IF(A64='Données projet'!$A$62,'Données projet'!$B$62,AI63+AH64-AQ63)))</f>
        <v>346.63626373626369</v>
      </c>
      <c r="AJ64" s="13">
        <f>AI64*VLOOKUP('Données projet'!$B$10,Paramètres!$A$1:$I$89,3,0)*VLOOKUP('Données projet'!$B$10,Paramètres!$A$1:$I$89,5,0)</f>
        <v>162.22577142857142</v>
      </c>
      <c r="AK64" s="13">
        <f t="shared" si="35"/>
        <v>41.344139999178246</v>
      </c>
      <c r="AL64" s="20">
        <f t="shared" si="4"/>
        <v>354.55092906999738</v>
      </c>
      <c r="AM64" s="59">
        <f t="shared" si="5"/>
        <v>647.88426240333069</v>
      </c>
      <c r="AN64" s="59">
        <f ca="1">AVERAGE(OFFSET($AM$3,0,0,'Données projet'!$E$10+1,1))-AVERAGE(OFFSET($H$3,0,0,'Données projet'!$E$10+1,1))</f>
        <v>158.58786357608489</v>
      </c>
      <c r="AO64" s="59">
        <f t="shared" si="36"/>
        <v>163.20074068819849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16.399999999999999</v>
      </c>
      <c r="BD64" s="12">
        <f>IF('Données projet'!$A$88&gt;35,BD63+BC64-BL63,IF(A64&lt;'Données projet'!$A$88,$BA$205^A64,IF(A64='Données projet'!$A$88,'Données projet'!$B$88,BD63+BC64-BL63)))</f>
        <v>416.39999999999975</v>
      </c>
      <c r="BE64" s="13">
        <f>BD64*VLOOKUP('Données projet'!$B$11,Paramètres!$A$1:$I$89,3,0)*VLOOKUP('Données projet'!$B$11,Paramètres!$A$1:$I$89,5,0)</f>
        <v>249.00719999999987</v>
      </c>
      <c r="BF64" s="13">
        <f t="shared" si="37"/>
        <v>60.373298466513951</v>
      </c>
      <c r="BG64" s="20">
        <f t="shared" si="7"/>
        <v>538.83770149584484</v>
      </c>
      <c r="BH64" s="59">
        <f t="shared" si="8"/>
        <v>832.1710348291781</v>
      </c>
      <c r="BI64" s="59">
        <f ca="1">AVERAGE(OFFSET($BH$3,0,0,'Données projet'!$E$11+1,1))-AVERAGE(OFFSET($H$3,0,0,'Données projet'!$E$11+1,1))</f>
        <v>316.58509520829671</v>
      </c>
      <c r="BJ64" s="59">
        <f t="shared" si="38"/>
        <v>240.71332110643596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1.3717464196524072</v>
      </c>
      <c r="BQ64" s="21">
        <f>EXP(-LN(2)/25)*BQ63+(1-EXP(-LN(2)/25))/(LN(2)/25)*Calculateur!BL64*Calculateur!BN64*VLOOKUP('Données projet'!$B$11,Paramètres!$A$1:$I$89,3,0)*0.475*44/12</f>
        <v>6.464022690079422</v>
      </c>
      <c r="BR64" s="21">
        <f>EXP(-LN(2)/2)*BR63+(1-EXP(-LN(2)/2))/(LN(2)/2)*BL64*BO64*VLOOKUP('Données projet'!$B$11,Paramètres!$A$1:$I$89,3,0)*0.475*44/12</f>
        <v>4.7343317442854842E-4</v>
      </c>
      <c r="BS64" s="22">
        <f t="shared" si="9"/>
        <v>7.8362425429062572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4.9000000000000004</v>
      </c>
      <c r="BY64" s="12">
        <f>IF('Données projet'!$A$114&gt;35,BY63+BX64-CG63,IF(A64&lt;'Données projet'!$A$114,$BV$205^A64,IF(A64='Données projet'!$A$114,'Données projet'!$B$114,BY63+BX64-CG63)))</f>
        <v>284.89999999999992</v>
      </c>
      <c r="BZ64" s="13">
        <f>BY64*VLOOKUP('Données projet'!$B$12,Paramètres!$A$1:$I$89,3,0)*VLOOKUP('Données projet'!$B$12,Paramètres!$A$1:$I$89,5,0)</f>
        <v>226.66643999999994</v>
      </c>
      <c r="CA64" s="13">
        <f t="shared" si="39"/>
        <v>55.561276600641385</v>
      </c>
      <c r="CB64" s="20">
        <f t="shared" si="10"/>
        <v>491.5466064127836</v>
      </c>
      <c r="CC64" s="59">
        <f t="shared" si="11"/>
        <v>784.87993974611686</v>
      </c>
      <c r="CD64" s="59">
        <f ca="1">AVERAGE(OFFSET($CC$3,0,0,'Données projet'!$E$12+1,1))-AVERAGE(OFFSET($H$3,0,0,'Données projet'!$E$12+1,1))</f>
        <v>260.20517190557814</v>
      </c>
      <c r="CE64" s="59">
        <f t="shared" si="40"/>
        <v>307.22009971147133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1.7659940128082743</v>
      </c>
      <c r="CL64" s="21">
        <f>EXP(-LN(2)/25)*CL63+(1-EXP(-LN(2)/25))/(LN(2)/25)*Calculateur!CG64*Calculateur!CI64*VLOOKUP('Données projet'!$B$12,Paramètres!$A$1:$I$89,3,0)*0.475*44/12</f>
        <v>8.687438709381599</v>
      </c>
      <c r="CM64" s="21">
        <f>EXP(-LN(2)/2)*CM63+(1-EXP(-LN(2)/2))/(LN(2)/2)*CG64*CJ64*VLOOKUP('Données projet'!$B$12,Paramètres!$A$1:$I$89,3,0)*0.475*44/12</f>
        <v>5.1874280191956687E-4</v>
      </c>
      <c r="CN64" s="22">
        <f t="shared" si="12"/>
        <v>10.453951464991793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8.374198717948719</v>
      </c>
      <c r="CT64" s="12">
        <f>IF('Données projet'!$A$140&gt;35,CT63+CS64-DB63,IF(A64&lt;'Données projet'!$A$140,$CQ$205^A64,IF(A64='Données projet'!$A$140,'Données projet'!$B$140,CT63+CS64-DB63)))</f>
        <v>203.54006410256414</v>
      </c>
      <c r="CU64" s="17">
        <f>CT64*VLOOKUP('Données projet'!$B$13,Paramètres!$A$1:$I$89,3,0)*VLOOKUP('Données projet'!$B$13,Paramètres!$A$1:$I$89,5,0)</f>
        <v>206.38962500000005</v>
      </c>
      <c r="CV64" s="13">
        <f t="shared" si="41"/>
        <v>51.145833405091331</v>
      </c>
      <c r="CW64" s="20">
        <f t="shared" si="13"/>
        <v>448.5409233888675</v>
      </c>
      <c r="CX64" s="59">
        <f t="shared" si="14"/>
        <v>741.87425672220081</v>
      </c>
      <c r="CY64" s="59">
        <f ca="1">AVERAGE(OFFSET($CX$3,0,0,'Données projet'!$E$13+1,1))-AVERAGE(OFFSET($H$3,0,0,'Données projet'!$E$13+1,1))</f>
        <v>263.15518481854753</v>
      </c>
      <c r="CZ64" s="59">
        <f t="shared" si="42"/>
        <v>210.80755370263819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0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5.9</v>
      </c>
      <c r="DO64" s="12">
        <f>IF('Données projet'!$A$166&gt;35,DO63+DN64-DW63,IF(A64&lt;'Données projet'!$A$166,$DL$205^A64,IF(A64='Données projet'!$A$166,'Données projet'!$B$166,DO63+DN64-DW63)))</f>
        <v>221.89999999999998</v>
      </c>
      <c r="DP64" s="17">
        <f>DO64*VLOOKUP('Données projet'!$B$14,Paramètres!$A$1:$I$89,3,0)*VLOOKUP('Données projet'!$B$14,Paramètres!$A$1:$I$89,5,0)</f>
        <v>180.00528</v>
      </c>
      <c r="DQ64" s="13">
        <f t="shared" si="43"/>
        <v>45.323360867280385</v>
      </c>
      <c r="DR64" s="20">
        <f t="shared" si="16"/>
        <v>392.4473828438467</v>
      </c>
      <c r="DS64" s="59">
        <f t="shared" si="17"/>
        <v>685.78071617718001</v>
      </c>
      <c r="DT64" s="59">
        <f ca="1">AVERAGE(OFFSET($DS$3,0,0,'Données projet'!$E$14+1,1))-AVERAGE(OFFSET($H$3,0,0,'Données projet'!$E$14+1,1))</f>
        <v>203.21935660591021</v>
      </c>
      <c r="DU64" s="59">
        <f t="shared" si="44"/>
        <v>180.54762778843178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0.5426131173226667</v>
      </c>
      <c r="EB64" s="21">
        <f>EXP(-LN(2)/25)*EB63+(1-EXP(-LN(2)/25))/(LN(2)/25)*Calculateur!DW64*Calculateur!DY64*VLOOKUP('Données projet'!$B$14,Paramètres!$A$1:$I$89,3,0)*0.475*44/12</f>
        <v>2.4571282888486179</v>
      </c>
      <c r="EC64" s="21">
        <f>EXP(-LN(2)/2)*EC63+(1-EXP(-LN(2)/2))/(LN(2)/2)*DW64*DZ64*VLOOKUP('Données projet'!$B$14,Paramètres!$A$1:$I$89,3,0)*0.475*44/12</f>
        <v>1.9556535889022863E-4</v>
      </c>
      <c r="ED64" s="22">
        <f t="shared" si="18"/>
        <v>2.9999369715301745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4.9000000000000004</v>
      </c>
      <c r="EJ64" s="12">
        <f>IF('Données projet'!$A$192&gt;35,EJ63+EI64-ER63,IF(A64&lt;'Données projet'!$A$192,$EG$205^A64,IF(A64='Données projet'!$A$192,'Données projet'!$B$192,EJ63+EI64-ER63)))</f>
        <v>284.89999999999992</v>
      </c>
      <c r="EK64" s="17">
        <f>EJ64*VLOOKUP('Données projet'!$B$15,Paramètres!$A$1:$I$89,3,0)*VLOOKUP('Données projet'!$B$15,Paramètres!$A$1:$I$89,5,0)</f>
        <v>191.11091999999994</v>
      </c>
      <c r="EL64" s="13">
        <f t="shared" si="45"/>
        <v>47.785478092704217</v>
      </c>
      <c r="EM64" s="20">
        <f t="shared" si="19"/>
        <v>416.07789334479304</v>
      </c>
      <c r="EN64" s="59">
        <f t="shared" si="20"/>
        <v>709.41122667812635</v>
      </c>
      <c r="EO64" s="59">
        <f ca="1">AVERAGE(OFFSET($EN$3,0,0,'Données projet'!$E$15+1,1))-AVERAGE(OFFSET($H$3,0,0,'Données projet'!$E$15+1,1))</f>
        <v>207.93042467236967</v>
      </c>
      <c r="EP64" s="59">
        <f t="shared" si="46"/>
        <v>250.70954318710835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1.488975344132466</v>
      </c>
      <c r="EW64" s="21">
        <f>EXP(-LN(2)/25)*EW63+(1-EXP(-LN(2)/25))/(LN(2)/25)*Calculateur!ER64*Calculateur!ET64*VLOOKUP('Données projet'!$B$15,Paramètres!$A$1:$I$89,3,0)*0.475*44/12</f>
        <v>7.324703225557041</v>
      </c>
      <c r="EX64" s="21">
        <f>EXP(-LN(2)/2)*EX63+(1-EXP(-LN(2)/2))/(LN(2)/2)*ER64*EU64*VLOOKUP('Données projet'!$B$15,Paramètres!$A$1:$I$89,3,0)*0.475*44/12</f>
        <v>4.3737138201061518E-4</v>
      </c>
      <c r="EY64" s="22">
        <f t="shared" si="21"/>
        <v>8.8141159410715186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-2.2737367544323206E-13</v>
      </c>
      <c r="O65" s="13">
        <f>N65*VLOOKUP('Données projet'!$B$9,Paramètres!$A$1:$I$89,3,0)*VLOOKUP('Données projet'!$B$9,Paramètres!$A$1:$I$89,5,0)</f>
        <v>-1.2710188457276673E-13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255.5374979188561</v>
      </c>
      <c r="T65" s="59">
        <f t="shared" si="34"/>
        <v>343.10418468620901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1.6395957944978121</v>
      </c>
      <c r="AA65" s="21">
        <f>EXP(-LN(2)/25)*AA64+(1-EXP(-LN(2)/25))/(LN(2)/25)*Calculateur!V65*Calculateur!X65*VLOOKUP('Données projet'!$B$9,Paramètres!$A$1:$I$89,3,0)*0.475*44/12</f>
        <v>6.5723630264757524</v>
      </c>
      <c r="AB65" s="21">
        <f>EXP(-LN(2)/2)*AB64+(1-EXP(-LN(2)/2))/(LN(2)/2)*V65*Y65*VLOOKUP('Données projet'!$B$9,Paramètres!$A$1:$I$89,3,0)*0.475*44/12</f>
        <v>2.5827821036591584E-5</v>
      </c>
      <c r="AC65" s="22">
        <f t="shared" si="3"/>
        <v>8.2119846487946013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14.270329670329668</v>
      </c>
      <c r="AI65" s="13">
        <f>IF('Données projet'!$A$62&gt;35,AI64+AH65-AQ64,IF(A65&lt;'Données projet'!$A$62,$AF$205^A65,IF(A65='Données projet'!$A$62,'Données projet'!$B$62,AI64+AH65-AQ64)))</f>
        <v>360.90659340659334</v>
      </c>
      <c r="AJ65" s="13">
        <f>AI65*VLOOKUP('Données projet'!$B$10,Paramètres!$A$1:$I$89,3,0)*VLOOKUP('Données projet'!$B$10,Paramètres!$A$1:$I$89,5,0)</f>
        <v>168.90428571428566</v>
      </c>
      <c r="AK65" s="13">
        <f t="shared" si="35"/>
        <v>42.844527757373569</v>
      </c>
      <c r="AL65" s="20">
        <f t="shared" si="4"/>
        <v>368.79585012980647</v>
      </c>
      <c r="AM65" s="59">
        <f t="shared" si="5"/>
        <v>662.12918346313973</v>
      </c>
      <c r="AN65" s="59">
        <f ca="1">AVERAGE(OFFSET($AM$3,0,0,'Données projet'!$E$10+1,1))-AVERAGE(OFFSET($H$3,0,0,'Données projet'!$E$10+1,1))</f>
        <v>158.58786357608489</v>
      </c>
      <c r="AO65" s="59">
        <f t="shared" si="36"/>
        <v>163.20074068819849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16.399999999999999</v>
      </c>
      <c r="BD65" s="12">
        <f>IF('Données projet'!$A$88&gt;35,BD64+BC65-BL64,IF(A65&lt;'Données projet'!$A$88,$BA$205^A65,IF(A65='Données projet'!$A$88,'Données projet'!$B$88,BD64+BC65-BL64)))</f>
        <v>432.79999999999973</v>
      </c>
      <c r="BE65" s="13">
        <f>BD65*VLOOKUP('Données projet'!$B$11,Paramètres!$A$1:$I$89,3,0)*VLOOKUP('Données projet'!$B$11,Paramètres!$A$1:$I$89,5,0)</f>
        <v>258.81439999999986</v>
      </c>
      <c r="BF65" s="13">
        <f t="shared" si="37"/>
        <v>62.469588762855253</v>
      </c>
      <c r="BG65" s="20">
        <f t="shared" si="7"/>
        <v>559.56961376197262</v>
      </c>
      <c r="BH65" s="59">
        <f t="shared" si="8"/>
        <v>852.90294709530599</v>
      </c>
      <c r="BI65" s="59">
        <f ca="1">AVERAGE(OFFSET($BH$3,0,0,'Données projet'!$E$11+1,1))-AVERAGE(OFFSET($H$3,0,0,'Données projet'!$E$11+1,1))</f>
        <v>316.58509520829671</v>
      </c>
      <c r="BJ65" s="59">
        <f t="shared" si="38"/>
        <v>240.71332110643596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1.3448473090457238</v>
      </c>
      <c r="BQ65" s="21">
        <f>EXP(-LN(2)/25)*BQ64+(1-EXP(-LN(2)/25))/(LN(2)/25)*Calculateur!BL65*Calculateur!BN65*VLOOKUP('Données projet'!$B$11,Paramètres!$A$1:$I$89,3,0)*0.475*44/12</f>
        <v>6.2872636496910204</v>
      </c>
      <c r="BR65" s="21">
        <f>EXP(-LN(2)/2)*BR64+(1-EXP(-LN(2)/2))/(LN(2)/2)*BL65*BO65*VLOOKUP('Données projet'!$B$11,Paramètres!$A$1:$I$89,3,0)*0.475*44/12</f>
        <v>3.3476780807710022E-4</v>
      </c>
      <c r="BS65" s="22">
        <f t="shared" si="9"/>
        <v>7.6324457265448213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4.9000000000000004</v>
      </c>
      <c r="BY65" s="12">
        <f>IF('Données projet'!$A$114&gt;35,BY64+BX65-CG64,IF(A65&lt;'Données projet'!$A$114,$BV$205^A65,IF(A65='Données projet'!$A$114,'Données projet'!$B$114,BY64+BX65-CG64)))</f>
        <v>289.7999999999999</v>
      </c>
      <c r="BZ65" s="13">
        <f>BY65*VLOOKUP('Données projet'!$B$12,Paramètres!$A$1:$I$89,3,0)*VLOOKUP('Données projet'!$B$12,Paramètres!$A$1:$I$89,5,0)</f>
        <v>230.56487999999993</v>
      </c>
      <c r="CA65" s="13">
        <f t="shared" si="39"/>
        <v>56.404804351341944</v>
      </c>
      <c r="CB65" s="20">
        <f t="shared" si="10"/>
        <v>499.80553357858707</v>
      </c>
      <c r="CC65" s="59">
        <f t="shared" si="11"/>
        <v>793.13886691192033</v>
      </c>
      <c r="CD65" s="59">
        <f ca="1">AVERAGE(OFFSET($CC$3,0,0,'Données projet'!$E$12+1,1))-AVERAGE(OFFSET($H$3,0,0,'Données projet'!$E$12+1,1))</f>
        <v>260.20517190557814</v>
      </c>
      <c r="CE65" s="59">
        <f t="shared" si="40"/>
        <v>307.22009971147133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1.7313639473670921</v>
      </c>
      <c r="CL65" s="21">
        <f>EXP(-LN(2)/25)*CL64+(1-EXP(-LN(2)/25))/(LN(2)/25)*Calculateur!CG65*Calculateur!CI65*VLOOKUP('Données projet'!$B$12,Paramètres!$A$1:$I$89,3,0)*0.475*44/12</f>
        <v>8.4498802410210132</v>
      </c>
      <c r="CM65" s="21">
        <f>EXP(-LN(2)/2)*CM64+(1-EXP(-LN(2)/2))/(LN(2)/2)*CG65*CJ65*VLOOKUP('Données projet'!$B$12,Paramètres!$A$1:$I$89,3,0)*0.475*44/12</f>
        <v>3.6680655292903574E-4</v>
      </c>
      <c r="CN65" s="22">
        <f t="shared" si="12"/>
        <v>10.181610994941034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8.374198717948719</v>
      </c>
      <c r="CT65" s="12">
        <f>IF('Données projet'!$A$140&gt;35,CT64+CS65-DB64,IF(A65&lt;'Données projet'!$A$140,$CQ$205^A65,IF(A65='Données projet'!$A$140,'Données projet'!$B$140,CT64+CS65-DB64)))</f>
        <v>211.91426282051287</v>
      </c>
      <c r="CU65" s="17">
        <f>CT65*VLOOKUP('Données projet'!$B$13,Paramètres!$A$1:$I$89,3,0)*VLOOKUP('Données projet'!$B$13,Paramètres!$A$1:$I$89,5,0)</f>
        <v>214.88106250000004</v>
      </c>
      <c r="CV65" s="13">
        <f t="shared" si="41"/>
        <v>53.000790097212402</v>
      </c>
      <c r="CW65" s="20">
        <f t="shared" si="13"/>
        <v>466.56089327347831</v>
      </c>
      <c r="CX65" s="59">
        <f t="shared" si="14"/>
        <v>759.89422660681157</v>
      </c>
      <c r="CY65" s="59">
        <f ca="1">AVERAGE(OFFSET($CX$3,0,0,'Données projet'!$E$13+1,1))-AVERAGE(OFFSET($H$3,0,0,'Données projet'!$E$13+1,1))</f>
        <v>263.15518481854753</v>
      </c>
      <c r="CZ65" s="59">
        <f t="shared" si="42"/>
        <v>210.80755370263819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0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5.9</v>
      </c>
      <c r="DO65" s="12">
        <f>IF('Données projet'!$A$166&gt;35,DO64+DN65-DW64,IF(A65&lt;'Données projet'!$A$166,$DL$205^A65,IF(A65='Données projet'!$A$166,'Données projet'!$B$166,DO64+DN65-DW64)))</f>
        <v>227.79999999999998</v>
      </c>
      <c r="DP65" s="17">
        <f>DO65*VLOOKUP('Données projet'!$B$14,Paramètres!$A$1:$I$89,3,0)*VLOOKUP('Données projet'!$B$14,Paramètres!$A$1:$I$89,5,0)</f>
        <v>184.79136</v>
      </c>
      <c r="DQ65" s="13">
        <f t="shared" si="43"/>
        <v>46.386540185503208</v>
      </c>
      <c r="DR65" s="20">
        <f t="shared" si="16"/>
        <v>402.63484282308474</v>
      </c>
      <c r="DS65" s="59">
        <f t="shared" si="17"/>
        <v>695.96817615641805</v>
      </c>
      <c r="DT65" s="59">
        <f ca="1">AVERAGE(OFFSET($DS$3,0,0,'Données projet'!$E$14+1,1))-AVERAGE(OFFSET($H$3,0,0,'Données projet'!$E$14+1,1))</f>
        <v>203.21935660591021</v>
      </c>
      <c r="DU65" s="59">
        <f t="shared" si="44"/>
        <v>180.54762778843178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0.53197280505329103</v>
      </c>
      <c r="EB65" s="21">
        <f>EXP(-LN(2)/25)*EB64+(1-EXP(-LN(2)/25))/(LN(2)/25)*Calculateur!DW65*Calculateur!DY65*VLOOKUP('Données projet'!$B$14,Paramètres!$A$1:$I$89,3,0)*0.475*44/12</f>
        <v>2.3899379865752914</v>
      </c>
      <c r="EC65" s="21">
        <f>EXP(-LN(2)/2)*EC64+(1-EXP(-LN(2)/2))/(LN(2)/2)*DW65*DZ65*VLOOKUP('Données projet'!$B$14,Paramètres!$A$1:$I$89,3,0)*0.475*44/12</f>
        <v>1.3828559143646153E-4</v>
      </c>
      <c r="ED65" s="22">
        <f t="shared" si="18"/>
        <v>2.9220490772200192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4.9000000000000004</v>
      </c>
      <c r="EJ65" s="12">
        <f>IF('Données projet'!$A$192&gt;35,EJ64+EI65-ER64,IF(A65&lt;'Données projet'!$A$192,$EG$205^A65,IF(A65='Données projet'!$A$192,'Données projet'!$B$192,EJ64+EI65-ER64)))</f>
        <v>289.7999999999999</v>
      </c>
      <c r="EK65" s="17">
        <f>EJ65*VLOOKUP('Données projet'!$B$15,Paramètres!$A$1:$I$89,3,0)*VLOOKUP('Données projet'!$B$15,Paramètres!$A$1:$I$89,5,0)</f>
        <v>194.39783999999992</v>
      </c>
      <c r="EL65" s="13">
        <f t="shared" si="45"/>
        <v>48.510954167370699</v>
      </c>
      <c r="EM65" s="20">
        <f t="shared" si="19"/>
        <v>423.06614984150383</v>
      </c>
      <c r="EN65" s="59">
        <f t="shared" si="20"/>
        <v>716.39948317483709</v>
      </c>
      <c r="EO65" s="59">
        <f ca="1">AVERAGE(OFFSET($EN$3,0,0,'Données projet'!$E$15+1,1))-AVERAGE(OFFSET($H$3,0,0,'Données projet'!$E$15+1,1))</f>
        <v>207.93042467236967</v>
      </c>
      <c r="EP65" s="59">
        <f t="shared" si="46"/>
        <v>250.70954318710835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1.4597774458193125</v>
      </c>
      <c r="EW65" s="21">
        <f>EXP(-LN(2)/25)*EW64+(1-EXP(-LN(2)/25))/(LN(2)/25)*Calculateur!ER65*Calculateur!ET65*VLOOKUP('Données projet'!$B$15,Paramètres!$A$1:$I$89,3,0)*0.475*44/12</f>
        <v>7.1244088306647821</v>
      </c>
      <c r="EX65" s="21">
        <f>EXP(-LN(2)/2)*EX64+(1-EXP(-LN(2)/2))/(LN(2)/2)*ER65*EU65*VLOOKUP('Données projet'!$B$15,Paramètres!$A$1:$I$89,3,0)*0.475*44/12</f>
        <v>3.0926827011663795E-4</v>
      </c>
      <c r="EY65" s="22">
        <f t="shared" si="21"/>
        <v>8.5844955447542119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-2.2737367544323206E-13</v>
      </c>
      <c r="O66" s="13">
        <f>N66*VLOOKUP('Données projet'!$B$9,Paramètres!$A$1:$I$89,3,0)*VLOOKUP('Données projet'!$B$9,Paramètres!$A$1:$I$89,5,0)</f>
        <v>-1.2710188457276673E-13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255.5374979188561</v>
      </c>
      <c r="T66" s="59">
        <f t="shared" si="34"/>
        <v>343.10418468620901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1.6074443210223974</v>
      </c>
      <c r="AA66" s="21">
        <f>EXP(-LN(2)/25)*AA65+(1-EXP(-LN(2)/25))/(LN(2)/25)*Calculateur!V66*Calculateur!X66*VLOOKUP('Données projet'!$B$9,Paramètres!$A$1:$I$89,3,0)*0.475*44/12</f>
        <v>6.3926414138912229</v>
      </c>
      <c r="AB66" s="21">
        <f>EXP(-LN(2)/2)*AB65+(1-EXP(-LN(2)/2))/(LN(2)/2)*V66*Y66*VLOOKUP('Données projet'!$B$9,Paramètres!$A$1:$I$89,3,0)*0.475*44/12</f>
        <v>1.8263027398246474E-5</v>
      </c>
      <c r="AC66" s="22">
        <f t="shared" si="3"/>
        <v>8.000103997941018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>
        <f>VLOOKUP(A66,'Données projet'!$A$61:$I$81,2,0)</f>
        <v>375.17692307692306</v>
      </c>
      <c r="AG66" s="12">
        <f>VLOOKUP(A66,'Données projet'!$A$61:$I$81,9,0)</f>
        <v>14.270329670329668</v>
      </c>
      <c r="AH66" s="12">
        <f t="array" ref="AH66">INDEX(AG:AG,MIN(IF(ISNUMBER(AG66:AG262),ROW(AG66:AG262),"")))</f>
        <v>14.270329670329668</v>
      </c>
      <c r="AI66" s="13">
        <f>IF('Données projet'!$A$62&gt;35,AI65+AH66-AQ65,IF(A66&lt;'Données projet'!$A$62,$AF$205^A66,IF(A66='Données projet'!$A$62,'Données projet'!$B$62,AI65+AH66-AQ65)))</f>
        <v>375.176923076923</v>
      </c>
      <c r="AJ66" s="13">
        <f>AI66*VLOOKUP('Données projet'!$B$10,Paramètres!$A$1:$I$89,3,0)*VLOOKUP('Données projet'!$B$10,Paramètres!$A$1:$I$89,5,0)</f>
        <v>175.58279999999996</v>
      </c>
      <c r="AK66" s="13">
        <f t="shared" si="35"/>
        <v>44.338023977070598</v>
      </c>
      <c r="AL66" s="20">
        <f t="shared" si="4"/>
        <v>383.02876842673123</v>
      </c>
      <c r="AM66" s="59">
        <f t="shared" si="5"/>
        <v>676.36210176006455</v>
      </c>
      <c r="AN66" s="59">
        <f ca="1">AVERAGE(OFFSET($AM$3,0,0,'Données projet'!$E$10+1,1))-AVERAGE(OFFSET($H$3,0,0,'Données projet'!$E$10+1,1))</f>
        <v>158.58786357608489</v>
      </c>
      <c r="AO66" s="59">
        <f t="shared" si="36"/>
        <v>163.20074068819849</v>
      </c>
      <c r="AP66" s="15">
        <f>IF(ISNA(VLOOKUP(A66,'Données projet'!$A$61:$I$81,3,0)),0,VLOOKUP(A66,'Données projet'!$A$61:$I$81,3,0))</f>
        <v>4</v>
      </c>
      <c r="AQ66" s="15">
        <f>IF(ISNA(VLOOKUP(A66,'Données projet'!$A$61:$I$81,4,0)),0,VLOOKUP(A66,'Données projet'!$A$61:$I$81,4,0))</f>
        <v>71.123076923076923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16.399999999999999</v>
      </c>
      <c r="BD66" s="12">
        <f>IF('Données projet'!$A$88&gt;35,BD65+BC66-BL65,IF(A66&lt;'Données projet'!$A$88,$BA$205^A66,IF(A66='Données projet'!$A$88,'Données projet'!$B$88,BD65+BC66-BL65)))</f>
        <v>449.1999999999997</v>
      </c>
      <c r="BE66" s="13">
        <f>BD66*VLOOKUP('Données projet'!$B$11,Paramètres!$A$1:$I$89,3,0)*VLOOKUP('Données projet'!$B$11,Paramètres!$A$1:$I$89,5,0)</f>
        <v>268.62159999999983</v>
      </c>
      <c r="BF66" s="13">
        <f t="shared" si="37"/>
        <v>64.556650936372577</v>
      </c>
      <c r="BG66" s="20">
        <f t="shared" si="7"/>
        <v>580.28545371418193</v>
      </c>
      <c r="BH66" s="59">
        <f t="shared" si="8"/>
        <v>873.6187870475153</v>
      </c>
      <c r="BI66" s="59">
        <f ca="1">AVERAGE(OFFSET($BH$3,0,0,'Données projet'!$E$11+1,1))-AVERAGE(OFFSET($H$3,0,0,'Données projet'!$E$11+1,1))</f>
        <v>316.58509520829671</v>
      </c>
      <c r="BJ66" s="59">
        <f t="shared" si="38"/>
        <v>240.71332110643596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1.3184756735912002</v>
      </c>
      <c r="BQ66" s="21">
        <f>EXP(-LN(2)/25)*BQ65+(1-EXP(-LN(2)/25))/(LN(2)/25)*Calculateur!BL66*Calculateur!BN66*VLOOKUP('Données projet'!$B$11,Paramètres!$A$1:$I$89,3,0)*0.475*44/12</f>
        <v>6.1153380945573934</v>
      </c>
      <c r="BR66" s="21">
        <f>EXP(-LN(2)/2)*BR65+(1-EXP(-LN(2)/2))/(LN(2)/2)*BL66*BO66*VLOOKUP('Données projet'!$B$11,Paramètres!$A$1:$I$89,3,0)*0.475*44/12</f>
        <v>2.3671658721427426E-4</v>
      </c>
      <c r="BS66" s="22">
        <f t="shared" si="9"/>
        <v>7.434050484735808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4.9000000000000004</v>
      </c>
      <c r="BY66" s="12">
        <f>IF('Données projet'!$A$114&gt;35,BY65+BX66-CG65,IF(A66&lt;'Données projet'!$A$114,$BV$205^A66,IF(A66='Données projet'!$A$114,'Données projet'!$B$114,BY65+BX66-CG65)))</f>
        <v>294.69999999999987</v>
      </c>
      <c r="BZ66" s="13">
        <f>BY66*VLOOKUP('Données projet'!$B$12,Paramètres!$A$1:$I$89,3,0)*VLOOKUP('Données projet'!$B$12,Paramètres!$A$1:$I$89,5,0)</f>
        <v>234.46331999999992</v>
      </c>
      <c r="CA66" s="13">
        <f t="shared" si="39"/>
        <v>57.24667349069928</v>
      </c>
      <c r="CB66" s="20">
        <f t="shared" si="10"/>
        <v>508.06157199630115</v>
      </c>
      <c r="CC66" s="59">
        <f t="shared" si="11"/>
        <v>801.39490532963441</v>
      </c>
      <c r="CD66" s="59">
        <f ca="1">AVERAGE(OFFSET($CC$3,0,0,'Données projet'!$E$12+1,1))-AVERAGE(OFFSET($H$3,0,0,'Données projet'!$E$12+1,1))</f>
        <v>260.20517190557814</v>
      </c>
      <c r="CE66" s="59">
        <f t="shared" si="40"/>
        <v>307.22009971147133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1.6974129563869573</v>
      </c>
      <c r="CL66" s="21">
        <f>EXP(-LN(2)/25)*CL65+(1-EXP(-LN(2)/25))/(LN(2)/25)*Calculateur!CG66*Calculateur!CI66*VLOOKUP('Données projet'!$B$12,Paramètres!$A$1:$I$89,3,0)*0.475*44/12</f>
        <v>8.2188178214704042</v>
      </c>
      <c r="CM66" s="21">
        <f>EXP(-LN(2)/2)*CM65+(1-EXP(-LN(2)/2))/(LN(2)/2)*CG66*CJ66*VLOOKUP('Données projet'!$B$12,Paramètres!$A$1:$I$89,3,0)*0.475*44/12</f>
        <v>2.5937140095978344E-4</v>
      </c>
      <c r="CN66" s="22">
        <f t="shared" si="12"/>
        <v>9.9164901492583208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>
        <f>VLOOKUP(A66,'Données projet'!$A$139:$I$159,2,0)</f>
        <v>220.28846153846152</v>
      </c>
      <c r="CR66" s="12">
        <f>VLOOKUP(A66,'Données projet'!$A$139:$I$159,9,0)</f>
        <v>8.374198717948719</v>
      </c>
      <c r="CS66" s="12">
        <f t="array" ref="CS66">INDEX(CR:CR,MIN(IF(ISNUMBER(CR66:CR262),ROW(CR66:CR262),"")))</f>
        <v>8.374198717948719</v>
      </c>
      <c r="CT66" s="12">
        <f>IF('Données projet'!$A$140&gt;35,CT65+CS66-DB65,IF(A66&lt;'Données projet'!$A$140,$CQ$205^A66,IF(A66='Données projet'!$A$140,'Données projet'!$B$140,CT65+CS66-DB65)))</f>
        <v>220.2884615384616</v>
      </c>
      <c r="CU66" s="17">
        <f>CT66*VLOOKUP('Données projet'!$B$13,Paramètres!$A$1:$I$89,3,0)*VLOOKUP('Données projet'!$B$13,Paramètres!$A$1:$I$89,5,0)</f>
        <v>223.37250000000009</v>
      </c>
      <c r="CV66" s="13">
        <f t="shared" si="41"/>
        <v>54.84723166915564</v>
      </c>
      <c r="CW66" s="20">
        <f t="shared" si="13"/>
        <v>484.56603265711283</v>
      </c>
      <c r="CX66" s="59">
        <f t="shared" si="14"/>
        <v>777.89936599044609</v>
      </c>
      <c r="CY66" s="59">
        <f ca="1">AVERAGE(OFFSET($CX$3,0,0,'Données projet'!$E$13+1,1))-AVERAGE(OFFSET($H$3,0,0,'Données projet'!$E$13+1,1))</f>
        <v>263.15518481854753</v>
      </c>
      <c r="CZ66" s="59">
        <f t="shared" si="42"/>
        <v>210.80755370263819</v>
      </c>
      <c r="DA66" s="15">
        <f>IF(ISNA(VLOOKUP(A66,'Données projet'!$A$139:$I$159,3,0)),0,VLOOKUP(A66,'Données projet'!$A$139:$I$159,3,0))</f>
        <v>5</v>
      </c>
      <c r="DB66" s="15">
        <f>IF(ISNA(VLOOKUP(A66,'Données projet'!$A$139:$I$159,4,0)),0,VLOOKUP(A66,'Données projet'!$A$139:$I$159,4,0))</f>
        <v>41.724358974358978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0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5.9</v>
      </c>
      <c r="DO66" s="12">
        <f>IF('Données projet'!$A$166&gt;35,DO65+DN66-DW65,IF(A66&lt;'Données projet'!$A$166,$DL$205^A66,IF(A66='Données projet'!$A$166,'Données projet'!$B$166,DO65+DN66-DW65)))</f>
        <v>233.7</v>
      </c>
      <c r="DP66" s="17">
        <f>DO66*VLOOKUP('Données projet'!$B$14,Paramètres!$A$1:$I$89,3,0)*VLOOKUP('Données projet'!$B$14,Paramètres!$A$1:$I$89,5,0)</f>
        <v>189.57744</v>
      </c>
      <c r="DQ66" s="13">
        <f t="shared" si="43"/>
        <v>47.446518732558857</v>
      </c>
      <c r="DR66" s="20">
        <f t="shared" si="16"/>
        <v>412.81672812587334</v>
      </c>
      <c r="DS66" s="59">
        <f t="shared" si="17"/>
        <v>706.15006145920665</v>
      </c>
      <c r="DT66" s="59">
        <f ca="1">AVERAGE(OFFSET($DS$3,0,0,'Données projet'!$E$14+1,1))-AVERAGE(OFFSET($H$3,0,0,'Données projet'!$E$14+1,1))</f>
        <v>203.21935660591021</v>
      </c>
      <c r="DU66" s="59">
        <f t="shared" si="44"/>
        <v>180.54762778843178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0.52154114281756814</v>
      </c>
      <c r="EB66" s="21">
        <f>EXP(-LN(2)/25)*EB65+(1-EXP(-LN(2)/25))/(LN(2)/25)*Calculateur!DW66*Calculateur!DY66*VLOOKUP('Données projet'!$B$14,Paramètres!$A$1:$I$89,3,0)*0.475*44/12</f>
        <v>2.3245850066510139</v>
      </c>
      <c r="EC66" s="21">
        <f>EXP(-LN(2)/2)*EC65+(1-EXP(-LN(2)/2))/(LN(2)/2)*DW66*DZ66*VLOOKUP('Données projet'!$B$14,Paramètres!$A$1:$I$89,3,0)*0.475*44/12</f>
        <v>9.7782679445114314E-5</v>
      </c>
      <c r="ED66" s="22">
        <f t="shared" si="18"/>
        <v>2.8462239321480269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4.9000000000000004</v>
      </c>
      <c r="EJ66" s="12">
        <f>IF('Données projet'!$A$192&gt;35,EJ65+EI66-ER65,IF(A66&lt;'Données projet'!$A$192,$EG$205^A66,IF(A66='Données projet'!$A$192,'Données projet'!$B$192,EJ65+EI66-ER65)))</f>
        <v>294.69999999999987</v>
      </c>
      <c r="EK66" s="17">
        <f>EJ66*VLOOKUP('Données projet'!$B$15,Paramètres!$A$1:$I$89,3,0)*VLOOKUP('Données projet'!$B$15,Paramètres!$A$1:$I$89,5,0)</f>
        <v>197.68475999999993</v>
      </c>
      <c r="EL66" s="13">
        <f t="shared" si="45"/>
        <v>49.235003753287103</v>
      </c>
      <c r="EM66" s="20">
        <f t="shared" si="19"/>
        <v>430.05192187030821</v>
      </c>
      <c r="EN66" s="59">
        <f t="shared" si="20"/>
        <v>723.38525520364146</v>
      </c>
      <c r="EO66" s="59">
        <f ca="1">AVERAGE(OFFSET($EN$3,0,0,'Données projet'!$E$15+1,1))-AVERAGE(OFFSET($H$3,0,0,'Données projet'!$E$15+1,1))</f>
        <v>207.93042467236967</v>
      </c>
      <c r="EP66" s="59">
        <f t="shared" si="46"/>
        <v>250.70954318710835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1.4311521004831202</v>
      </c>
      <c r="EW66" s="21">
        <f>EXP(-LN(2)/25)*EW65+(1-EXP(-LN(2)/25))/(LN(2)/25)*Calculateur!ER66*Calculateur!ET66*VLOOKUP('Données projet'!$B$15,Paramètres!$A$1:$I$89,3,0)*0.475*44/12</f>
        <v>6.9295914965338765</v>
      </c>
      <c r="EX66" s="21">
        <f>EXP(-LN(2)/2)*EX65+(1-EXP(-LN(2)/2))/(LN(2)/2)*ER66*EU66*VLOOKUP('Données projet'!$B$15,Paramètres!$A$1:$I$89,3,0)*0.475*44/12</f>
        <v>2.1868569100530759E-4</v>
      </c>
      <c r="EY66" s="22">
        <f t="shared" si="21"/>
        <v>8.3609622827080017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-2.2737367544323206E-13</v>
      </c>
      <c r="O67" s="13">
        <f>N67*VLOOKUP('Données projet'!$B$9,Paramètres!$A$1:$I$89,3,0)*VLOOKUP('Données projet'!$B$9,Paramètres!$A$1:$I$89,5,0)</f>
        <v>-1.2710188457276673E-13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255.5374979188561</v>
      </c>
      <c r="T67" s="59">
        <f t="shared" si="34"/>
        <v>343.10418468620901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1.5759233183313732</v>
      </c>
      <c r="AA67" s="21">
        <f>EXP(-LN(2)/25)*AA66+(1-EXP(-LN(2)/25))/(LN(2)/25)*Calculateur!V67*Calculateur!X67*VLOOKUP('Données projet'!$B$9,Paramètres!$A$1:$I$89,3,0)*0.475*44/12</f>
        <v>6.2178342982539663</v>
      </c>
      <c r="AB67" s="21">
        <f>EXP(-LN(2)/2)*AB66+(1-EXP(-LN(2)/2))/(LN(2)/2)*V67*Y67*VLOOKUP('Données projet'!$B$9,Paramètres!$A$1:$I$89,3,0)*0.475*44/12</f>
        <v>1.2913910518295792E-5</v>
      </c>
      <c r="AC67" s="22">
        <f t="shared" si="3"/>
        <v>7.7937705304958582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13.737499999999997</v>
      </c>
      <c r="AI67" s="13">
        <f>IF('Données projet'!$A$62&gt;35,AI66+AH67-AQ66,IF(A67&lt;'Données projet'!$A$62,$AF$205^A67,IF(A67='Données projet'!$A$62,'Données projet'!$B$62,AI66+AH67-AQ66)))</f>
        <v>317.79134615384612</v>
      </c>
      <c r="AJ67" s="13">
        <f>AI67*VLOOKUP('Données projet'!$B$10,Paramètres!$A$1:$I$89,3,0)*VLOOKUP('Données projet'!$B$10,Paramètres!$A$1:$I$89,5,0)</f>
        <v>148.72635</v>
      </c>
      <c r="AK67" s="13">
        <f t="shared" si="35"/>
        <v>38.289000598915827</v>
      </c>
      <c r="AL67" s="20">
        <f t="shared" si="4"/>
        <v>325.71840229311169</v>
      </c>
      <c r="AM67" s="59">
        <f t="shared" si="5"/>
        <v>619.05173562644495</v>
      </c>
      <c r="AN67" s="59">
        <f ca="1">AVERAGE(OFFSET($AM$3,0,0,'Données projet'!$E$10+1,1))-AVERAGE(OFFSET($H$3,0,0,'Données projet'!$E$10+1,1))</f>
        <v>158.58786357608489</v>
      </c>
      <c r="AO67" s="59">
        <f t="shared" si="36"/>
        <v>163.20074068819849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16.399999999999999</v>
      </c>
      <c r="BD67" s="12">
        <f>IF('Données projet'!$A$88&gt;35,BD66+BC67-BL66,IF(A67&lt;'Données projet'!$A$88,$BA$205^A67,IF(A67='Données projet'!$A$88,'Données projet'!$B$88,BD66+BC67-BL66)))</f>
        <v>465.59999999999968</v>
      </c>
      <c r="BE67" s="13">
        <f>BD67*VLOOKUP('Données projet'!$B$11,Paramètres!$A$1:$I$89,3,0)*VLOOKUP('Données projet'!$B$11,Paramètres!$A$1:$I$89,5,0)</f>
        <v>278.42879999999985</v>
      </c>
      <c r="BF67" s="13">
        <f t="shared" si="37"/>
        <v>66.634860488094674</v>
      </c>
      <c r="BG67" s="20">
        <f t="shared" si="7"/>
        <v>600.9858753500979</v>
      </c>
      <c r="BH67" s="59">
        <f t="shared" si="8"/>
        <v>894.31920868343127</v>
      </c>
      <c r="BI67" s="59">
        <f ca="1">AVERAGE(OFFSET($BH$3,0,0,'Données projet'!$E$11+1,1))-AVERAGE(OFFSET($H$3,0,0,'Données projet'!$E$11+1,1))</f>
        <v>316.58509520829671</v>
      </c>
      <c r="BJ67" s="59">
        <f t="shared" si="38"/>
        <v>240.71332110643596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1.2926211698228305</v>
      </c>
      <c r="BQ67" s="21">
        <f>EXP(-LN(2)/25)*BQ66+(1-EXP(-LN(2)/25))/(LN(2)/25)*Calculateur!BL67*Calculateur!BN67*VLOOKUP('Données projet'!$B$11,Paramètres!$A$1:$I$89,3,0)*0.475*44/12</f>
        <v>5.9481138527700681</v>
      </c>
      <c r="BR67" s="21">
        <f>EXP(-LN(2)/2)*BR66+(1-EXP(-LN(2)/2))/(LN(2)/2)*BL67*BO67*VLOOKUP('Données projet'!$B$11,Paramètres!$A$1:$I$89,3,0)*0.475*44/12</f>
        <v>1.6738390403855014E-4</v>
      </c>
      <c r="BS67" s="22">
        <f t="shared" si="9"/>
        <v>7.2409024064969376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4.9000000000000004</v>
      </c>
      <c r="BY67" s="12">
        <f>IF('Données projet'!$A$114&gt;35,BY66+BX67-CG66,IF(A67&lt;'Données projet'!$A$114,$BV$205^A67,IF(A67='Données projet'!$A$114,'Données projet'!$B$114,BY66+BX67-CG66)))</f>
        <v>299.59999999999985</v>
      </c>
      <c r="BZ67" s="13">
        <f>BY67*VLOOKUP('Données projet'!$B$12,Paramètres!$A$1:$I$89,3,0)*VLOOKUP('Données projet'!$B$12,Paramètres!$A$1:$I$89,5,0)</f>
        <v>238.36175999999992</v>
      </c>
      <c r="CA67" s="13">
        <f t="shared" si="39"/>
        <v>58.086914779719031</v>
      </c>
      <c r="CB67" s="20">
        <f t="shared" si="10"/>
        <v>516.3147752413438</v>
      </c>
      <c r="CC67" s="59">
        <f t="shared" si="11"/>
        <v>809.64810857467705</v>
      </c>
      <c r="CD67" s="59">
        <f ca="1">AVERAGE(OFFSET($CC$3,0,0,'Données projet'!$E$12+1,1))-AVERAGE(OFFSET($H$3,0,0,'Données projet'!$E$12+1,1))</f>
        <v>260.20517190557814</v>
      </c>
      <c r="CE67" s="59">
        <f t="shared" si="40"/>
        <v>307.22009971147133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1.6641277236318832</v>
      </c>
      <c r="CL67" s="21">
        <f>EXP(-LN(2)/25)*CL66+(1-EXP(-LN(2)/25))/(LN(2)/25)*Calculateur!CG67*Calculateur!CI67*VLOOKUP('Données projet'!$B$12,Paramètres!$A$1:$I$89,3,0)*0.475*44/12</f>
        <v>7.9940738159334508</v>
      </c>
      <c r="CM67" s="21">
        <f>EXP(-LN(2)/2)*CM66+(1-EXP(-LN(2)/2))/(LN(2)/2)*CG67*CJ67*VLOOKUP('Données projet'!$B$12,Paramètres!$A$1:$I$89,3,0)*0.475*44/12</f>
        <v>1.8340327646451787E-4</v>
      </c>
      <c r="CN67" s="22">
        <f t="shared" si="12"/>
        <v>9.6583849428417992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8.1001602564102555</v>
      </c>
      <c r="CT67" s="12">
        <f>IF('Données projet'!$A$140&gt;35,CT66+CS67-DB66,IF(A67&lt;'Données projet'!$A$140,$CQ$205^A67,IF(A67='Données projet'!$A$140,'Données projet'!$B$140,CT66+CS67-DB66)))</f>
        <v>186.66426282051287</v>
      </c>
      <c r="CU67" s="17">
        <f>CT67*VLOOKUP('Données projet'!$B$13,Paramètres!$A$1:$I$89,3,0)*VLOOKUP('Données projet'!$B$13,Paramètres!$A$1:$I$89,5,0)</f>
        <v>189.27756250000004</v>
      </c>
      <c r="CV67" s="13">
        <f t="shared" si="41"/>
        <v>47.380196781958283</v>
      </c>
      <c r="CW67" s="20">
        <f t="shared" si="13"/>
        <v>412.17893074941077</v>
      </c>
      <c r="CX67" s="59">
        <f t="shared" si="14"/>
        <v>705.51226408274408</v>
      </c>
      <c r="CY67" s="59">
        <f ca="1">AVERAGE(OFFSET($CX$3,0,0,'Données projet'!$E$13+1,1))-AVERAGE(OFFSET($H$3,0,0,'Données projet'!$E$13+1,1))</f>
        <v>263.15518481854753</v>
      </c>
      <c r="CZ67" s="59">
        <f t="shared" si="42"/>
        <v>210.80755370263819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0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5.9</v>
      </c>
      <c r="DO67" s="12">
        <f>IF('Données projet'!$A$166&gt;35,DO66+DN67-DW66,IF(A67&lt;'Données projet'!$A$166,$DL$205^A67,IF(A67='Données projet'!$A$166,'Données projet'!$B$166,DO66+DN67-DW66)))</f>
        <v>239.6</v>
      </c>
      <c r="DP67" s="17">
        <f>DO67*VLOOKUP('Données projet'!$B$14,Paramètres!$A$1:$I$89,3,0)*VLOOKUP('Données projet'!$B$14,Paramètres!$A$1:$I$89,5,0)</f>
        <v>194.36351999999999</v>
      </c>
      <c r="DQ67" s="13">
        <f t="shared" si="43"/>
        <v>48.503386608105338</v>
      </c>
      <c r="DR67" s="20">
        <f t="shared" si="16"/>
        <v>422.9931956757834</v>
      </c>
      <c r="DS67" s="59">
        <f t="shared" si="17"/>
        <v>716.32652900911671</v>
      </c>
      <c r="DT67" s="59">
        <f ca="1">AVERAGE(OFFSET($DS$3,0,0,'Données projet'!$E$14+1,1))-AVERAGE(OFFSET($H$3,0,0,'Données projet'!$E$14+1,1))</f>
        <v>203.21935660591021</v>
      </c>
      <c r="DU67" s="59">
        <f t="shared" si="44"/>
        <v>180.54762778843178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0.51131403911560214</v>
      </c>
      <c r="EB67" s="21">
        <f>EXP(-LN(2)/25)*EB66+(1-EXP(-LN(2)/25))/(LN(2)/25)*Calculateur!DW67*Calculateur!DY67*VLOOKUP('Données projet'!$B$14,Paramètres!$A$1:$I$89,3,0)*0.475*44/12</f>
        <v>2.2610191073995294</v>
      </c>
      <c r="EC67" s="21">
        <f>EXP(-LN(2)/2)*EC66+(1-EXP(-LN(2)/2))/(LN(2)/2)*DW67*DZ67*VLOOKUP('Données projet'!$B$14,Paramètres!$A$1:$I$89,3,0)*0.475*44/12</f>
        <v>6.9142795718230764E-5</v>
      </c>
      <c r="ED67" s="22">
        <f t="shared" si="18"/>
        <v>2.7724022893108495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4.9000000000000004</v>
      </c>
      <c r="EJ67" s="12">
        <f>IF('Données projet'!$A$192&gt;35,EJ66+EI67-ER66,IF(A67&lt;'Données projet'!$A$192,$EG$205^A67,IF(A67='Données projet'!$A$192,'Données projet'!$B$192,EJ66+EI67-ER66)))</f>
        <v>299.59999999999985</v>
      </c>
      <c r="EK67" s="17">
        <f>EJ67*VLOOKUP('Données projet'!$B$15,Paramètres!$A$1:$I$89,3,0)*VLOOKUP('Données projet'!$B$15,Paramètres!$A$1:$I$89,5,0)</f>
        <v>200.97167999999994</v>
      </c>
      <c r="EL67" s="13">
        <f t="shared" si="45"/>
        <v>49.957653306457651</v>
      </c>
      <c r="EM67" s="20">
        <f t="shared" si="19"/>
        <v>437.03525550874696</v>
      </c>
      <c r="EN67" s="59">
        <f t="shared" si="20"/>
        <v>730.36858884208027</v>
      </c>
      <c r="EO67" s="59">
        <f ca="1">AVERAGE(OFFSET($EN$3,0,0,'Données projet'!$E$15+1,1))-AVERAGE(OFFSET($H$3,0,0,'Données projet'!$E$15+1,1))</f>
        <v>207.93042467236967</v>
      </c>
      <c r="EP67" s="59">
        <f t="shared" si="46"/>
        <v>250.70954318710835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1.4030880807092343</v>
      </c>
      <c r="EW67" s="21">
        <f>EXP(-LN(2)/25)*EW66+(1-EXP(-LN(2)/25))/(LN(2)/25)*Calculateur!ER67*Calculateur!ET67*VLOOKUP('Données projet'!$B$15,Paramètres!$A$1:$I$89,3,0)*0.475*44/12</f>
        <v>6.7401014526497782</v>
      </c>
      <c r="EX67" s="21">
        <f>EXP(-LN(2)/2)*EX66+(1-EXP(-LN(2)/2))/(LN(2)/2)*ER67*EU67*VLOOKUP('Données projet'!$B$15,Paramètres!$A$1:$I$89,3,0)*0.475*44/12</f>
        <v>1.5463413505831898E-4</v>
      </c>
      <c r="EY67" s="22">
        <f t="shared" si="21"/>
        <v>8.143344167494071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-2.2737367544323206E-13</v>
      </c>
      <c r="O68" s="13">
        <f>N68*VLOOKUP('Données projet'!$B$9,Paramètres!$A$1:$I$89,3,0)*VLOOKUP('Données projet'!$B$9,Paramètres!$A$1:$I$89,5,0)</f>
        <v>-1.2710188457276673E-13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255.5374979188561</v>
      </c>
      <c r="T68" s="59">
        <f t="shared" si="34"/>
        <v>343.10418468620901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1.5450204232772067</v>
      </c>
      <c r="AA68" s="21">
        <f>EXP(-LN(2)/25)*AA67+(1-EXP(-LN(2)/25))/(LN(2)/25)*Calculateur!V68*Calculateur!X68*VLOOKUP('Données projet'!$B$9,Paramètres!$A$1:$I$89,3,0)*0.475*44/12</f>
        <v>6.0478072923865165</v>
      </c>
      <c r="AB68" s="21">
        <f>EXP(-LN(2)/2)*AB67+(1-EXP(-LN(2)/2))/(LN(2)/2)*V68*Y68*VLOOKUP('Données projet'!$B$9,Paramètres!$A$1:$I$89,3,0)*0.475*44/12</f>
        <v>9.1315136991232369E-6</v>
      </c>
      <c r="AC68" s="22">
        <f t="shared" ref="AC68:AC131" si="57">SUM(Z68:AB68)</f>
        <v>7.5928368471774226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13.737499999999997</v>
      </c>
      <c r="AI68" s="13">
        <f>IF('Données projet'!$A$62&gt;35,AI67+AH68-AQ67,IF(A68&lt;'Données projet'!$A$62,$AF$205^A68,IF(A68='Données projet'!$A$62,'Données projet'!$B$62,AI67+AH68-AQ67)))</f>
        <v>331.52884615384613</v>
      </c>
      <c r="AJ68" s="13">
        <f>AI68*VLOOKUP('Données projet'!$B$10,Paramètres!$A$1:$I$89,3,0)*VLOOKUP('Données projet'!$B$10,Paramètres!$A$1:$I$89,5,0)</f>
        <v>155.15549999999999</v>
      </c>
      <c r="AK68" s="13">
        <f t="shared" si="35"/>
        <v>39.74787733410745</v>
      </c>
      <c r="AL68" s="20">
        <f t="shared" ref="AL68:AL131" si="58">(AJ68+AK68)*0.475*44/12</f>
        <v>339.45671552357044</v>
      </c>
      <c r="AM68" s="59">
        <f t="shared" ref="AM68:AM131" si="59">AL68+(AD68+AE68)*44/12</f>
        <v>632.7900488569037</v>
      </c>
      <c r="AN68" s="59">
        <f ca="1">AVERAGE(OFFSET($AM$3,0,0,'Données projet'!$E$10+1,1))-AVERAGE(OFFSET($H$3,0,0,'Données projet'!$E$10+1,1))</f>
        <v>158.58786357608489</v>
      </c>
      <c r="AO68" s="59">
        <f t="shared" si="36"/>
        <v>163.20074068819849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16.399999999999999</v>
      </c>
      <c r="BD68" s="12">
        <f>IF('Données projet'!$A$88&gt;35,BD67+BC68-BL67,IF(A68&lt;'Données projet'!$A$88,$BA$205^A68,IF(A68='Données projet'!$A$88,'Données projet'!$B$88,BD67+BC68-BL67)))</f>
        <v>481.99999999999966</v>
      </c>
      <c r="BE68" s="13">
        <f>BD68*VLOOKUP('Données projet'!$B$11,Paramètres!$A$1:$I$89,3,0)*VLOOKUP('Données projet'!$B$11,Paramètres!$A$1:$I$89,5,0)</f>
        <v>288.23599999999982</v>
      </c>
      <c r="BF68" s="13">
        <f t="shared" si="37"/>
        <v>68.704564966369475</v>
      </c>
      <c r="BG68" s="20">
        <f t="shared" ref="BG68:BG131" si="61">(BE68+BF68)*0.475*44/12</f>
        <v>621.67148398309314</v>
      </c>
      <c r="BH68" s="59">
        <f t="shared" ref="BH68:BH131" si="62">BG68+(AY68+AZ68)*44/12</f>
        <v>915.0048173164264</v>
      </c>
      <c r="BI68" s="59">
        <f ca="1">AVERAGE(OFFSET($BH$3,0,0,'Données projet'!$E$11+1,1))-AVERAGE(OFFSET($H$3,0,0,'Données projet'!$E$11+1,1))</f>
        <v>316.58509520829671</v>
      </c>
      <c r="BJ68" s="59">
        <f t="shared" si="38"/>
        <v>240.71332110643596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1.2672736571036682</v>
      </c>
      <c r="BQ68" s="21">
        <f>EXP(-LN(2)/25)*BQ67+(1-EXP(-LN(2)/25))/(LN(2)/25)*Calculateur!BL68*Calculateur!BN68*VLOOKUP('Données projet'!$B$11,Paramètres!$A$1:$I$89,3,0)*0.475*44/12</f>
        <v>5.7854623666683578</v>
      </c>
      <c r="BR68" s="21">
        <f>EXP(-LN(2)/2)*BR67+(1-EXP(-LN(2)/2))/(LN(2)/2)*BL68*BO68*VLOOKUP('Données projet'!$B$11,Paramètres!$A$1:$I$89,3,0)*0.475*44/12</f>
        <v>1.1835829360713715E-4</v>
      </c>
      <c r="BS68" s="22">
        <f t="shared" ref="BS68:BS131" si="63">SUM(BP68:BR68)</f>
        <v>7.0528543820656324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4.9000000000000004</v>
      </c>
      <c r="BY68" s="12">
        <f>IF('Données projet'!$A$114&gt;35,BY67+BX68-CG67,IF(A68&lt;'Données projet'!$A$114,$BV$205^A68,IF(A68='Données projet'!$A$114,'Données projet'!$B$114,BY67+BX68-CG67)))</f>
        <v>304.49999999999983</v>
      </c>
      <c r="BZ68" s="13">
        <f>BY68*VLOOKUP('Données projet'!$B$12,Paramètres!$A$1:$I$89,3,0)*VLOOKUP('Données projet'!$B$12,Paramètres!$A$1:$I$89,5,0)</f>
        <v>242.26019999999986</v>
      </c>
      <c r="CA68" s="13">
        <f t="shared" si="39"/>
        <v>58.925557915516166</v>
      </c>
      <c r="CB68" s="20">
        <f t="shared" ref="CB68:CB131" si="64">(BZ68+CA68)*0.475*44/12</f>
        <v>524.5651950361904</v>
      </c>
      <c r="CC68" s="59">
        <f t="shared" ref="CC68:CC131" si="65">CB68+(BT68+BU68)*44/12</f>
        <v>817.89852836952377</v>
      </c>
      <c r="CD68" s="59">
        <f ca="1">AVERAGE(OFFSET($CC$3,0,0,'Données projet'!$E$12+1,1))-AVERAGE(OFFSET($H$3,0,0,'Données projet'!$E$12+1,1))</f>
        <v>260.20517190557814</v>
      </c>
      <c r="CE68" s="59">
        <f t="shared" si="40"/>
        <v>307.22009971147133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1.6314951939891487</v>
      </c>
      <c r="CL68" s="21">
        <f>EXP(-LN(2)/25)*CL67+(1-EXP(-LN(2)/25))/(LN(2)/25)*Calculateur!CG68*Calculateur!CI68*VLOOKUP('Données projet'!$B$12,Paramètres!$A$1:$I$89,3,0)*0.475*44/12</f>
        <v>7.7754754470466789</v>
      </c>
      <c r="CM68" s="21">
        <f>EXP(-LN(2)/2)*CM67+(1-EXP(-LN(2)/2))/(LN(2)/2)*CG68*CJ68*VLOOKUP('Données projet'!$B$12,Paramètres!$A$1:$I$89,3,0)*0.475*44/12</f>
        <v>1.2968570047989172E-4</v>
      </c>
      <c r="CN68" s="22">
        <f t="shared" ref="CN68:CN131" si="66">SUM(CK68:CM68)</f>
        <v>9.4071003267363089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8.1001602564102555</v>
      </c>
      <c r="CT68" s="12">
        <f>IF('Données projet'!$A$140&gt;35,CT67+CS68-DB67,IF(A68&lt;'Données projet'!$A$140,$CQ$205^A68,IF(A68='Données projet'!$A$140,'Données projet'!$B$140,CT67+CS68-DB67)))</f>
        <v>194.76442307692312</v>
      </c>
      <c r="CU68" s="17">
        <f>CT68*VLOOKUP('Données projet'!$B$13,Paramètres!$A$1:$I$89,3,0)*VLOOKUP('Données projet'!$B$13,Paramètres!$A$1:$I$89,5,0)</f>
        <v>197.49112500000007</v>
      </c>
      <c r="CV68" s="13">
        <f t="shared" si="41"/>
        <v>49.192388495579841</v>
      </c>
      <c r="CW68" s="20">
        <f t="shared" ref="CW68:CW131" si="67">(CU68+CV68)*0.475*44/12</f>
        <v>429.64045267146838</v>
      </c>
      <c r="CX68" s="59">
        <f t="shared" ref="CX68:CX131" si="68">CW68+(CO68+CP68)*44/12</f>
        <v>722.9737860048017</v>
      </c>
      <c r="CY68" s="59">
        <f ca="1">AVERAGE(OFFSET($CX$3,0,0,'Données projet'!$E$13+1,1))-AVERAGE(OFFSET($H$3,0,0,'Données projet'!$E$13+1,1))</f>
        <v>263.15518481854753</v>
      </c>
      <c r="CZ68" s="59">
        <f t="shared" si="42"/>
        <v>210.80755370263819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0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5.9</v>
      </c>
      <c r="DO68" s="12">
        <f>IF('Données projet'!$A$166&gt;35,DO67+DN68-DW67,IF(A68&lt;'Données projet'!$A$166,$DL$205^A68,IF(A68='Données projet'!$A$166,'Données projet'!$B$166,DO67+DN68-DW67)))</f>
        <v>245.5</v>
      </c>
      <c r="DP68" s="17">
        <f>DO68*VLOOKUP('Données projet'!$B$14,Paramètres!$A$1:$I$89,3,0)*VLOOKUP('Données projet'!$B$14,Paramètres!$A$1:$I$89,5,0)</f>
        <v>199.14960000000002</v>
      </c>
      <c r="DQ68" s="13">
        <f t="shared" si="43"/>
        <v>49.557229221549441</v>
      </c>
      <c r="DR68" s="20">
        <f t="shared" ref="DR68:DR131" si="70">(DP68+DQ68)*0.475*44/12</f>
        <v>433.164394227532</v>
      </c>
      <c r="DS68" s="59">
        <f t="shared" ref="DS68:DS131" si="71">DR68+(DJ68+DK68)*44/12</f>
        <v>726.49772756086531</v>
      </c>
      <c r="DT68" s="59">
        <f ca="1">AVERAGE(OFFSET($DS$3,0,0,'Données projet'!$E$14+1,1))-AVERAGE(OFFSET($H$3,0,0,'Données projet'!$E$14+1,1))</f>
        <v>203.21935660591021</v>
      </c>
      <c r="DU68" s="59">
        <f t="shared" si="44"/>
        <v>180.54762778843178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0.50128748267931433</v>
      </c>
      <c r="EB68" s="21">
        <f>EXP(-LN(2)/25)*EB67+(1-EXP(-LN(2)/25))/(LN(2)/25)*Calculateur!DW68*Calculateur!DY68*VLOOKUP('Données projet'!$B$14,Paramètres!$A$1:$I$89,3,0)*0.475*44/12</f>
        <v>2.1991914210058621</v>
      </c>
      <c r="EC68" s="21">
        <f>EXP(-LN(2)/2)*EC67+(1-EXP(-LN(2)/2))/(LN(2)/2)*DW68*DZ68*VLOOKUP('Données projet'!$B$14,Paramètres!$A$1:$I$89,3,0)*0.475*44/12</f>
        <v>4.8891339722557157E-5</v>
      </c>
      <c r="ED68" s="22">
        <f t="shared" ref="ED68:ED131" si="72">SUM(EA68:EC68)</f>
        <v>2.7005277950248989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4.9000000000000004</v>
      </c>
      <c r="EJ68" s="12">
        <f>IF('Données projet'!$A$192&gt;35,EJ67+EI68-ER67,IF(A68&lt;'Données projet'!$A$192,$EG$205^A68,IF(A68='Données projet'!$A$192,'Données projet'!$B$192,EJ67+EI68-ER67)))</f>
        <v>304.49999999999983</v>
      </c>
      <c r="EK68" s="17">
        <f>EJ68*VLOOKUP('Données projet'!$B$15,Paramètres!$A$1:$I$89,3,0)*VLOOKUP('Données projet'!$B$15,Paramètres!$A$1:$I$89,5,0)</f>
        <v>204.25859999999989</v>
      </c>
      <c r="EL68" s="13">
        <f t="shared" si="45"/>
        <v>50.678928367887181</v>
      </c>
      <c r="EM68" s="20">
        <f t="shared" ref="EM68:EM131" si="73">(EK68+EL68)*0.475*44/12</f>
        <v>444.01619524073664</v>
      </c>
      <c r="EN68" s="59">
        <f t="shared" ref="EN68:EN131" si="74">EM68+(EE68+EF68)*44/12</f>
        <v>737.34952857406995</v>
      </c>
      <c r="EO68" s="59">
        <f ca="1">AVERAGE(OFFSET($EN$3,0,0,'Données projet'!$E$15+1,1))-AVERAGE(OFFSET($H$3,0,0,'Données projet'!$E$15+1,1))</f>
        <v>207.93042467236967</v>
      </c>
      <c r="EP68" s="59">
        <f t="shared" si="46"/>
        <v>250.70954318710835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1.3755743792457522</v>
      </c>
      <c r="EW68" s="21">
        <f>EXP(-LN(2)/25)*EW67+(1-EXP(-LN(2)/25))/(LN(2)/25)*Calculateur!ER68*Calculateur!ET68*VLOOKUP('Données projet'!$B$15,Paramètres!$A$1:$I$89,3,0)*0.475*44/12</f>
        <v>6.5557930239805398</v>
      </c>
      <c r="EX68" s="21">
        <f>EXP(-LN(2)/2)*EX67+(1-EXP(-LN(2)/2))/(LN(2)/2)*ER68*EU68*VLOOKUP('Données projet'!$B$15,Paramètres!$A$1:$I$89,3,0)*0.475*44/12</f>
        <v>1.093428455026538E-4</v>
      </c>
      <c r="EY68" s="22">
        <f t="shared" ref="EY68:EY131" si="75">SUM(EV68:EX68)</f>
        <v>7.9314767460717945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-2.2737367544323206E-13</v>
      </c>
      <c r="O69" s="13">
        <f>N69*VLOOKUP('Données projet'!$B$9,Paramètres!$A$1:$I$89,3,0)*VLOOKUP('Données projet'!$B$9,Paramètres!$A$1:$I$89,5,0)</f>
        <v>-1.2710188457276673E-13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255.5374979188561</v>
      </c>
      <c r="T69" s="59">
        <f t="shared" ref="T69:T132" si="88">$T$3</f>
        <v>343.10418468620901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1.5147235151461476</v>
      </c>
      <c r="AA69" s="21">
        <f>EXP(-LN(2)/25)*AA68+(1-EXP(-LN(2)/25))/(LN(2)/25)*Calculateur!V69*Calculateur!X69*VLOOKUP('Données projet'!$B$9,Paramètres!$A$1:$I$89,3,0)*0.475*44/12</f>
        <v>5.8824296839358441</v>
      </c>
      <c r="AB69" s="21">
        <f>EXP(-LN(2)/2)*AB68+(1-EXP(-LN(2)/2))/(LN(2)/2)*V69*Y69*VLOOKUP('Données projet'!$B$9,Paramètres!$A$1:$I$89,3,0)*0.475*44/12</f>
        <v>6.456955259147896E-6</v>
      </c>
      <c r="AC69" s="22">
        <f t="shared" si="57"/>
        <v>7.3971596560372506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13.737499999999997</v>
      </c>
      <c r="AI69" s="13">
        <f>IF('Données projet'!$A$62&gt;35,AI68+AH69-AQ68,IF(A69&lt;'Données projet'!$A$62,$AF$205^A69,IF(A69='Données projet'!$A$62,'Données projet'!$B$62,AI68+AH69-AQ68)))</f>
        <v>345.26634615384614</v>
      </c>
      <c r="AJ69" s="13">
        <f>AI69*VLOOKUP('Données projet'!$B$10,Paramètres!$A$1:$I$89,3,0)*VLOOKUP('Données projet'!$B$10,Paramètres!$A$1:$I$89,5,0)</f>
        <v>161.58464999999998</v>
      </c>
      <c r="AK69" s="13">
        <f t="shared" ref="AK69:AK132" si="89">EXP(-1.0587+0.8836*LN(AJ69)+0.284)</f>
        <v>41.199732368807574</v>
      </c>
      <c r="AL69" s="20">
        <f t="shared" si="58"/>
        <v>353.18279929233978</v>
      </c>
      <c r="AM69" s="59">
        <f t="shared" si="59"/>
        <v>646.51613262567309</v>
      </c>
      <c r="AN69" s="59">
        <f ca="1">AVERAGE(OFFSET($AM$3,0,0,'Données projet'!$E$10+1,1))-AVERAGE(OFFSET($H$3,0,0,'Données projet'!$E$10+1,1))</f>
        <v>158.58786357608489</v>
      </c>
      <c r="AO69" s="59">
        <f t="shared" ref="AO69:AO132" si="90">$AO$3</f>
        <v>163.20074068819849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16.399999999999999</v>
      </c>
      <c r="BD69" s="12">
        <f>IF('Données projet'!$A$88&gt;35,BD68+BC69-BL68,IF(A69&lt;'Données projet'!$A$88,$BA$205^A69,IF(A69='Données projet'!$A$88,'Données projet'!$B$88,BD68+BC69-BL68)))</f>
        <v>498.39999999999964</v>
      </c>
      <c r="BE69" s="13">
        <f>BD69*VLOOKUP('Données projet'!$B$11,Paramètres!$A$1:$I$89,3,0)*VLOOKUP('Données projet'!$B$11,Paramètres!$A$1:$I$89,5,0)</f>
        <v>298.04319999999979</v>
      </c>
      <c r="BF69" s="13">
        <f t="shared" ref="BF69:BF132" si="91">EXP(-1.0587+0.8836*LN(BE69)+0.284)</f>
        <v>70.766086927307597</v>
      </c>
      <c r="BG69" s="20">
        <f t="shared" si="61"/>
        <v>642.3428413983936</v>
      </c>
      <c r="BH69" s="59">
        <f t="shared" si="62"/>
        <v>935.67617473172686</v>
      </c>
      <c r="BI69" s="59">
        <f ca="1">AVERAGE(OFFSET($BH$3,0,0,'Données projet'!$E$11+1,1))-AVERAGE(OFFSET($H$3,0,0,'Données projet'!$E$11+1,1))</f>
        <v>316.58509520829671</v>
      </c>
      <c r="BJ69" s="59">
        <f t="shared" ref="BJ69:BJ132" si="92">$BJ$3</f>
        <v>240.71332110643596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1.2424231936484726</v>
      </c>
      <c r="BQ69" s="21">
        <f>EXP(-LN(2)/25)*BQ68+(1-EXP(-LN(2)/25))/(LN(2)/25)*Calculateur!BL69*Calculateur!BN69*VLOOKUP('Données projet'!$B$11,Paramètres!$A$1:$I$89,3,0)*0.475*44/12</f>
        <v>5.6272585940075688</v>
      </c>
      <c r="BR69" s="21">
        <f>EXP(-LN(2)/2)*BR68+(1-EXP(-LN(2)/2))/(LN(2)/2)*BL69*BO69*VLOOKUP('Données projet'!$B$11,Paramètres!$A$1:$I$89,3,0)*0.475*44/12</f>
        <v>8.3691952019275081E-5</v>
      </c>
      <c r="BS69" s="22">
        <f t="shared" si="63"/>
        <v>6.8697654796080609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4.9000000000000004</v>
      </c>
      <c r="BY69" s="12">
        <f>IF('Données projet'!$A$114&gt;35,BY68+BX69-CG68,IF(A69&lt;'Données projet'!$A$114,$BV$205^A69,IF(A69='Données projet'!$A$114,'Données projet'!$B$114,BY68+BX69-CG68)))</f>
        <v>309.39999999999981</v>
      </c>
      <c r="BZ69" s="13">
        <f>BY69*VLOOKUP('Données projet'!$B$12,Paramètres!$A$1:$I$89,3,0)*VLOOKUP('Données projet'!$B$12,Paramètres!$A$1:$I$89,5,0)</f>
        <v>246.15863999999985</v>
      </c>
      <c r="CA69" s="13">
        <f t="shared" ref="CA69:CA132" si="93">EXP(-1.0587+0.8836*LN(BZ69)+0.284)</f>
        <v>59.762631584626781</v>
      </c>
      <c r="CB69" s="20">
        <f t="shared" si="64"/>
        <v>532.8128813432246</v>
      </c>
      <c r="CC69" s="59">
        <f t="shared" si="65"/>
        <v>826.14621467655797</v>
      </c>
      <c r="CD69" s="59">
        <f ca="1">AVERAGE(OFFSET($CC$3,0,0,'Données projet'!$E$12+1,1))-AVERAGE(OFFSET($H$3,0,0,'Données projet'!$E$12+1,1))</f>
        <v>260.20517190557814</v>
      </c>
      <c r="CE69" s="59">
        <f t="shared" ref="CE69:CE132" si="94">$CE$3</f>
        <v>307.22009971147133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1.5995025683488304</v>
      </c>
      <c r="CL69" s="21">
        <f>EXP(-LN(2)/25)*CL68+(1-EXP(-LN(2)/25))/(LN(2)/25)*Calculateur!CG69*Calculateur!CI69*VLOOKUP('Données projet'!$B$12,Paramètres!$A$1:$I$89,3,0)*0.475*44/12</f>
        <v>7.5628546620527048</v>
      </c>
      <c r="CM69" s="21">
        <f>EXP(-LN(2)/2)*CM68+(1-EXP(-LN(2)/2))/(LN(2)/2)*CG69*CJ69*VLOOKUP('Données projet'!$B$12,Paramètres!$A$1:$I$89,3,0)*0.475*44/12</f>
        <v>9.1701638232258935E-5</v>
      </c>
      <c r="CN69" s="22">
        <f t="shared" si="66"/>
        <v>9.1624489320397693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8.1001602564102555</v>
      </c>
      <c r="CT69" s="12">
        <f>IF('Données projet'!$A$140&gt;35,CT68+CS69-DB68,IF(A69&lt;'Données projet'!$A$140,$CQ$205^A69,IF(A69='Données projet'!$A$140,'Données projet'!$B$140,CT68+CS69-DB68)))</f>
        <v>202.86458333333337</v>
      </c>
      <c r="CU69" s="17">
        <f>CT69*VLOOKUP('Données projet'!$B$13,Paramètres!$A$1:$I$89,3,0)*VLOOKUP('Données projet'!$B$13,Paramètres!$A$1:$I$89,5,0)</f>
        <v>205.70468750000003</v>
      </c>
      <c r="CV69" s="13">
        <f t="shared" ref="CV69:CV132" si="95">EXP(-1.0587+0.8836*LN(CU69)+0.284)</f>
        <v>50.99582588645972</v>
      </c>
      <c r="CW69" s="20">
        <f t="shared" si="67"/>
        <v>447.08672748141743</v>
      </c>
      <c r="CX69" s="59">
        <f t="shared" si="68"/>
        <v>740.42006081475074</v>
      </c>
      <c r="CY69" s="59">
        <f ca="1">AVERAGE(OFFSET($CX$3,0,0,'Données projet'!$E$13+1,1))-AVERAGE(OFFSET($H$3,0,0,'Données projet'!$E$13+1,1))</f>
        <v>263.15518481854753</v>
      </c>
      <c r="CZ69" s="59">
        <f t="shared" ref="CZ69:CZ132" si="96">$CZ$3</f>
        <v>210.80755370263819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0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5.9</v>
      </c>
      <c r="DO69" s="12">
        <f>IF('Données projet'!$A$166&gt;35,DO68+DN69-DW68,IF(A69&lt;'Données projet'!$A$166,$DL$205^A69,IF(A69='Données projet'!$A$166,'Données projet'!$B$166,DO68+DN69-DW68)))</f>
        <v>251.4</v>
      </c>
      <c r="DP69" s="17">
        <f>DO69*VLOOKUP('Données projet'!$B$14,Paramètres!$A$1:$I$89,3,0)*VLOOKUP('Données projet'!$B$14,Paramètres!$A$1:$I$89,5,0)</f>
        <v>203.93568000000002</v>
      </c>
      <c r="DQ69" s="13">
        <f t="shared" ref="DQ69:DQ132" si="97">EXP(-1.0587+0.8836*LN(DP69)+0.284)</f>
        <v>50.608127642968469</v>
      </c>
      <c r="DR69" s="20">
        <f t="shared" si="70"/>
        <v>443.33046497817014</v>
      </c>
      <c r="DS69" s="59">
        <f t="shared" si="71"/>
        <v>736.66379831150346</v>
      </c>
      <c r="DT69" s="59">
        <f ca="1">AVERAGE(OFFSET($DS$3,0,0,'Données projet'!$E$14+1,1))-AVERAGE(OFFSET($H$3,0,0,'Données projet'!$E$14+1,1))</f>
        <v>203.21935660591021</v>
      </c>
      <c r="DU69" s="59">
        <f t="shared" ref="DU69:DU132" si="98">$DU$3</f>
        <v>180.54762778843178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0.49145754089914662</v>
      </c>
      <c r="EB69" s="21">
        <f>EXP(-LN(2)/25)*EB68+(1-EXP(-LN(2)/25))/(LN(2)/25)*Calculateur!DW69*Calculateur!DY69*VLOOKUP('Données projet'!$B$14,Paramètres!$A$1:$I$89,3,0)*0.475*44/12</f>
        <v>2.139054415948006</v>
      </c>
      <c r="EC69" s="21">
        <f>EXP(-LN(2)/2)*EC68+(1-EXP(-LN(2)/2))/(LN(2)/2)*DW69*DZ69*VLOOKUP('Données projet'!$B$14,Paramètres!$A$1:$I$89,3,0)*0.475*44/12</f>
        <v>3.4571397859115382E-5</v>
      </c>
      <c r="ED69" s="22">
        <f t="shared" si="72"/>
        <v>2.630546528245012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4.9000000000000004</v>
      </c>
      <c r="EJ69" s="12">
        <f>IF('Données projet'!$A$192&gt;35,EJ68+EI69-ER68,IF(A69&lt;'Données projet'!$A$192,$EG$205^A69,IF(A69='Données projet'!$A$192,'Données projet'!$B$192,EJ68+EI69-ER68)))</f>
        <v>309.39999999999981</v>
      </c>
      <c r="EK69" s="17">
        <f>EJ69*VLOOKUP('Données projet'!$B$15,Paramètres!$A$1:$I$89,3,0)*VLOOKUP('Données projet'!$B$15,Paramètres!$A$1:$I$89,5,0)</f>
        <v>207.54551999999987</v>
      </c>
      <c r="EL69" s="13">
        <f t="shared" ref="EL69:EL132" si="99">EXP(-1.0587+0.8836*LN(EK69)+0.284)</f>
        <v>51.398853609432223</v>
      </c>
      <c r="EM69" s="20">
        <f t="shared" si="73"/>
        <v>450.99478403642752</v>
      </c>
      <c r="EN69" s="59">
        <f t="shared" si="74"/>
        <v>744.32811736976078</v>
      </c>
      <c r="EO69" s="59">
        <f ca="1">AVERAGE(OFFSET($EN$3,0,0,'Données projet'!$E$15+1,1))-AVERAGE(OFFSET($H$3,0,0,'Données projet'!$E$15+1,1))</f>
        <v>207.93042467236967</v>
      </c>
      <c r="EP69" s="59">
        <f t="shared" ref="EP69:EP132" si="100">$EP$3</f>
        <v>250.70954318710835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1.3486002046862682</v>
      </c>
      <c r="EW69" s="21">
        <f>EXP(-LN(2)/25)*EW68+(1-EXP(-LN(2)/25))/(LN(2)/25)*Calculateur!ER69*Calculateur!ET69*VLOOKUP('Données projet'!$B$15,Paramètres!$A$1:$I$89,3,0)*0.475*44/12</f>
        <v>6.3765245189856206</v>
      </c>
      <c r="EX69" s="21">
        <f>EXP(-LN(2)/2)*EX68+(1-EXP(-LN(2)/2))/(LN(2)/2)*ER69*EU69*VLOOKUP('Données projet'!$B$15,Paramètres!$A$1:$I$89,3,0)*0.475*44/12</f>
        <v>7.7317067529159489E-5</v>
      </c>
      <c r="EY69" s="22">
        <f t="shared" si="75"/>
        <v>7.7252020407394175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-2.2737367544323206E-13</v>
      </c>
      <c r="O70" s="13">
        <f>N70*VLOOKUP('Données projet'!$B$9,Paramètres!$A$1:$I$89,3,0)*VLOOKUP('Données projet'!$B$9,Paramètres!$A$1:$I$89,5,0)</f>
        <v>-1.2710188457276673E-13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255.5374979188561</v>
      </c>
      <c r="T70" s="59">
        <f t="shared" si="88"/>
        <v>343.10418468620901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1.4850207109042493</v>
      </c>
      <c r="AA70" s="21">
        <f>EXP(-LN(2)/25)*AA69+(1-EXP(-LN(2)/25))/(LN(2)/25)*Calculateur!V70*Calculateur!X70*VLOOKUP('Données projet'!$B$9,Paramètres!$A$1:$I$89,3,0)*0.475*44/12</f>
        <v>5.7215743348850863</v>
      </c>
      <c r="AB70" s="21">
        <f>EXP(-LN(2)/2)*AB69+(1-EXP(-LN(2)/2))/(LN(2)/2)*V70*Y70*VLOOKUP('Données projet'!$B$9,Paramètres!$A$1:$I$89,3,0)*0.475*44/12</f>
        <v>4.5657568495616185E-6</v>
      </c>
      <c r="AC70" s="22">
        <f t="shared" si="57"/>
        <v>7.206599611546185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13.737499999999997</v>
      </c>
      <c r="AI70" s="13">
        <f>IF('Données projet'!$A$62&gt;35,AI69+AH70-AQ69,IF(A70&lt;'Données projet'!$A$62,$AF$205^A70,IF(A70='Données projet'!$A$62,'Données projet'!$B$62,AI69+AH70-AQ69)))</f>
        <v>359.00384615384615</v>
      </c>
      <c r="AJ70" s="13">
        <f>AI70*VLOOKUP('Données projet'!$B$10,Paramètres!$A$1:$I$89,3,0)*VLOOKUP('Données projet'!$B$10,Paramètres!$A$1:$I$89,5,0)</f>
        <v>168.0138</v>
      </c>
      <c r="AK70" s="13">
        <f t="shared" si="89"/>
        <v>42.644877049412187</v>
      </c>
      <c r="AL70" s="20">
        <f t="shared" si="58"/>
        <v>366.89719586105952</v>
      </c>
      <c r="AM70" s="59">
        <f t="shared" si="59"/>
        <v>660.23052919439283</v>
      </c>
      <c r="AN70" s="59">
        <f ca="1">AVERAGE(OFFSET($AM$3,0,0,'Données projet'!$E$10+1,1))-AVERAGE(OFFSET($H$3,0,0,'Données projet'!$E$10+1,1))</f>
        <v>158.58786357608489</v>
      </c>
      <c r="AO70" s="59">
        <f t="shared" si="90"/>
        <v>163.20074068819849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16.399999999999999</v>
      </c>
      <c r="BD70" s="12">
        <f>IF('Données projet'!$A$88&gt;35,BD69+BC70-BL69,IF(A70&lt;'Données projet'!$A$88,$BA$205^A70,IF(A70='Données projet'!$A$88,'Données projet'!$B$88,BD69+BC70-BL69)))</f>
        <v>514.79999999999961</v>
      </c>
      <c r="BE70" s="13">
        <f>BD70*VLOOKUP('Données projet'!$B$11,Paramètres!$A$1:$I$89,3,0)*VLOOKUP('Données projet'!$B$11,Paramètres!$A$1:$I$89,5,0)</f>
        <v>307.85039999999975</v>
      </c>
      <c r="BF70" s="13">
        <f t="shared" si="91"/>
        <v>72.819726494623737</v>
      </c>
      <c r="BG70" s="20">
        <f t="shared" si="61"/>
        <v>663.00047031146926</v>
      </c>
      <c r="BH70" s="59">
        <f t="shared" si="62"/>
        <v>956.33380364480263</v>
      </c>
      <c r="BI70" s="59">
        <f ca="1">AVERAGE(OFFSET($BH$3,0,0,'Données projet'!$E$11+1,1))-AVERAGE(OFFSET($H$3,0,0,'Données projet'!$E$11+1,1))</f>
        <v>316.58509520829671</v>
      </c>
      <c r="BJ70" s="59">
        <f t="shared" si="92"/>
        <v>240.71332110643596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1.2180600326243474</v>
      </c>
      <c r="BQ70" s="21">
        <f>EXP(-LN(2)/25)*BQ69+(1-EXP(-LN(2)/25))/(LN(2)/25)*Calculateur!BL70*Calculateur!BN70*VLOOKUP('Données projet'!$B$11,Paramètres!$A$1:$I$89,3,0)*0.475*44/12</f>
        <v>5.4733809118297634</v>
      </c>
      <c r="BR70" s="21">
        <f>EXP(-LN(2)/2)*BR69+(1-EXP(-LN(2)/2))/(LN(2)/2)*BL70*BO70*VLOOKUP('Données projet'!$B$11,Paramètres!$A$1:$I$89,3,0)*0.475*44/12</f>
        <v>5.9179146803568586E-5</v>
      </c>
      <c r="BS70" s="22">
        <f t="shared" si="63"/>
        <v>6.691500123600914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4.9000000000000004</v>
      </c>
      <c r="BY70" s="12">
        <f>IF('Données projet'!$A$114&gt;35,BY69+BX70-CG69,IF(A70&lt;'Données projet'!$A$114,$BV$205^A70,IF(A70='Données projet'!$A$114,'Données projet'!$B$114,BY69+BX70-CG69)))</f>
        <v>314.29999999999978</v>
      </c>
      <c r="BZ70" s="13">
        <f>BY70*VLOOKUP('Données projet'!$B$12,Paramètres!$A$1:$I$89,3,0)*VLOOKUP('Données projet'!$B$12,Paramètres!$A$1:$I$89,5,0)</f>
        <v>250.05707999999984</v>
      </c>
      <c r="CA70" s="13">
        <f t="shared" si="93"/>
        <v>60.598163512847748</v>
      </c>
      <c r="CB70" s="20">
        <f t="shared" si="64"/>
        <v>541.05788245154292</v>
      </c>
      <c r="CC70" s="59">
        <f t="shared" si="65"/>
        <v>834.39121578487629</v>
      </c>
      <c r="CD70" s="59">
        <f ca="1">AVERAGE(OFFSET($CC$3,0,0,'Données projet'!$E$12+1,1))-AVERAGE(OFFSET($H$3,0,0,'Données projet'!$E$12+1,1))</f>
        <v>260.20517190557814</v>
      </c>
      <c r="CE70" s="59">
        <f t="shared" si="94"/>
        <v>307.22009971147133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1.5681372985837441</v>
      </c>
      <c r="CL70" s="21">
        <f>EXP(-LN(2)/25)*CL69+(1-EXP(-LN(2)/25))/(LN(2)/25)*Calculateur!CG70*Calculateur!CI70*VLOOKUP('Données projet'!$B$12,Paramètres!$A$1:$I$89,3,0)*0.475*44/12</f>
        <v>7.3560480036056317</v>
      </c>
      <c r="CM70" s="21">
        <f>EXP(-LN(2)/2)*CM69+(1-EXP(-LN(2)/2))/(LN(2)/2)*CG70*CJ70*VLOOKUP('Données projet'!$B$12,Paramètres!$A$1:$I$89,3,0)*0.475*44/12</f>
        <v>6.4842850239945859E-5</v>
      </c>
      <c r="CN70" s="22">
        <f t="shared" si="66"/>
        <v>8.9242501450396148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8.1001602564102555</v>
      </c>
      <c r="CT70" s="12">
        <f>IF('Données projet'!$A$140&gt;35,CT69+CS70-DB69,IF(A70&lt;'Données projet'!$A$140,$CQ$205^A70,IF(A70='Données projet'!$A$140,'Données projet'!$B$140,CT69+CS70-DB69)))</f>
        <v>210.96474358974362</v>
      </c>
      <c r="CU70" s="17">
        <f>CT70*VLOOKUP('Données projet'!$B$13,Paramètres!$A$1:$I$89,3,0)*VLOOKUP('Données projet'!$B$13,Paramètres!$A$1:$I$89,5,0)</f>
        <v>213.91825000000006</v>
      </c>
      <c r="CV70" s="13">
        <f t="shared" si="95"/>
        <v>52.790898498252119</v>
      </c>
      <c r="CW70" s="20">
        <f t="shared" si="67"/>
        <v>464.51843363445579</v>
      </c>
      <c r="CX70" s="59">
        <f t="shared" si="68"/>
        <v>757.8517669677891</v>
      </c>
      <c r="CY70" s="59">
        <f ca="1">AVERAGE(OFFSET($CX$3,0,0,'Données projet'!$E$13+1,1))-AVERAGE(OFFSET($H$3,0,0,'Données projet'!$E$13+1,1))</f>
        <v>263.15518481854753</v>
      </c>
      <c r="CZ70" s="59">
        <f t="shared" si="96"/>
        <v>210.80755370263819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0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5.9</v>
      </c>
      <c r="DO70" s="12">
        <f>IF('Données projet'!$A$166&gt;35,DO69+DN70-DW69,IF(A70&lt;'Données projet'!$A$166,$DL$205^A70,IF(A70='Données projet'!$A$166,'Données projet'!$B$166,DO69+DN70-DW69)))</f>
        <v>257.3</v>
      </c>
      <c r="DP70" s="17">
        <f>DO70*VLOOKUP('Données projet'!$B$14,Paramètres!$A$1:$I$89,3,0)*VLOOKUP('Données projet'!$B$14,Paramètres!$A$1:$I$89,5,0)</f>
        <v>208.72176000000005</v>
      </c>
      <c r="DQ70" s="13">
        <f t="shared" si="97"/>
        <v>51.656158920162433</v>
      </c>
      <c r="DR70" s="20">
        <f t="shared" si="70"/>
        <v>453.49154211928294</v>
      </c>
      <c r="DS70" s="59">
        <f t="shared" si="71"/>
        <v>746.8248754526162</v>
      </c>
      <c r="DT70" s="59">
        <f ca="1">AVERAGE(OFFSET($DS$3,0,0,'Données projet'!$E$14+1,1))-AVERAGE(OFFSET($H$3,0,0,'Données projet'!$E$14+1,1))</f>
        <v>203.21935660591021</v>
      </c>
      <c r="DU70" s="59">
        <f t="shared" si="98"/>
        <v>180.54762778843178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0.48182035828161551</v>
      </c>
      <c r="EB70" s="21">
        <f>EXP(-LN(2)/25)*EB69+(1-EXP(-LN(2)/25))/(LN(2)/25)*Calculateur!DW70*Calculateur!DY70*VLOOKUP('Données projet'!$B$14,Paramètres!$A$1:$I$89,3,0)*0.475*44/12</f>
        <v>2.0805618604559251</v>
      </c>
      <c r="EC70" s="21">
        <f>EXP(-LN(2)/2)*EC69+(1-EXP(-LN(2)/2))/(LN(2)/2)*DW70*DZ70*VLOOKUP('Données projet'!$B$14,Paramètres!$A$1:$I$89,3,0)*0.475*44/12</f>
        <v>2.4445669861278578E-5</v>
      </c>
      <c r="ED70" s="22">
        <f t="shared" si="72"/>
        <v>2.5624066644074017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4.9000000000000004</v>
      </c>
      <c r="EJ70" s="12">
        <f>IF('Données projet'!$A$192&gt;35,EJ69+EI70-ER69,IF(A70&lt;'Données projet'!$A$192,$EG$205^A70,IF(A70='Données projet'!$A$192,'Données projet'!$B$192,EJ69+EI70-ER69)))</f>
        <v>314.29999999999978</v>
      </c>
      <c r="EK70" s="17">
        <f>EJ70*VLOOKUP('Données projet'!$B$15,Paramètres!$A$1:$I$89,3,0)*VLOOKUP('Données projet'!$B$15,Paramètres!$A$1:$I$89,5,0)</f>
        <v>210.83243999999988</v>
      </c>
      <c r="EL70" s="13">
        <f t="shared" si="99"/>
        <v>52.117452876665347</v>
      </c>
      <c r="EM70" s="20">
        <f t="shared" si="73"/>
        <v>457.97106342685856</v>
      </c>
      <c r="EN70" s="59">
        <f t="shared" si="74"/>
        <v>751.30439676019182</v>
      </c>
      <c r="EO70" s="59">
        <f ca="1">AVERAGE(OFFSET($EN$3,0,0,'Données projet'!$E$15+1,1))-AVERAGE(OFFSET($H$3,0,0,'Données projet'!$E$15+1,1))</f>
        <v>207.93042467236967</v>
      </c>
      <c r="EP70" s="59">
        <f t="shared" si="100"/>
        <v>250.70954318710835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1.3221549772372738</v>
      </c>
      <c r="EW70" s="21">
        <f>EXP(-LN(2)/25)*EW69+(1-EXP(-LN(2)/25))/(LN(2)/25)*Calculateur!ER70*Calculateur!ET70*VLOOKUP('Données projet'!$B$15,Paramètres!$A$1:$I$89,3,0)*0.475*44/12</f>
        <v>6.2021581206871081</v>
      </c>
      <c r="EX70" s="21">
        <f>EXP(-LN(2)/2)*EX69+(1-EXP(-LN(2)/2))/(LN(2)/2)*ER70*EU70*VLOOKUP('Données projet'!$B$15,Paramètres!$A$1:$I$89,3,0)*0.475*44/12</f>
        <v>5.4671422751326898E-5</v>
      </c>
      <c r="EY70" s="22">
        <f t="shared" si="75"/>
        <v>7.5243677693471334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-2.2737367544323206E-13</v>
      </c>
      <c r="O71" s="13">
        <f>N71*VLOOKUP('Données projet'!$B$9,Paramètres!$A$1:$I$89,3,0)*VLOOKUP('Données projet'!$B$9,Paramètres!$A$1:$I$89,5,0)</f>
        <v>-1.2710188457276673E-13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255.5374979188561</v>
      </c>
      <c r="T71" s="59">
        <f t="shared" si="88"/>
        <v>343.10418468620901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1.455900360536613</v>
      </c>
      <c r="AA71" s="21">
        <f>EXP(-LN(2)/25)*AA70+(1-EXP(-LN(2)/25))/(LN(2)/25)*Calculateur!V71*Calculateur!X71*VLOOKUP('Données projet'!$B$9,Paramètres!$A$1:$I$89,3,0)*0.475*44/12</f>
        <v>5.5651175838131364</v>
      </c>
      <c r="AB71" s="21">
        <f>EXP(-LN(2)/2)*AB70+(1-EXP(-LN(2)/2))/(LN(2)/2)*V71*Y71*VLOOKUP('Données projet'!$B$9,Paramètres!$A$1:$I$89,3,0)*0.475*44/12</f>
        <v>3.228477629573948E-6</v>
      </c>
      <c r="AC71" s="22">
        <f t="shared" si="57"/>
        <v>7.0210211728273784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13.737499999999997</v>
      </c>
      <c r="AI71" s="13">
        <f>IF('Données projet'!$A$62&gt;35,AI70+AH71-AQ70,IF(A71&lt;'Données projet'!$A$62,$AF$205^A71,IF(A71='Données projet'!$A$62,'Données projet'!$B$62,AI70+AH71-AQ70)))</f>
        <v>372.74134615384617</v>
      </c>
      <c r="AJ71" s="13">
        <f>AI71*VLOOKUP('Données projet'!$B$10,Paramètres!$A$1:$I$89,3,0)*VLOOKUP('Données projet'!$B$10,Paramètres!$A$1:$I$89,5,0)</f>
        <v>174.44295000000002</v>
      </c>
      <c r="AK71" s="13">
        <f t="shared" si="89"/>
        <v>44.083597545116064</v>
      </c>
      <c r="AL71" s="20">
        <f t="shared" si="58"/>
        <v>380.60040364107721</v>
      </c>
      <c r="AM71" s="59">
        <f t="shared" si="59"/>
        <v>673.93373697441052</v>
      </c>
      <c r="AN71" s="59">
        <f ca="1">AVERAGE(OFFSET($AM$3,0,0,'Données projet'!$E$10+1,1))-AVERAGE(OFFSET($H$3,0,0,'Données projet'!$E$10+1,1))</f>
        <v>158.58786357608489</v>
      </c>
      <c r="AO71" s="59">
        <f t="shared" si="90"/>
        <v>163.20074068819849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16.399999999999999</v>
      </c>
      <c r="BD71" s="12">
        <f>IF('Données projet'!$A$88&gt;35,BD70+BC71-BL70,IF(A71&lt;'Données projet'!$A$88,$BA$205^A71,IF(A71='Données projet'!$A$88,'Données projet'!$B$88,BD70+BC71-BL70)))</f>
        <v>531.19999999999959</v>
      </c>
      <c r="BE71" s="13">
        <f>BD71*VLOOKUP('Données projet'!$B$11,Paramètres!$A$1:$I$89,3,0)*VLOOKUP('Données projet'!$B$11,Paramètres!$A$1:$I$89,5,0)</f>
        <v>317.65759999999977</v>
      </c>
      <c r="BF71" s="13">
        <f t="shared" si="91"/>
        <v>74.865763584117744</v>
      </c>
      <c r="BG71" s="20">
        <f t="shared" si="61"/>
        <v>683.64485824233805</v>
      </c>
      <c r="BH71" s="59">
        <f t="shared" si="62"/>
        <v>976.97819157567142</v>
      </c>
      <c r="BI71" s="59">
        <f ca="1">AVERAGE(OFFSET($BH$3,0,0,'Données projet'!$E$11+1,1))-AVERAGE(OFFSET($H$3,0,0,'Données projet'!$E$11+1,1))</f>
        <v>316.58509520829671</v>
      </c>
      <c r="BJ71" s="59">
        <f t="shared" si="92"/>
        <v>240.71332110643596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1.1941746183278443</v>
      </c>
      <c r="BQ71" s="21">
        <f>EXP(-LN(2)/25)*BQ70+(1-EXP(-LN(2)/25))/(LN(2)/25)*Calculateur!BL71*Calculateur!BN71*VLOOKUP('Données projet'!$B$11,Paramètres!$A$1:$I$89,3,0)*0.475*44/12</f>
        <v>5.3237110229631863</v>
      </c>
      <c r="BR71" s="21">
        <f>EXP(-LN(2)/2)*BR70+(1-EXP(-LN(2)/2))/(LN(2)/2)*BL71*BO71*VLOOKUP('Données projet'!$B$11,Paramètres!$A$1:$I$89,3,0)*0.475*44/12</f>
        <v>4.1845976009637547E-5</v>
      </c>
      <c r="BS71" s="22">
        <f t="shared" si="63"/>
        <v>6.5179274872670403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4.9000000000000004</v>
      </c>
      <c r="BY71" s="12">
        <f>IF('Données projet'!$A$114&gt;35,BY70+BX71-CG70,IF(A71&lt;'Données projet'!$A$114,$BV$205^A71,IF(A71='Données projet'!$A$114,'Données projet'!$B$114,BY70+BX71-CG70)))</f>
        <v>319.19999999999976</v>
      </c>
      <c r="BZ71" s="13">
        <f>BY71*VLOOKUP('Données projet'!$B$12,Paramètres!$A$1:$I$89,3,0)*VLOOKUP('Données projet'!$B$12,Paramètres!$A$1:$I$89,5,0)</f>
        <v>253.95551999999984</v>
      </c>
      <c r="CA71" s="13">
        <f t="shared" si="93"/>
        <v>61.432180511879196</v>
      </c>
      <c r="CB71" s="20">
        <f t="shared" si="64"/>
        <v>549.30024505818926</v>
      </c>
      <c r="CC71" s="59">
        <f t="shared" si="65"/>
        <v>842.63357839152263</v>
      </c>
      <c r="CD71" s="59">
        <f ca="1">AVERAGE(OFFSET($CC$3,0,0,'Données projet'!$E$12+1,1))-AVERAGE(OFFSET($H$3,0,0,'Données projet'!$E$12+1,1))</f>
        <v>260.20517190557814</v>
      </c>
      <c r="CE71" s="59">
        <f t="shared" si="94"/>
        <v>307.22009971147133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1.5373870826278255</v>
      </c>
      <c r="CL71" s="21">
        <f>EXP(-LN(2)/25)*CL70+(1-EXP(-LN(2)/25))/(LN(2)/25)*Calculateur!CG71*Calculateur!CI71*VLOOKUP('Données projet'!$B$12,Paramètres!$A$1:$I$89,3,0)*0.475*44/12</f>
        <v>7.1548964841092833</v>
      </c>
      <c r="CM71" s="21">
        <f>EXP(-LN(2)/2)*CM70+(1-EXP(-LN(2)/2))/(LN(2)/2)*CG71*CJ71*VLOOKUP('Données projet'!$B$12,Paramètres!$A$1:$I$89,3,0)*0.475*44/12</f>
        <v>4.5850819116129467E-5</v>
      </c>
      <c r="CN71" s="22">
        <f t="shared" si="66"/>
        <v>8.6923294175562251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8.1001602564102555</v>
      </c>
      <c r="CT71" s="12">
        <f>IF('Données projet'!$A$140&gt;35,CT70+CS71-DB70,IF(A71&lt;'Données projet'!$A$140,$CQ$205^A71,IF(A71='Données projet'!$A$140,'Données projet'!$B$140,CT70+CS71-DB70)))</f>
        <v>219.06490384615387</v>
      </c>
      <c r="CU71" s="17">
        <f>CT71*VLOOKUP('Données projet'!$B$13,Paramètres!$A$1:$I$89,3,0)*VLOOKUP('Données projet'!$B$13,Paramètres!$A$1:$I$89,5,0)</f>
        <v>222.13181250000002</v>
      </c>
      <c r="CV71" s="13">
        <f t="shared" si="95"/>
        <v>54.577964266842734</v>
      </c>
      <c r="CW71" s="20">
        <f t="shared" si="67"/>
        <v>481.93619453558449</v>
      </c>
      <c r="CX71" s="59">
        <f t="shared" si="68"/>
        <v>775.26952786891775</v>
      </c>
      <c r="CY71" s="59">
        <f ca="1">AVERAGE(OFFSET($CX$3,0,0,'Données projet'!$E$13+1,1))-AVERAGE(OFFSET($H$3,0,0,'Données projet'!$E$13+1,1))</f>
        <v>263.15518481854753</v>
      </c>
      <c r="CZ71" s="59">
        <f t="shared" si="96"/>
        <v>210.80755370263819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0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5.9</v>
      </c>
      <c r="DO71" s="12">
        <f>IF('Données projet'!$A$166&gt;35,DO70+DN71-DW70,IF(A71&lt;'Données projet'!$A$166,$DL$205^A71,IF(A71='Données projet'!$A$166,'Données projet'!$B$166,DO70+DN71-DW70)))</f>
        <v>263.2</v>
      </c>
      <c r="DP71" s="17">
        <f>DO71*VLOOKUP('Données projet'!$B$14,Paramètres!$A$1:$I$89,3,0)*VLOOKUP('Données projet'!$B$14,Paramètres!$A$1:$I$89,5,0)</f>
        <v>213.50784000000002</v>
      </c>
      <c r="DQ71" s="13">
        <f t="shared" si="97"/>
        <v>52.701396365805124</v>
      </c>
      <c r="DR71" s="20">
        <f t="shared" si="70"/>
        <v>463.6477533371106</v>
      </c>
      <c r="DS71" s="59">
        <f t="shared" si="71"/>
        <v>756.98108667044391</v>
      </c>
      <c r="DT71" s="59">
        <f ca="1">AVERAGE(OFFSET($DS$3,0,0,'Données projet'!$E$14+1,1))-AVERAGE(OFFSET($H$3,0,0,'Données projet'!$E$14+1,1))</f>
        <v>203.21935660591021</v>
      </c>
      <c r="DU71" s="59">
        <f t="shared" si="98"/>
        <v>180.54762778843178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0.47237215493711321</v>
      </c>
      <c r="EB71" s="21">
        <f>EXP(-LN(2)/25)*EB70+(1-EXP(-LN(2)/25))/(LN(2)/25)*Calculateur!DW71*Calculateur!DY71*VLOOKUP('Données projet'!$B$14,Paramètres!$A$1:$I$89,3,0)*0.475*44/12</f>
        <v>2.0236687869697647</v>
      </c>
      <c r="EC71" s="21">
        <f>EXP(-LN(2)/2)*EC70+(1-EXP(-LN(2)/2))/(LN(2)/2)*DW71*DZ71*VLOOKUP('Données projet'!$B$14,Paramètres!$A$1:$I$89,3,0)*0.475*44/12</f>
        <v>1.7285698929557691E-5</v>
      </c>
      <c r="ED71" s="22">
        <f t="shared" si="72"/>
        <v>2.4960582276058076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4.9000000000000004</v>
      </c>
      <c r="EJ71" s="12">
        <f>IF('Données projet'!$A$192&gt;35,EJ70+EI71-ER70,IF(A71&lt;'Données projet'!$A$192,$EG$205^A71,IF(A71='Données projet'!$A$192,'Données projet'!$B$192,EJ70+EI71-ER70)))</f>
        <v>319.19999999999976</v>
      </c>
      <c r="EK71" s="17">
        <f>EJ71*VLOOKUP('Données projet'!$B$15,Paramètres!$A$1:$I$89,3,0)*VLOOKUP('Données projet'!$B$15,Paramètres!$A$1:$I$89,5,0)</f>
        <v>214.11935999999983</v>
      </c>
      <c r="EL71" s="13">
        <f t="shared" si="99"/>
        <v>52.834749228990347</v>
      </c>
      <c r="EM71" s="20">
        <f t="shared" si="73"/>
        <v>464.94507357382457</v>
      </c>
      <c r="EN71" s="59">
        <f t="shared" si="74"/>
        <v>758.27840690715789</v>
      </c>
      <c r="EO71" s="59">
        <f ca="1">AVERAGE(OFFSET($EN$3,0,0,'Données projet'!$E$15+1,1))-AVERAGE(OFFSET($H$3,0,0,'Données projet'!$E$15+1,1))</f>
        <v>207.93042467236967</v>
      </c>
      <c r="EP71" s="59">
        <f t="shared" si="100"/>
        <v>250.70954318710835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1.2962283245685582</v>
      </c>
      <c r="EW71" s="21">
        <f>EXP(-LN(2)/25)*EW70+(1-EXP(-LN(2)/25))/(LN(2)/25)*Calculateur!ER71*Calculateur!ET71*VLOOKUP('Données projet'!$B$15,Paramètres!$A$1:$I$89,3,0)*0.475*44/12</f>
        <v>6.0325597807195992</v>
      </c>
      <c r="EX71" s="21">
        <f>EXP(-LN(2)/2)*EX70+(1-EXP(-LN(2)/2))/(LN(2)/2)*ER71*EU71*VLOOKUP('Données projet'!$B$15,Paramètres!$A$1:$I$89,3,0)*0.475*44/12</f>
        <v>3.8658533764579744E-5</v>
      </c>
      <c r="EY71" s="22">
        <f t="shared" si="75"/>
        <v>7.3288267638219216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-2.2737367544323206E-13</v>
      </c>
      <c r="O72" s="13">
        <f>N72*VLOOKUP('Données projet'!$B$9,Paramètres!$A$1:$I$89,3,0)*VLOOKUP('Données projet'!$B$9,Paramètres!$A$1:$I$89,5,0)</f>
        <v>-1.2710188457276673E-13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255.5374979188561</v>
      </c>
      <c r="T72" s="59">
        <f t="shared" si="88"/>
        <v>343.10418468620901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1.427351042478026</v>
      </c>
      <c r="AA72" s="21">
        <f>EXP(-LN(2)/25)*AA71+(1-EXP(-LN(2)/25))/(LN(2)/25)*Calculateur!V72*Calculateur!X72*VLOOKUP('Données projet'!$B$9,Paramètres!$A$1:$I$89,3,0)*0.475*44/12</f>
        <v>5.4129391508269515</v>
      </c>
      <c r="AB72" s="21">
        <f>EXP(-LN(2)/2)*AB71+(1-EXP(-LN(2)/2))/(LN(2)/2)*V72*Y72*VLOOKUP('Données projet'!$B$9,Paramètres!$A$1:$I$89,3,0)*0.475*44/12</f>
        <v>2.2828784247808092E-6</v>
      </c>
      <c r="AC72" s="22">
        <f t="shared" si="57"/>
        <v>6.8402924761834027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13.737499999999997</v>
      </c>
      <c r="AI72" s="13">
        <f>IF('Données projet'!$A$62&gt;35,AI71+AH72-AQ71,IF(A72&lt;'Données projet'!$A$62,$AF$205^A72,IF(A72='Données projet'!$A$62,'Données projet'!$B$62,AI71+AH72-AQ71)))</f>
        <v>386.47884615384618</v>
      </c>
      <c r="AJ72" s="13">
        <f>AI72*VLOOKUP('Données projet'!$B$10,Paramètres!$A$1:$I$89,3,0)*VLOOKUP('Données projet'!$B$10,Paramètres!$A$1:$I$89,5,0)</f>
        <v>180.87209999999999</v>
      </c>
      <c r="AK72" s="13">
        <f t="shared" si="89"/>
        <v>45.516157736157588</v>
      </c>
      <c r="AL72" s="20">
        <f t="shared" si="58"/>
        <v>394.29288222380774</v>
      </c>
      <c r="AM72" s="59">
        <f t="shared" si="59"/>
        <v>687.62621555714099</v>
      </c>
      <c r="AN72" s="59">
        <f ca="1">AVERAGE(OFFSET($AM$3,0,0,'Données projet'!$E$10+1,1))-AVERAGE(OFFSET($H$3,0,0,'Données projet'!$E$10+1,1))</f>
        <v>158.58786357608489</v>
      </c>
      <c r="AO72" s="59">
        <f t="shared" si="90"/>
        <v>163.20074068819849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16.399999999999999</v>
      </c>
      <c r="BD72" s="12">
        <f>IF('Données projet'!$A$88&gt;35,BD71+BC72-BL71,IF(A72&lt;'Données projet'!$A$88,$BA$205^A72,IF(A72='Données projet'!$A$88,'Données projet'!$B$88,BD71+BC72-BL71)))</f>
        <v>547.59999999999957</v>
      </c>
      <c r="BE72" s="13">
        <f>BD72*VLOOKUP('Données projet'!$B$11,Paramètres!$A$1:$I$89,3,0)*VLOOKUP('Données projet'!$B$11,Paramètres!$A$1:$I$89,5,0)</f>
        <v>327.4647999999998</v>
      </c>
      <c r="BF72" s="13">
        <f t="shared" si="91"/>
        <v>76.904459845729477</v>
      </c>
      <c r="BG72" s="20">
        <f t="shared" si="61"/>
        <v>704.27646089797838</v>
      </c>
      <c r="BH72" s="59">
        <f t="shared" si="62"/>
        <v>997.60979423131175</v>
      </c>
      <c r="BI72" s="59">
        <f ca="1">AVERAGE(OFFSET($BH$3,0,0,'Données projet'!$E$11+1,1))-AVERAGE(OFFSET($H$3,0,0,'Données projet'!$E$11+1,1))</f>
        <v>316.58509520829671</v>
      </c>
      <c r="BJ72" s="59">
        <f t="shared" si="92"/>
        <v>240.71332110643596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1.1707575824370315</v>
      </c>
      <c r="BQ72" s="21">
        <f>EXP(-LN(2)/25)*BQ71+(1-EXP(-LN(2)/25))/(LN(2)/25)*Calculateur!BL72*Calculateur!BN72*VLOOKUP('Données projet'!$B$11,Paramètres!$A$1:$I$89,3,0)*0.475*44/12</f>
        <v>5.178133865078463</v>
      </c>
      <c r="BR72" s="21">
        <f>EXP(-LN(2)/2)*BR71+(1-EXP(-LN(2)/2))/(LN(2)/2)*BL72*BO72*VLOOKUP('Données projet'!$B$11,Paramètres!$A$1:$I$89,3,0)*0.475*44/12</f>
        <v>2.9589573401784297E-5</v>
      </c>
      <c r="BS72" s="22">
        <f t="shared" si="63"/>
        <v>6.3489210370888971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4.9000000000000004</v>
      </c>
      <c r="BY72" s="12">
        <f>IF('Données projet'!$A$114&gt;35,BY71+BX72-CG71,IF(A72&lt;'Données projet'!$A$114,$BV$205^A72,IF(A72='Données projet'!$A$114,'Données projet'!$B$114,BY71+BX72-CG71)))</f>
        <v>324.09999999999974</v>
      </c>
      <c r="BZ72" s="13">
        <f>BY72*VLOOKUP('Données projet'!$B$12,Paramètres!$A$1:$I$89,3,0)*VLOOKUP('Données projet'!$B$12,Paramètres!$A$1:$I$89,5,0)</f>
        <v>257.8539599999998</v>
      </c>
      <c r="CA72" s="13">
        <f t="shared" si="93"/>
        <v>62.26470852302274</v>
      </c>
      <c r="CB72" s="20">
        <f t="shared" si="64"/>
        <v>557.54001434426425</v>
      </c>
      <c r="CC72" s="59">
        <f t="shared" si="65"/>
        <v>850.87334767759762</v>
      </c>
      <c r="CD72" s="59">
        <f ca="1">AVERAGE(OFFSET($CC$3,0,0,'Données projet'!$E$12+1,1))-AVERAGE(OFFSET($H$3,0,0,'Données projet'!$E$12+1,1))</f>
        <v>260.20517190557814</v>
      </c>
      <c r="CE72" s="59">
        <f t="shared" si="94"/>
        <v>307.22009971147133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1.5072398596510228</v>
      </c>
      <c r="CL72" s="21">
        <f>EXP(-LN(2)/25)*CL71+(1-EXP(-LN(2)/25))/(LN(2)/25)*Calculateur!CG72*Calculateur!CI72*VLOOKUP('Données projet'!$B$12,Paramètres!$A$1:$I$89,3,0)*0.475*44/12</f>
        <v>6.9592454634916612</v>
      </c>
      <c r="CM72" s="21">
        <f>EXP(-LN(2)/2)*CM71+(1-EXP(-LN(2)/2))/(LN(2)/2)*CG72*CJ72*VLOOKUP('Données projet'!$B$12,Paramètres!$A$1:$I$89,3,0)*0.475*44/12</f>
        <v>3.2421425119972929E-5</v>
      </c>
      <c r="CN72" s="22">
        <f t="shared" si="66"/>
        <v>8.4665177445678044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8.1001602564102555</v>
      </c>
      <c r="CT72" s="12">
        <f>IF('Données projet'!$A$140&gt;35,CT71+CS72-DB71,IF(A72&lt;'Données projet'!$A$140,$CQ$205^A72,IF(A72='Données projet'!$A$140,'Données projet'!$B$140,CT71+CS72-DB71)))</f>
        <v>227.16506410256412</v>
      </c>
      <c r="CU72" s="17">
        <f>CT72*VLOOKUP('Données projet'!$B$13,Paramètres!$A$1:$I$89,3,0)*VLOOKUP('Données projet'!$B$13,Paramètres!$A$1:$I$89,5,0)</f>
        <v>230.34537500000002</v>
      </c>
      <c r="CV72" s="13">
        <f t="shared" si="95"/>
        <v>56.35735315816526</v>
      </c>
      <c r="CW72" s="20">
        <f t="shared" si="67"/>
        <v>499.34058487547105</v>
      </c>
      <c r="CX72" s="59">
        <f t="shared" si="68"/>
        <v>792.67391820880437</v>
      </c>
      <c r="CY72" s="59">
        <f ca="1">AVERAGE(OFFSET($CX$3,0,0,'Données projet'!$E$13+1,1))-AVERAGE(OFFSET($H$3,0,0,'Données projet'!$E$13+1,1))</f>
        <v>263.15518481854753</v>
      </c>
      <c r="CZ72" s="59">
        <f t="shared" si="96"/>
        <v>210.80755370263819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0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5.9</v>
      </c>
      <c r="DO72" s="12">
        <f>IF('Données projet'!$A$166&gt;35,DO71+DN72-DW71,IF(A72&lt;'Données projet'!$A$166,$DL$205^A72,IF(A72='Données projet'!$A$166,'Données projet'!$B$166,DO71+DN72-DW71)))</f>
        <v>269.09999999999997</v>
      </c>
      <c r="DP72" s="17">
        <f>DO72*VLOOKUP('Données projet'!$B$14,Paramètres!$A$1:$I$89,3,0)*VLOOKUP('Données projet'!$B$14,Paramètres!$A$1:$I$89,5,0)</f>
        <v>218.29391999999999</v>
      </c>
      <c r="DQ72" s="13">
        <f t="shared" si="97"/>
        <v>53.743909818122162</v>
      </c>
      <c r="DR72" s="20">
        <f t="shared" si="70"/>
        <v>473.79922026656277</v>
      </c>
      <c r="DS72" s="59">
        <f t="shared" si="71"/>
        <v>767.13255359989603</v>
      </c>
      <c r="DT72" s="59">
        <f ca="1">AVERAGE(OFFSET($DS$3,0,0,'Données projet'!$E$14+1,1))-AVERAGE(OFFSET($H$3,0,0,'Données projet'!$E$14+1,1))</f>
        <v>203.21935660591021</v>
      </c>
      <c r="DU72" s="59">
        <f t="shared" si="98"/>
        <v>180.54762778843178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0.46310922509736158</v>
      </c>
      <c r="EB72" s="21">
        <f>EXP(-LN(2)/25)*EB71+(1-EXP(-LN(2)/25))/(LN(2)/25)*Calculateur!DW72*Calculateur!DY72*VLOOKUP('Données projet'!$B$14,Paramètres!$A$1:$I$89,3,0)*0.475*44/12</f>
        <v>1.9683314575699602</v>
      </c>
      <c r="EC72" s="21">
        <f>EXP(-LN(2)/2)*EC71+(1-EXP(-LN(2)/2))/(LN(2)/2)*DW72*DZ72*VLOOKUP('Données projet'!$B$14,Paramètres!$A$1:$I$89,3,0)*0.475*44/12</f>
        <v>1.2222834930639289E-5</v>
      </c>
      <c r="ED72" s="22">
        <f t="shared" si="72"/>
        <v>2.4314529055022525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4.9000000000000004</v>
      </c>
      <c r="EJ72" s="12">
        <f>IF('Données projet'!$A$192&gt;35,EJ71+EI72-ER71,IF(A72&lt;'Données projet'!$A$192,$EG$205^A72,IF(A72='Données projet'!$A$192,'Données projet'!$B$192,EJ71+EI72-ER71)))</f>
        <v>324.09999999999974</v>
      </c>
      <c r="EK72" s="17">
        <f>EJ72*VLOOKUP('Données projet'!$B$15,Paramètres!$A$1:$I$89,3,0)*VLOOKUP('Données projet'!$B$15,Paramètres!$A$1:$I$89,5,0)</f>
        <v>217.40627999999984</v>
      </c>
      <c r="EL72" s="13">
        <f t="shared" si="99"/>
        <v>53.550764977224674</v>
      </c>
      <c r="EM72" s="20">
        <f t="shared" si="73"/>
        <v>471.91685333533269</v>
      </c>
      <c r="EN72" s="59">
        <f t="shared" si="74"/>
        <v>765.25018666866595</v>
      </c>
      <c r="EO72" s="59">
        <f ca="1">AVERAGE(OFFSET($EN$3,0,0,'Données projet'!$E$15+1,1))-AVERAGE(OFFSET($H$3,0,0,'Données projet'!$E$15+1,1))</f>
        <v>207.93042467236967</v>
      </c>
      <c r="EP72" s="59">
        <f t="shared" si="100"/>
        <v>250.70954318710835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1.2708100777449793</v>
      </c>
      <c r="EW72" s="21">
        <f>EXP(-LN(2)/25)*EW71+(1-EXP(-LN(2)/25))/(LN(2)/25)*Calculateur!ER72*Calculateur!ET72*VLOOKUP('Données projet'!$B$15,Paramètres!$A$1:$I$89,3,0)*0.475*44/12</f>
        <v>5.8675991162772902</v>
      </c>
      <c r="EX72" s="21">
        <f>EXP(-LN(2)/2)*EX71+(1-EXP(-LN(2)/2))/(LN(2)/2)*ER72*EU72*VLOOKUP('Données projet'!$B$15,Paramètres!$A$1:$I$89,3,0)*0.475*44/12</f>
        <v>2.7335711375663449E-5</v>
      </c>
      <c r="EY72" s="22">
        <f t="shared" si="75"/>
        <v>7.138436529733645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-2.2737367544323206E-13</v>
      </c>
      <c r="O73" s="13">
        <f>N73*VLOOKUP('Données projet'!$B$9,Paramètres!$A$1:$I$89,3,0)*VLOOKUP('Données projet'!$B$9,Paramètres!$A$1:$I$89,5,0)</f>
        <v>-1.2710188457276673E-13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255.5374979188561</v>
      </c>
      <c r="T73" s="59">
        <f t="shared" si="88"/>
        <v>343.10418468620901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1.3993615591332034</v>
      </c>
      <c r="AA73" s="21">
        <f>EXP(-LN(2)/25)*AA72+(1-EXP(-LN(2)/25))/(LN(2)/25)*Calculateur!V73*Calculateur!X73*VLOOKUP('Données projet'!$B$9,Paramètres!$A$1:$I$89,3,0)*0.475*44/12</f>
        <v>5.2649220450934902</v>
      </c>
      <c r="AB73" s="21">
        <f>EXP(-LN(2)/2)*AB72+(1-EXP(-LN(2)/2))/(LN(2)/2)*V73*Y73*VLOOKUP('Données projet'!$B$9,Paramètres!$A$1:$I$89,3,0)*0.475*44/12</f>
        <v>1.614238814786974E-6</v>
      </c>
      <c r="AC73" s="22">
        <f t="shared" si="57"/>
        <v>6.6642852184655084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13.737499999999997</v>
      </c>
      <c r="AI73" s="13">
        <f>IF('Données projet'!$A$62&gt;35,AI72+AH73-AQ72,IF(A73&lt;'Données projet'!$A$62,$AF$205^A73,IF(A73='Données projet'!$A$62,'Données projet'!$B$62,AI72+AH73-AQ72)))</f>
        <v>400.21634615384619</v>
      </c>
      <c r="AJ73" s="13">
        <f>AI73*VLOOKUP('Données projet'!$B$10,Paramètres!$A$1:$I$89,3,0)*VLOOKUP('Données projet'!$B$10,Paramètres!$A$1:$I$89,5,0)</f>
        <v>187.30125000000001</v>
      </c>
      <c r="AK73" s="13">
        <f t="shared" si="89"/>
        <v>46.942801679870392</v>
      </c>
      <c r="AL73" s="20">
        <f t="shared" si="58"/>
        <v>407.97505667577428</v>
      </c>
      <c r="AM73" s="59">
        <f t="shared" si="59"/>
        <v>701.3083900091076</v>
      </c>
      <c r="AN73" s="59">
        <f ca="1">AVERAGE(OFFSET($AM$3,0,0,'Données projet'!$E$10+1,1))-AVERAGE(OFFSET($H$3,0,0,'Données projet'!$E$10+1,1))</f>
        <v>158.58786357608489</v>
      </c>
      <c r="AO73" s="59">
        <f t="shared" si="90"/>
        <v>163.20074068819849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564</v>
      </c>
      <c r="BB73" s="12">
        <f>VLOOKUP(A73,'Données projet'!$A$87:$I$107,9,0)</f>
        <v>16.399999999999999</v>
      </c>
      <c r="BC73" s="12">
        <f t="array" ref="BC73">INDEX(BB:BB,MIN(IF(ISNUMBER(BB73:BB269),ROW(BB73:BB269),"")))</f>
        <v>16.399999999999999</v>
      </c>
      <c r="BD73" s="12">
        <f>IF('Données projet'!$A$88&gt;35,BD72+BC73-BL72,IF(A73&lt;'Données projet'!$A$88,$BA$205^A73,IF(A73='Données projet'!$A$88,'Données projet'!$B$88,BD72+BC73-BL72)))</f>
        <v>563.99999999999955</v>
      </c>
      <c r="BE73" s="13">
        <f>BD73*VLOOKUP('Données projet'!$B$11,Paramètres!$A$1:$I$89,3,0)*VLOOKUP('Données projet'!$B$11,Paramètres!$A$1:$I$89,5,0)</f>
        <v>337.27199999999976</v>
      </c>
      <c r="BF73" s="13">
        <f t="shared" si="91"/>
        <v>78.936060366406466</v>
      </c>
      <c r="BG73" s="20">
        <f t="shared" si="61"/>
        <v>724.8957051381575</v>
      </c>
      <c r="BH73" s="59">
        <f t="shared" si="62"/>
        <v>1018.2290384714909</v>
      </c>
      <c r="BI73" s="59">
        <f ca="1">AVERAGE(OFFSET($BH$3,0,0,'Données projet'!$E$11+1,1))-AVERAGE(OFFSET($H$3,0,0,'Données projet'!$E$11+1,1))</f>
        <v>316.58509520829671</v>
      </c>
      <c r="BJ73" s="59">
        <f t="shared" si="92"/>
        <v>240.71332110643596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103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1.1477997403370559</v>
      </c>
      <c r="BQ73" s="21">
        <f>EXP(-LN(2)/25)*BQ72+(1-EXP(-LN(2)/25))/(LN(2)/25)*Calculateur!BL73*Calculateur!BN73*VLOOKUP('Données projet'!$B$11,Paramètres!$A$1:$I$89,3,0)*0.475*44/12</f>
        <v>5.0365375222316668</v>
      </c>
      <c r="BR73" s="21">
        <f>EXP(-LN(2)/2)*BR72+(1-EXP(-LN(2)/2))/(LN(2)/2)*BL73*BO73*VLOOKUP('Données projet'!$B$11,Paramètres!$A$1:$I$89,3,0)*0.475*44/12</f>
        <v>2.0922988004818777E-5</v>
      </c>
      <c r="BS73" s="22">
        <f t="shared" si="63"/>
        <v>6.1843581855567269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329</v>
      </c>
      <c r="BW73" s="12">
        <f>VLOOKUP(A73,'Données projet'!$A$113:$I$133,9,0)</f>
        <v>4.9000000000000004</v>
      </c>
      <c r="BX73" s="12">
        <f t="array" ref="BX73">INDEX(BW:BW,MIN(IF(ISNUMBER(BW73:BW269),ROW(BW73:BW269),"")))</f>
        <v>4.9000000000000004</v>
      </c>
      <c r="BY73" s="12">
        <f>IF('Données projet'!$A$114&gt;35,BY72+BX73-CG72,IF(A73&lt;'Données projet'!$A$114,$BV$205^A73,IF(A73='Données projet'!$A$114,'Données projet'!$B$114,BY72+BX73-CG72)))</f>
        <v>328.99999999999972</v>
      </c>
      <c r="BZ73" s="13">
        <f>BY73*VLOOKUP('Données projet'!$B$12,Paramètres!$A$1:$I$89,3,0)*VLOOKUP('Données projet'!$B$12,Paramètres!$A$1:$I$89,5,0)</f>
        <v>261.7523999999998</v>
      </c>
      <c r="CA73" s="13">
        <f t="shared" si="93"/>
        <v>63.095772658160975</v>
      </c>
      <c r="CB73" s="20">
        <f t="shared" si="64"/>
        <v>565.7772340462966</v>
      </c>
      <c r="CC73" s="59">
        <f t="shared" si="65"/>
        <v>859.11056737962986</v>
      </c>
      <c r="CD73" s="59">
        <f ca="1">AVERAGE(OFFSET($CC$3,0,0,'Données projet'!$E$12+1,1))-AVERAGE(OFFSET($H$3,0,0,'Données projet'!$E$12+1,1))</f>
        <v>260.20517190557814</v>
      </c>
      <c r="CE73" s="59">
        <f t="shared" si="94"/>
        <v>307.22009971147133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26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1.4776838053288048</v>
      </c>
      <c r="CL73" s="21">
        <f>EXP(-LN(2)/25)*CL72+(1-EXP(-LN(2)/25))/(LN(2)/25)*Calculateur!CG73*Calculateur!CI73*VLOOKUP('Données projet'!$B$12,Paramètres!$A$1:$I$89,3,0)*0.475*44/12</f>
        <v>6.7689445303216687</v>
      </c>
      <c r="CM73" s="21">
        <f>EXP(-LN(2)/2)*CM72+(1-EXP(-LN(2)/2))/(LN(2)/2)*CG73*CJ73*VLOOKUP('Données projet'!$B$12,Paramètres!$A$1:$I$89,3,0)*0.475*44/12</f>
        <v>2.2925409558064734E-5</v>
      </c>
      <c r="CN73" s="22">
        <f t="shared" si="66"/>
        <v>8.2466512610600322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8.1001602564102555</v>
      </c>
      <c r="CT73" s="12">
        <f>IF('Données projet'!$A$140&gt;35,CT72+CS73-DB72,IF(A73&lt;'Données projet'!$A$140,$CQ$205^A73,IF(A73='Données projet'!$A$140,'Données projet'!$B$140,CT72+CS73-DB72)))</f>
        <v>235.26522435897436</v>
      </c>
      <c r="CU73" s="17">
        <f>CT73*VLOOKUP('Données projet'!$B$13,Paramètres!$A$1:$I$89,3,0)*VLOOKUP('Données projet'!$B$13,Paramètres!$A$1:$I$89,5,0)</f>
        <v>238.55893750000004</v>
      </c>
      <c r="CV73" s="13">
        <f t="shared" si="95"/>
        <v>58.129370272573652</v>
      </c>
      <c r="CW73" s="20">
        <f t="shared" si="67"/>
        <v>516.73213603723241</v>
      </c>
      <c r="CX73" s="59">
        <f t="shared" si="68"/>
        <v>810.06546937056578</v>
      </c>
      <c r="CY73" s="59">
        <f ca="1">AVERAGE(OFFSET($CX$3,0,0,'Données projet'!$E$13+1,1))-AVERAGE(OFFSET($H$3,0,0,'Données projet'!$E$13+1,1))</f>
        <v>263.15518481854753</v>
      </c>
      <c r="CZ73" s="59">
        <f t="shared" si="96"/>
        <v>210.80755370263819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0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275</v>
      </c>
      <c r="DM73" s="12">
        <f>VLOOKUP(A73,'Données projet'!$A$165:$I$185,9,0)</f>
        <v>5.9</v>
      </c>
      <c r="DN73" s="12">
        <f t="array" ref="DN73">INDEX(DM:DM,MIN(IF(ISNUMBER(DM73:DM269),ROW(DM73:DM269),"")))</f>
        <v>5.9</v>
      </c>
      <c r="DO73" s="12">
        <f>IF('Données projet'!$A$166&gt;35,DO72+DN73-DW72,IF(A73&lt;'Données projet'!$A$166,$DL$205^A73,IF(A73='Données projet'!$A$166,'Données projet'!$B$166,DO72+DN73-DW72)))</f>
        <v>274.99999999999994</v>
      </c>
      <c r="DP73" s="17">
        <f>DO73*VLOOKUP('Données projet'!$B$14,Paramètres!$A$1:$I$89,3,0)*VLOOKUP('Données projet'!$B$14,Paramètres!$A$1:$I$89,5,0)</f>
        <v>223.07999999999996</v>
      </c>
      <c r="DQ73" s="13">
        <f t="shared" si="97"/>
        <v>54.783765878062667</v>
      </c>
      <c r="DR73" s="20">
        <f t="shared" si="70"/>
        <v>483.94605890429233</v>
      </c>
      <c r="DS73" s="59">
        <f t="shared" si="71"/>
        <v>777.27939223762564</v>
      </c>
      <c r="DT73" s="59">
        <f ca="1">AVERAGE(OFFSET($DS$3,0,0,'Données projet'!$E$14+1,1))-AVERAGE(OFFSET($H$3,0,0,'Données projet'!$E$14+1,1))</f>
        <v>203.21935660591021</v>
      </c>
      <c r="DU73" s="59">
        <f t="shared" si="98"/>
        <v>180.54762778843178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34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0.45402793566193816</v>
      </c>
      <c r="EB73" s="21">
        <f>EXP(-LN(2)/25)*EB72+(1-EXP(-LN(2)/25))/(LN(2)/25)*Calculateur!DW73*Calculateur!DY73*VLOOKUP('Données projet'!$B$14,Paramètres!$A$1:$I$89,3,0)*0.475*44/12</f>
        <v>1.914507330352657</v>
      </c>
      <c r="EC73" s="21">
        <f>EXP(-LN(2)/2)*EC72+(1-EXP(-LN(2)/2))/(LN(2)/2)*DW73*DZ73*VLOOKUP('Données projet'!$B$14,Paramètres!$A$1:$I$89,3,0)*0.475*44/12</f>
        <v>8.6428494647788455E-6</v>
      </c>
      <c r="ED73" s="22">
        <f t="shared" si="72"/>
        <v>2.3685439088640599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329</v>
      </c>
      <c r="EH73" s="12">
        <f>VLOOKUP(A73,'Données projet'!$A$191:$I$211,9,0)</f>
        <v>4.9000000000000004</v>
      </c>
      <c r="EI73" s="12">
        <f t="array" ref="EI73">INDEX(EH:EH,MIN(IF(ISNUMBER(EH73:EH269),ROW(EH73:EH269),"")))</f>
        <v>4.9000000000000004</v>
      </c>
      <c r="EJ73" s="12">
        <f>IF('Données projet'!$A$192&gt;35,EJ72+EI73-ER72,IF(A73&lt;'Données projet'!$A$192,$EG$205^A73,IF(A73='Données projet'!$A$192,'Données projet'!$B$192,EJ72+EI73-ER72)))</f>
        <v>328.99999999999972</v>
      </c>
      <c r="EK73" s="17">
        <f>EJ73*VLOOKUP('Données projet'!$B$15,Paramètres!$A$1:$I$89,3,0)*VLOOKUP('Données projet'!$B$15,Paramètres!$A$1:$I$89,5,0)</f>
        <v>220.69319999999982</v>
      </c>
      <c r="EL73" s="13">
        <f t="shared" si="99"/>
        <v>54.265521718843871</v>
      </c>
      <c r="EM73" s="20">
        <f t="shared" si="73"/>
        <v>478.88644032698608</v>
      </c>
      <c r="EN73" s="59">
        <f t="shared" si="74"/>
        <v>772.21977366031933</v>
      </c>
      <c r="EO73" s="59">
        <f ca="1">AVERAGE(OFFSET($EN$3,0,0,'Données projet'!$E$15+1,1))-AVERAGE(OFFSET($H$3,0,0,'Données projet'!$E$15+1,1))</f>
        <v>207.93042467236967</v>
      </c>
      <c r="EP73" s="59">
        <f t="shared" si="100"/>
        <v>250.70954318710835</v>
      </c>
      <c r="EQ73" s="15">
        <f>IF(ISNA(VLOOKUP(A73,'Données projet'!$A$191:$I$211,3,0)),0,VLOOKUP(A73,'Données projet'!$A$191:$I$211,3,0))</f>
        <v>6</v>
      </c>
      <c r="ER73" s="15">
        <f>IF(ISNA(VLOOKUP(A73,'Données projet'!$A$191:$I$211,4,0)),0,VLOOKUP(A73,'Données projet'!$A$191:$I$211,4,0))</f>
        <v>26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1.2458902672380112</v>
      </c>
      <c r="EW73" s="21">
        <f>EXP(-LN(2)/25)*EW72+(1-EXP(-LN(2)/25))/(LN(2)/25)*Calculateur!ER73*Calculateur!ET73*VLOOKUP('Données projet'!$B$15,Paramètres!$A$1:$I$89,3,0)*0.475*44/12</f>
        <v>5.7071493098790604</v>
      </c>
      <c r="EX73" s="21">
        <f>EXP(-LN(2)/2)*EX72+(1-EXP(-LN(2)/2))/(LN(2)/2)*ER73*EU73*VLOOKUP('Données projet'!$B$15,Paramètres!$A$1:$I$89,3,0)*0.475*44/12</f>
        <v>1.9329266882289872E-5</v>
      </c>
      <c r="EY73" s="22">
        <f t="shared" si="75"/>
        <v>6.9530589063839541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-2.2737367544323206E-13</v>
      </c>
      <c r="O74" s="13">
        <f>N74*VLOOKUP('Données projet'!$B$9,Paramètres!$A$1:$I$89,3,0)*VLOOKUP('Données projet'!$B$9,Paramètres!$A$1:$I$89,5,0)</f>
        <v>-1.2710188457276673E-13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255.5374979188561</v>
      </c>
      <c r="T74" s="59">
        <f t="shared" si="88"/>
        <v>343.10418468620901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1.3719209324848736</v>
      </c>
      <c r="AA74" s="21">
        <f>EXP(-LN(2)/25)*AA73+(1-EXP(-LN(2)/25))/(LN(2)/25)*Calculateur!V74*Calculateur!X74*VLOOKUP('Données projet'!$B$9,Paramètres!$A$1:$I$89,3,0)*0.475*44/12</f>
        <v>5.1209524749001911</v>
      </c>
      <c r="AB74" s="21">
        <f>EXP(-LN(2)/2)*AB73+(1-EXP(-LN(2)/2))/(LN(2)/2)*V74*Y74*VLOOKUP('Données projet'!$B$9,Paramètres!$A$1:$I$89,3,0)*0.475*44/12</f>
        <v>1.1414392123904046E-6</v>
      </c>
      <c r="AC74" s="22">
        <f t="shared" si="57"/>
        <v>6.4928745488242772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>
        <f>VLOOKUP(A74,'Données projet'!$A$61:$I$81,2,0)</f>
        <v>413.95384615384614</v>
      </c>
      <c r="AG74" s="12">
        <f>VLOOKUP(A74,'Données projet'!$A$61:$I$81,9,0)</f>
        <v>13.737499999999997</v>
      </c>
      <c r="AH74" s="12">
        <f t="array" ref="AH74">INDEX(AG:AG,MIN(IF(ISNUMBER(AG74:AG270),ROW(AG74:AG270),"")))</f>
        <v>13.737499999999997</v>
      </c>
      <c r="AI74" s="13">
        <f>IF('Données projet'!$A$62&gt;35,AI73+AH74-AQ73,IF(A74&lt;'Données projet'!$A$62,$AF$205^A74,IF(A74='Données projet'!$A$62,'Données projet'!$B$62,AI73+AH74-AQ73)))</f>
        <v>413.9538461538462</v>
      </c>
      <c r="AJ74" s="13">
        <f>AI74*VLOOKUP('Données projet'!$B$10,Paramètres!$A$1:$I$89,3,0)*VLOOKUP('Données projet'!$B$10,Paramètres!$A$1:$I$89,5,0)</f>
        <v>193.73040000000003</v>
      </c>
      <c r="AK74" s="13">
        <f t="shared" si="89"/>
        <v>48.363755728631737</v>
      </c>
      <c r="AL74" s="20">
        <f t="shared" si="58"/>
        <v>421.647321227367</v>
      </c>
      <c r="AM74" s="59">
        <f t="shared" si="59"/>
        <v>714.98065456070026</v>
      </c>
      <c r="AN74" s="59">
        <f ca="1">AVERAGE(OFFSET($AM$3,0,0,'Données projet'!$E$10+1,1))-AVERAGE(OFFSET($H$3,0,0,'Données projet'!$E$10+1,1))</f>
        <v>158.58786357608489</v>
      </c>
      <c r="AO74" s="59">
        <f t="shared" si="90"/>
        <v>163.20074068819849</v>
      </c>
      <c r="AP74" s="15">
        <f>IF(ISNA(VLOOKUP(A74,'Données projet'!$A$61:$I$81,3,0)),0,VLOOKUP(A74,'Données projet'!$A$61:$I$81,3,0))</f>
        <v>5</v>
      </c>
      <c r="AQ74" s="15">
        <f>IF(ISNA(VLOOKUP(A74,'Données projet'!$A$61:$I$81,4,0)),0,VLOOKUP(A74,'Données projet'!$A$61:$I$81,4,0))</f>
        <v>80.399999999999991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14.5</v>
      </c>
      <c r="BD74" s="12">
        <f>IF('Données projet'!$A$88&gt;35,BD73+BC74-BL73,IF(A74&lt;'Données projet'!$A$88,$BA$205^A74,IF(A74='Données projet'!$A$88,'Données projet'!$B$88,BD73+BC74-BL73)))</f>
        <v>475.49999999999955</v>
      </c>
      <c r="BE74" s="13">
        <f>BD74*VLOOKUP('Données projet'!$B$11,Paramètres!$A$1:$I$89,3,0)*VLOOKUP('Données projet'!$B$11,Paramètres!$A$1:$I$89,5,0)</f>
        <v>284.34899999999976</v>
      </c>
      <c r="BF74" s="13">
        <f t="shared" si="91"/>
        <v>67.88525155188097</v>
      </c>
      <c r="BG74" s="20">
        <f t="shared" si="61"/>
        <v>613.47465478619222</v>
      </c>
      <c r="BH74" s="59">
        <f t="shared" si="62"/>
        <v>906.80798811952559</v>
      </c>
      <c r="BI74" s="59">
        <f ca="1">AVERAGE(OFFSET($BH$3,0,0,'Données projet'!$E$11+1,1))-AVERAGE(OFFSET($H$3,0,0,'Données projet'!$E$11+1,1))</f>
        <v>316.58509520829671</v>
      </c>
      <c r="BJ74" s="59">
        <f t="shared" si="92"/>
        <v>240.71332110643596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1.1252920875177599</v>
      </c>
      <c r="BQ74" s="21">
        <f>EXP(-LN(2)/25)*BQ73+(1-EXP(-LN(2)/25))/(LN(2)/25)*Calculateur!BL74*Calculateur!BN74*VLOOKUP('Données projet'!$B$11,Paramètres!$A$1:$I$89,3,0)*0.475*44/12</f>
        <v>4.8988131388262444</v>
      </c>
      <c r="BR74" s="21">
        <f>EXP(-LN(2)/2)*BR73+(1-EXP(-LN(2)/2))/(LN(2)/2)*BL74*BO74*VLOOKUP('Données projet'!$B$11,Paramètres!$A$1:$I$89,3,0)*0.475*44/12</f>
        <v>1.479478670089215E-5</v>
      </c>
      <c r="BS74" s="22">
        <f t="shared" si="63"/>
        <v>6.0241200211307051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3.9</v>
      </c>
      <c r="BY74" s="12">
        <f>IF('Données projet'!$A$114&gt;35,BY73+BX74-CG73,IF(A74&lt;'Données projet'!$A$114,$BV$205^A74,IF(A74='Données projet'!$A$114,'Données projet'!$B$114,BY73+BX74-CG73)))</f>
        <v>306.89999999999969</v>
      </c>
      <c r="BZ74" s="13">
        <f>BY74*VLOOKUP('Données projet'!$B$12,Paramètres!$A$1:$I$89,3,0)*VLOOKUP('Données projet'!$B$12,Paramètres!$A$1:$I$89,5,0)</f>
        <v>244.16963999999976</v>
      </c>
      <c r="CA74" s="13">
        <f t="shared" si="93"/>
        <v>59.335747541340979</v>
      </c>
      <c r="CB74" s="20">
        <f t="shared" si="64"/>
        <v>528.60521663450174</v>
      </c>
      <c r="CC74" s="59">
        <f t="shared" si="65"/>
        <v>821.93854996783512</v>
      </c>
      <c r="CD74" s="59">
        <f ca="1">AVERAGE(OFFSET($CC$3,0,0,'Données projet'!$E$12+1,1))-AVERAGE(OFFSET($H$3,0,0,'Données projet'!$E$12+1,1))</f>
        <v>260.20517190557814</v>
      </c>
      <c r="CE74" s="59">
        <f t="shared" si="94"/>
        <v>307.22009971147133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1.4487073272044324</v>
      </c>
      <c r="CL74" s="21">
        <f>EXP(-LN(2)/25)*CL73+(1-EXP(-LN(2)/25))/(LN(2)/25)*Calculateur!CG74*Calculateur!CI74*VLOOKUP('Données projet'!$B$12,Paramètres!$A$1:$I$89,3,0)*0.475*44/12</f>
        <v>6.5838473861767008</v>
      </c>
      <c r="CM74" s="21">
        <f>EXP(-LN(2)/2)*CM73+(1-EXP(-LN(2)/2))/(LN(2)/2)*CG74*CJ74*VLOOKUP('Données projet'!$B$12,Paramètres!$A$1:$I$89,3,0)*0.475*44/12</f>
        <v>1.6210712559986465E-5</v>
      </c>
      <c r="CN74" s="22">
        <f t="shared" si="66"/>
        <v>8.0325709240936938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>
        <f>VLOOKUP(A74,'Données projet'!$A$139:$I$159,2,0)</f>
        <v>243.36538461538458</v>
      </c>
      <c r="CR74" s="12">
        <f>VLOOKUP(A74,'Données projet'!$A$139:$I$159,9,0)</f>
        <v>8.1001602564102555</v>
      </c>
      <c r="CS74" s="12">
        <f t="array" ref="CS74">INDEX(CR:CR,MIN(IF(ISNUMBER(CR74:CR270),ROW(CR74:CR270),"")))</f>
        <v>8.1001602564102555</v>
      </c>
      <c r="CT74" s="12">
        <f>IF('Données projet'!$A$140&gt;35,CT73+CS74-DB73,IF(A74&lt;'Données projet'!$A$140,$CQ$205^A74,IF(A74='Données projet'!$A$140,'Données projet'!$B$140,CT73+CS74-DB73)))</f>
        <v>243.36538461538461</v>
      </c>
      <c r="CU74" s="17">
        <f>CT74*VLOOKUP('Données projet'!$B$13,Paramètres!$A$1:$I$89,3,0)*VLOOKUP('Données projet'!$B$13,Paramètres!$A$1:$I$89,5,0)</f>
        <v>246.77250000000001</v>
      </c>
      <c r="CV74" s="13">
        <f t="shared" si="95"/>
        <v>59.894298509670548</v>
      </c>
      <c r="CW74" s="20">
        <f t="shared" si="67"/>
        <v>534.11134073767619</v>
      </c>
      <c r="CX74" s="59">
        <f t="shared" si="68"/>
        <v>827.44467407100956</v>
      </c>
      <c r="CY74" s="59">
        <f ca="1">AVERAGE(OFFSET($CX$3,0,0,'Données projet'!$E$13+1,1))-AVERAGE(OFFSET($H$3,0,0,'Données projet'!$E$13+1,1))</f>
        <v>263.15518481854753</v>
      </c>
      <c r="CZ74" s="59">
        <f t="shared" si="96"/>
        <v>210.80755370263819</v>
      </c>
      <c r="DA74" s="15">
        <f>IF(ISNA(VLOOKUP(A74,'Données projet'!$A$139:$I$159,3,0)),0,VLOOKUP(A74,'Données projet'!$A$139:$I$159,3,0))</f>
        <v>6</v>
      </c>
      <c r="DB74" s="15">
        <f>IF(ISNA(VLOOKUP(A74,'Données projet'!$A$139:$I$159,4,0)),0,VLOOKUP(A74,'Données projet'!$A$139:$I$159,4,0))</f>
        <v>39.935897435897431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0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5.2</v>
      </c>
      <c r="DO74" s="12">
        <f>IF('Données projet'!$A$166&gt;35,DO73+DN74-DW73,IF(A74&lt;'Données projet'!$A$166,$DL$205^A74,IF(A74='Données projet'!$A$166,'Données projet'!$B$166,DO73+DN74-DW73)))</f>
        <v>246.19999999999993</v>
      </c>
      <c r="DP74" s="17">
        <f>DO74*VLOOKUP('Données projet'!$B$14,Paramètres!$A$1:$I$89,3,0)*VLOOKUP('Données projet'!$B$14,Paramètres!$A$1:$I$89,5,0)</f>
        <v>199.71743999999995</v>
      </c>
      <c r="DQ74" s="13">
        <f t="shared" si="97"/>
        <v>49.682064480920445</v>
      </c>
      <c r="DR74" s="20">
        <f t="shared" si="70"/>
        <v>434.37080363760305</v>
      </c>
      <c r="DS74" s="59">
        <f t="shared" si="71"/>
        <v>727.70413697093636</v>
      </c>
      <c r="DT74" s="59">
        <f ca="1">AVERAGE(OFFSET($DS$3,0,0,'Données projet'!$E$14+1,1))-AVERAGE(OFFSET($H$3,0,0,'Données projet'!$E$14+1,1))</f>
        <v>203.21935660591021</v>
      </c>
      <c r="DU74" s="59">
        <f t="shared" si="98"/>
        <v>180.54762778843178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0.44512472477330378</v>
      </c>
      <c r="EB74" s="21">
        <f>EXP(-LN(2)/25)*EB73+(1-EXP(-LN(2)/25))/(LN(2)/25)*Calculateur!DW74*Calculateur!DY74*VLOOKUP('Données projet'!$B$14,Paramètres!$A$1:$I$89,3,0)*0.475*44/12</f>
        <v>1.8621550267245988</v>
      </c>
      <c r="EC74" s="21">
        <f>EXP(-LN(2)/2)*EC73+(1-EXP(-LN(2)/2))/(LN(2)/2)*DW74*DZ74*VLOOKUP('Données projet'!$B$14,Paramètres!$A$1:$I$89,3,0)*0.475*44/12</f>
        <v>6.1114174653196446E-6</v>
      </c>
      <c r="ED74" s="22">
        <f t="shared" si="72"/>
        <v>2.3072858629153679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3.9</v>
      </c>
      <c r="EJ74" s="12">
        <f>IF('Données projet'!$A$192&gt;35,EJ73+EI74-ER73,IF(A74&lt;'Données projet'!$A$192,$EG$205^A74,IF(A74='Données projet'!$A$192,'Données projet'!$B$192,EJ73+EI74-ER73)))</f>
        <v>306.89999999999969</v>
      </c>
      <c r="EK74" s="17">
        <f>EJ74*VLOOKUP('Données projet'!$B$15,Paramètres!$A$1:$I$89,3,0)*VLOOKUP('Données projet'!$B$15,Paramètres!$A$1:$I$89,5,0)</f>
        <v>205.86851999999982</v>
      </c>
      <c r="EL74" s="13">
        <f t="shared" si="99"/>
        <v>51.031711971467665</v>
      </c>
      <c r="EM74" s="20">
        <f t="shared" si="73"/>
        <v>447.43457068363909</v>
      </c>
      <c r="EN74" s="59">
        <f t="shared" si="74"/>
        <v>740.76790401697235</v>
      </c>
      <c r="EO74" s="59">
        <f ca="1">AVERAGE(OFFSET($EN$3,0,0,'Données projet'!$E$15+1,1))-AVERAGE(OFFSET($H$3,0,0,'Données projet'!$E$15+1,1))</f>
        <v>207.93042467236967</v>
      </c>
      <c r="EP74" s="59">
        <f t="shared" si="100"/>
        <v>250.70954318710835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1.2214591190155011</v>
      </c>
      <c r="EW74" s="21">
        <f>EXP(-LN(2)/25)*EW73+(1-EXP(-LN(2)/25))/(LN(2)/25)*Calculateur!ER74*Calculateur!ET74*VLOOKUP('Données projet'!$B$15,Paramètres!$A$1:$I$89,3,0)*0.475*44/12</f>
        <v>5.5510870118744791</v>
      </c>
      <c r="EX74" s="21">
        <f>EXP(-LN(2)/2)*EX73+(1-EXP(-LN(2)/2))/(LN(2)/2)*ER74*EU74*VLOOKUP('Données projet'!$B$15,Paramètres!$A$1:$I$89,3,0)*0.475*44/12</f>
        <v>1.3667855687831724E-5</v>
      </c>
      <c r="EY74" s="22">
        <f t="shared" si="75"/>
        <v>6.772559798745668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-2.2737367544323206E-13</v>
      </c>
      <c r="O75" s="13">
        <f>N75*VLOOKUP('Données projet'!$B$9,Paramètres!$A$1:$I$89,3,0)*VLOOKUP('Données projet'!$B$9,Paramètres!$A$1:$I$89,5,0)</f>
        <v>-1.2710188457276673E-13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255.5374979188561</v>
      </c>
      <c r="T75" s="59">
        <f t="shared" si="88"/>
        <v>343.10418468620901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1.3450183997879879</v>
      </c>
      <c r="AA75" s="21">
        <f>EXP(-LN(2)/25)*AA74+(1-EXP(-LN(2)/25))/(LN(2)/25)*Calculateur!V75*Calculateur!X75*VLOOKUP('Données projet'!$B$9,Paramètres!$A$1:$I$89,3,0)*0.475*44/12</f>
        <v>4.9809197601748592</v>
      </c>
      <c r="AB75" s="21">
        <f>EXP(-LN(2)/2)*AB74+(1-EXP(-LN(2)/2))/(LN(2)/2)*V75*Y75*VLOOKUP('Données projet'!$B$9,Paramètres!$A$1:$I$89,3,0)*0.475*44/12</f>
        <v>8.07119407393487E-7</v>
      </c>
      <c r="AC75" s="22">
        <f t="shared" si="57"/>
        <v>6.325938967082255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12.913461538461533</v>
      </c>
      <c r="AI75" s="13">
        <f>IF('Données projet'!$A$62&gt;35,AI74+AH75-AQ74,IF(A75&lt;'Données projet'!$A$62,$AF$205^A75,IF(A75='Données projet'!$A$62,'Données projet'!$B$62,AI74+AH75-AQ74)))</f>
        <v>346.46730769230777</v>
      </c>
      <c r="AJ75" s="13">
        <f>AI75*VLOOKUP('Données projet'!$B$10,Paramètres!$A$1:$I$89,3,0)*VLOOKUP('Données projet'!$B$10,Paramètres!$A$1:$I$89,5,0)</f>
        <v>162.14670000000004</v>
      </c>
      <c r="AK75" s="13">
        <f t="shared" si="89"/>
        <v>41.326333369414826</v>
      </c>
      <c r="AL75" s="20">
        <f t="shared" si="58"/>
        <v>354.38219978506419</v>
      </c>
      <c r="AM75" s="59">
        <f t="shared" si="59"/>
        <v>647.7155331183975</v>
      </c>
      <c r="AN75" s="59">
        <f ca="1">AVERAGE(OFFSET($AM$3,0,0,'Données projet'!$E$10+1,1))-AVERAGE(OFFSET($H$3,0,0,'Données projet'!$E$10+1,1))</f>
        <v>158.58786357608489</v>
      </c>
      <c r="AO75" s="59">
        <f t="shared" si="90"/>
        <v>163.20074068819849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14.5</v>
      </c>
      <c r="BD75" s="12">
        <f>IF('Données projet'!$A$88&gt;35,BD74+BC75-BL74,IF(A75&lt;'Données projet'!$A$88,$BA$205^A75,IF(A75='Données projet'!$A$88,'Données projet'!$B$88,BD74+BC75-BL74)))</f>
        <v>489.99999999999955</v>
      </c>
      <c r="BE75" s="13">
        <f>BD75*VLOOKUP('Données projet'!$B$11,Paramètres!$A$1:$I$89,3,0)*VLOOKUP('Données projet'!$B$11,Paramètres!$A$1:$I$89,5,0)</f>
        <v>293.01999999999975</v>
      </c>
      <c r="BF75" s="13">
        <f t="shared" si="91"/>
        <v>69.711188549176683</v>
      </c>
      <c r="BG75" s="20">
        <f t="shared" si="61"/>
        <v>631.75682005648218</v>
      </c>
      <c r="BH75" s="59">
        <f t="shared" si="62"/>
        <v>925.09015338981544</v>
      </c>
      <c r="BI75" s="59">
        <f ca="1">AVERAGE(OFFSET($BH$3,0,0,'Données projet'!$E$11+1,1))-AVERAGE(OFFSET($H$3,0,0,'Données projet'!$E$11+1,1))</f>
        <v>316.58509520829671</v>
      </c>
      <c r="BJ75" s="59">
        <f t="shared" si="92"/>
        <v>240.71332110643596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1.1032257960419376</v>
      </c>
      <c r="BQ75" s="21">
        <f>EXP(-LN(2)/25)*BQ74+(1-EXP(-LN(2)/25))/(LN(2)/25)*Calculateur!BL75*Calculateur!BN75*VLOOKUP('Données projet'!$B$11,Paramètres!$A$1:$I$89,3,0)*0.475*44/12</f>
        <v>4.7648548359276539</v>
      </c>
      <c r="BR75" s="21">
        <f>EXP(-LN(2)/2)*BR74+(1-EXP(-LN(2)/2))/(LN(2)/2)*BL75*BO75*VLOOKUP('Données projet'!$B$11,Paramètres!$A$1:$I$89,3,0)*0.475*44/12</f>
        <v>1.046149400240939E-5</v>
      </c>
      <c r="BS75" s="22">
        <f t="shared" si="63"/>
        <v>5.8680910934635939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3.9</v>
      </c>
      <c r="BY75" s="12">
        <f>IF('Données projet'!$A$114&gt;35,BY74+BX75-CG74,IF(A75&lt;'Données projet'!$A$114,$BV$205^A75,IF(A75='Données projet'!$A$114,'Données projet'!$B$114,BY74+BX75-CG74)))</f>
        <v>310.79999999999967</v>
      </c>
      <c r="BZ75" s="13">
        <f>BY75*VLOOKUP('Données projet'!$B$12,Paramètres!$A$1:$I$89,3,0)*VLOOKUP('Données projet'!$B$12,Paramètres!$A$1:$I$89,5,0)</f>
        <v>247.27247999999975</v>
      </c>
      <c r="CA75" s="13">
        <f t="shared" si="93"/>
        <v>60.001511123918704</v>
      </c>
      <c r="CB75" s="20">
        <f t="shared" si="64"/>
        <v>535.16886787415797</v>
      </c>
      <c r="CC75" s="59">
        <f t="shared" si="65"/>
        <v>828.50220120749123</v>
      </c>
      <c r="CD75" s="59">
        <f ca="1">AVERAGE(OFFSET($CC$3,0,0,'Données projet'!$E$12+1,1))-AVERAGE(OFFSET($H$3,0,0,'Données projet'!$E$12+1,1))</f>
        <v>260.20517190557814</v>
      </c>
      <c r="CE75" s="59">
        <f t="shared" si="94"/>
        <v>307.22009971147133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1.4202990601421723</v>
      </c>
      <c r="CL75" s="21">
        <f>EXP(-LN(2)/25)*CL74+(1-EXP(-LN(2)/25))/(LN(2)/25)*Calculateur!CG75*Calculateur!CI75*VLOOKUP('Données projet'!$B$12,Paramètres!$A$1:$I$89,3,0)*0.475*44/12</f>
        <v>6.4038117331722129</v>
      </c>
      <c r="CM75" s="21">
        <f>EXP(-LN(2)/2)*CM74+(1-EXP(-LN(2)/2))/(LN(2)/2)*CG75*CJ75*VLOOKUP('Données projet'!$B$12,Paramètres!$A$1:$I$89,3,0)*0.475*44/12</f>
        <v>1.1462704779032367E-5</v>
      </c>
      <c r="CN75" s="22">
        <f t="shared" si="66"/>
        <v>7.8241222560191641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7.8425925925925934</v>
      </c>
      <c r="CT75" s="12">
        <f>IF('Données projet'!$A$140&gt;35,CT74+CS75-DB74,IF(A75&lt;'Données projet'!$A$140,$CQ$205^A75,IF(A75='Données projet'!$A$140,'Données projet'!$B$140,CT74+CS75-DB74)))</f>
        <v>211.27207977207976</v>
      </c>
      <c r="CU75" s="17">
        <f>CT75*VLOOKUP('Données projet'!$B$13,Paramètres!$A$1:$I$89,3,0)*VLOOKUP('Données projet'!$B$13,Paramètres!$A$1:$I$89,5,0)</f>
        <v>214.22988888888889</v>
      </c>
      <c r="CV75" s="13">
        <f t="shared" si="95"/>
        <v>52.858847294468191</v>
      </c>
      <c r="CW75" s="20">
        <f t="shared" si="67"/>
        <v>465.17954885268017</v>
      </c>
      <c r="CX75" s="59">
        <f t="shared" si="68"/>
        <v>758.51288218601348</v>
      </c>
      <c r="CY75" s="59">
        <f ca="1">AVERAGE(OFFSET($CX$3,0,0,'Données projet'!$E$13+1,1))-AVERAGE(OFFSET($H$3,0,0,'Données projet'!$E$13+1,1))</f>
        <v>263.15518481854753</v>
      </c>
      <c r="CZ75" s="59">
        <f t="shared" si="96"/>
        <v>210.80755370263819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0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5.2</v>
      </c>
      <c r="DO75" s="12">
        <f>IF('Données projet'!$A$166&gt;35,DO74+DN75-DW74,IF(A75&lt;'Données projet'!$A$166,$DL$205^A75,IF(A75='Données projet'!$A$166,'Données projet'!$B$166,DO74+DN75-DW74)))</f>
        <v>251.39999999999992</v>
      </c>
      <c r="DP75" s="17">
        <f>DO75*VLOOKUP('Données projet'!$B$14,Paramètres!$A$1:$I$89,3,0)*VLOOKUP('Données projet'!$B$14,Paramètres!$A$1:$I$89,5,0)</f>
        <v>203.93567999999993</v>
      </c>
      <c r="DQ75" s="13">
        <f t="shared" si="97"/>
        <v>50.608127642968469</v>
      </c>
      <c r="DR75" s="20">
        <f t="shared" si="70"/>
        <v>443.33046497816991</v>
      </c>
      <c r="DS75" s="59">
        <f t="shared" si="71"/>
        <v>736.66379831150323</v>
      </c>
      <c r="DT75" s="59">
        <f ca="1">AVERAGE(OFFSET($DS$3,0,0,'Données projet'!$E$14+1,1))-AVERAGE(OFFSET($H$3,0,0,'Données projet'!$E$14+1,1))</f>
        <v>203.21935660591021</v>
      </c>
      <c r="DU75" s="59">
        <f t="shared" si="98"/>
        <v>180.54762778843178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0.43639610041977306</v>
      </c>
      <c r="EB75" s="21">
        <f>EXP(-LN(2)/25)*EB74+(1-EXP(-LN(2)/25))/(LN(2)/25)*Calculateur!DW75*Calculateur!DY75*VLOOKUP('Données projet'!$B$14,Paramètres!$A$1:$I$89,3,0)*0.475*44/12</f>
        <v>1.8112342995923378</v>
      </c>
      <c r="EC75" s="21">
        <f>EXP(-LN(2)/2)*EC74+(1-EXP(-LN(2)/2))/(LN(2)/2)*DW75*DZ75*VLOOKUP('Données projet'!$B$14,Paramètres!$A$1:$I$89,3,0)*0.475*44/12</f>
        <v>4.3214247323894227E-6</v>
      </c>
      <c r="ED75" s="22">
        <f t="shared" si="72"/>
        <v>2.2476347214368433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3.9</v>
      </c>
      <c r="EJ75" s="12">
        <f>IF('Données projet'!$A$192&gt;35,EJ74+EI75-ER74,IF(A75&lt;'Données projet'!$A$192,$EG$205^A75,IF(A75='Données projet'!$A$192,'Données projet'!$B$192,EJ74+EI75-ER74)))</f>
        <v>310.79999999999967</v>
      </c>
      <c r="EK75" s="17">
        <f>EJ75*VLOOKUP('Données projet'!$B$15,Paramètres!$A$1:$I$89,3,0)*VLOOKUP('Données projet'!$B$15,Paramètres!$A$1:$I$89,5,0)</f>
        <v>208.48463999999979</v>
      </c>
      <c r="EL75" s="13">
        <f t="shared" si="99"/>
        <v>51.60430196645391</v>
      </c>
      <c r="EM75" s="20">
        <f t="shared" si="73"/>
        <v>452.98824059157351</v>
      </c>
      <c r="EN75" s="59">
        <f t="shared" si="74"/>
        <v>746.32157392490683</v>
      </c>
      <c r="EO75" s="59">
        <f ca="1">AVERAGE(OFFSET($EN$3,0,0,'Données projet'!$E$15+1,1))-AVERAGE(OFFSET($H$3,0,0,'Données projet'!$E$15+1,1))</f>
        <v>207.93042467236967</v>
      </c>
      <c r="EP75" s="59">
        <f t="shared" si="100"/>
        <v>250.70954318710835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1.1975070507081054</v>
      </c>
      <c r="EW75" s="21">
        <f>EXP(-LN(2)/25)*EW74+(1-EXP(-LN(2)/25))/(LN(2)/25)*Calculateur!ER75*Calculateur!ET75*VLOOKUP('Données projet'!$B$15,Paramètres!$A$1:$I$89,3,0)*0.475*44/12</f>
        <v>5.3992922456157926</v>
      </c>
      <c r="EX75" s="21">
        <f>EXP(-LN(2)/2)*EX74+(1-EXP(-LN(2)/2))/(LN(2)/2)*ER75*EU75*VLOOKUP('Données projet'!$B$15,Paramètres!$A$1:$I$89,3,0)*0.475*44/12</f>
        <v>9.6646334411449361E-6</v>
      </c>
      <c r="EY75" s="22">
        <f t="shared" si="75"/>
        <v>6.5968089609573388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-2.2737367544323206E-13</v>
      </c>
      <c r="O76" s="13">
        <f>N76*VLOOKUP('Données projet'!$B$9,Paramètres!$A$1:$I$89,3,0)*VLOOKUP('Données projet'!$B$9,Paramètres!$A$1:$I$89,5,0)</f>
        <v>-1.2710188457276673E-13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255.5374979188561</v>
      </c>
      <c r="T76" s="59">
        <f t="shared" si="88"/>
        <v>343.10418468620901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1.3186434093483634</v>
      </c>
      <c r="AA76" s="21">
        <f>EXP(-LN(2)/25)*AA75+(1-EXP(-LN(2)/25))/(LN(2)/25)*Calculateur!V76*Calculateur!X76*VLOOKUP('Données projet'!$B$9,Paramètres!$A$1:$I$89,3,0)*0.475*44/12</f>
        <v>4.8447162473976917</v>
      </c>
      <c r="AB76" s="21">
        <f>EXP(-LN(2)/2)*AB75+(1-EXP(-LN(2)/2))/(LN(2)/2)*V76*Y76*VLOOKUP('Données projet'!$B$9,Paramètres!$A$1:$I$89,3,0)*0.475*44/12</f>
        <v>5.7071960619520231E-7</v>
      </c>
      <c r="AC76" s="22">
        <f t="shared" si="57"/>
        <v>6.1633602274656605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12.913461538461533</v>
      </c>
      <c r="AI76" s="13">
        <f>IF('Données projet'!$A$62&gt;35,AI75+AH76-AQ75,IF(A76&lt;'Données projet'!$A$62,$AF$205^A76,IF(A76='Données projet'!$A$62,'Données projet'!$B$62,AI75+AH76-AQ75)))</f>
        <v>359.38076923076932</v>
      </c>
      <c r="AJ76" s="13">
        <f>AI76*VLOOKUP('Données projet'!$B$10,Paramètres!$A$1:$I$89,3,0)*VLOOKUP('Données projet'!$B$10,Paramètres!$A$1:$I$89,5,0)</f>
        <v>168.19020000000003</v>
      </c>
      <c r="AK76" s="13">
        <f t="shared" si="89"/>
        <v>42.684436447240749</v>
      </c>
      <c r="AL76" s="20">
        <f t="shared" si="58"/>
        <v>367.27332514561107</v>
      </c>
      <c r="AM76" s="59">
        <f t="shared" si="59"/>
        <v>660.60665847894438</v>
      </c>
      <c r="AN76" s="59">
        <f ca="1">AVERAGE(OFFSET($AM$3,0,0,'Données projet'!$E$10+1,1))-AVERAGE(OFFSET($H$3,0,0,'Données projet'!$E$10+1,1))</f>
        <v>158.58786357608489</v>
      </c>
      <c r="AO76" s="59">
        <f t="shared" si="90"/>
        <v>163.20074068819849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14.5</v>
      </c>
      <c r="BD76" s="12">
        <f>IF('Données projet'!$A$88&gt;35,BD75+BC76-BL75,IF(A76&lt;'Données projet'!$A$88,$BA$205^A76,IF(A76='Données projet'!$A$88,'Données projet'!$B$88,BD75+BC76-BL75)))</f>
        <v>504.49999999999955</v>
      </c>
      <c r="BE76" s="13">
        <f>BD76*VLOOKUP('Données projet'!$B$11,Paramètres!$A$1:$I$89,3,0)*VLOOKUP('Données projet'!$B$11,Paramètres!$A$1:$I$89,5,0)</f>
        <v>301.69099999999975</v>
      </c>
      <c r="BF76" s="13">
        <f t="shared" si="91"/>
        <v>71.530845976260522</v>
      </c>
      <c r="BG76" s="20">
        <f t="shared" si="61"/>
        <v>650.02804840865338</v>
      </c>
      <c r="BH76" s="59">
        <f t="shared" si="62"/>
        <v>943.36138174198663</v>
      </c>
      <c r="BI76" s="59">
        <f ca="1">AVERAGE(OFFSET($BH$3,0,0,'Données projet'!$E$11+1,1))-AVERAGE(OFFSET($H$3,0,0,'Données projet'!$E$11+1,1))</f>
        <v>316.58509520829671</v>
      </c>
      <c r="BJ76" s="59">
        <f t="shared" si="92"/>
        <v>240.71332110643596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1.0815922110828473</v>
      </c>
      <c r="BQ76" s="21">
        <f>EXP(-LN(2)/25)*BQ75+(1-EXP(-LN(2)/25))/(LN(2)/25)*Calculateur!BL76*Calculateur!BN76*VLOOKUP('Données projet'!$B$11,Paramètres!$A$1:$I$89,3,0)*0.475*44/12</f>
        <v>4.6345596298663869</v>
      </c>
      <c r="BR76" s="21">
        <f>EXP(-LN(2)/2)*BR75+(1-EXP(-LN(2)/2))/(LN(2)/2)*BL76*BO76*VLOOKUP('Données projet'!$B$11,Paramètres!$A$1:$I$89,3,0)*0.475*44/12</f>
        <v>7.3973933504460767E-6</v>
      </c>
      <c r="BS76" s="22">
        <f t="shared" si="63"/>
        <v>5.7161592383425841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3.9</v>
      </c>
      <c r="BY76" s="12">
        <f>IF('Données projet'!$A$114&gt;35,BY75+BX76-CG75,IF(A76&lt;'Données projet'!$A$114,$BV$205^A76,IF(A76='Données projet'!$A$114,'Données projet'!$B$114,BY75+BX76-CG75)))</f>
        <v>314.69999999999965</v>
      </c>
      <c r="BZ76" s="13">
        <f>BY76*VLOOKUP('Données projet'!$B$12,Paramètres!$A$1:$I$89,3,0)*VLOOKUP('Données projet'!$B$12,Paramètres!$A$1:$I$89,5,0)</f>
        <v>250.37531999999973</v>
      </c>
      <c r="CA76" s="13">
        <f t="shared" si="93"/>
        <v>60.666302963242082</v>
      </c>
      <c r="CB76" s="20">
        <f t="shared" si="64"/>
        <v>541.73082666097946</v>
      </c>
      <c r="CC76" s="59">
        <f t="shared" si="65"/>
        <v>835.06415999431283</v>
      </c>
      <c r="CD76" s="59">
        <f ca="1">AVERAGE(OFFSET($CC$3,0,0,'Données projet'!$E$12+1,1))-AVERAGE(OFFSET($H$3,0,0,'Données projet'!$E$12+1,1))</f>
        <v>260.20517190557814</v>
      </c>
      <c r="CE76" s="59">
        <f t="shared" si="94"/>
        <v>307.22009971147133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1.3924478618696714</v>
      </c>
      <c r="CL76" s="21">
        <f>EXP(-LN(2)/25)*CL75+(1-EXP(-LN(2)/25))/(LN(2)/25)*Calculateur!CG76*Calculateur!CI76*VLOOKUP('Données projet'!$B$12,Paramètres!$A$1:$I$89,3,0)*0.475*44/12</f>
        <v>6.2286991645667955</v>
      </c>
      <c r="CM76" s="21">
        <f>EXP(-LN(2)/2)*CM75+(1-EXP(-LN(2)/2))/(LN(2)/2)*CG76*CJ76*VLOOKUP('Données projet'!$B$12,Paramètres!$A$1:$I$89,3,0)*0.475*44/12</f>
        <v>8.1053562799932324E-6</v>
      </c>
      <c r="CN76" s="22">
        <f t="shared" si="66"/>
        <v>7.6211551317927473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7.8425925925925934</v>
      </c>
      <c r="CT76" s="12">
        <f>IF('Données projet'!$A$140&gt;35,CT75+CS76-DB75,IF(A76&lt;'Données projet'!$A$140,$CQ$205^A76,IF(A76='Données projet'!$A$140,'Données projet'!$B$140,CT75+CS76-DB75)))</f>
        <v>219.11467236467234</v>
      </c>
      <c r="CU76" s="17">
        <f>CT76*VLOOKUP('Données projet'!$B$13,Paramètres!$A$1:$I$89,3,0)*VLOOKUP('Données projet'!$B$13,Paramètres!$A$1:$I$89,5,0)</f>
        <v>222.18227777777776</v>
      </c>
      <c r="CV76" s="13">
        <f t="shared" si="95"/>
        <v>54.588920195757801</v>
      </c>
      <c r="CW76" s="20">
        <f t="shared" si="67"/>
        <v>482.04316980390769</v>
      </c>
      <c r="CX76" s="59">
        <f t="shared" si="68"/>
        <v>775.376503137241</v>
      </c>
      <c r="CY76" s="59">
        <f ca="1">AVERAGE(OFFSET($CX$3,0,0,'Données projet'!$E$13+1,1))-AVERAGE(OFFSET($H$3,0,0,'Données projet'!$E$13+1,1))</f>
        <v>263.15518481854753</v>
      </c>
      <c r="CZ76" s="59">
        <f t="shared" si="96"/>
        <v>210.80755370263819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0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5.2</v>
      </c>
      <c r="DO76" s="12">
        <f>IF('Données projet'!$A$166&gt;35,DO75+DN76-DW75,IF(A76&lt;'Données projet'!$A$166,$DL$205^A76,IF(A76='Données projet'!$A$166,'Données projet'!$B$166,DO75+DN76-DW75)))</f>
        <v>256.59999999999991</v>
      </c>
      <c r="DP76" s="17">
        <f>DO76*VLOOKUP('Données projet'!$B$14,Paramètres!$A$1:$I$89,3,0)*VLOOKUP('Données projet'!$B$14,Paramètres!$A$1:$I$89,5,0)</f>
        <v>208.15391999999994</v>
      </c>
      <c r="DQ76" s="13">
        <f t="shared" si="97"/>
        <v>51.531963694915518</v>
      </c>
      <c r="DR76" s="20">
        <f t="shared" si="70"/>
        <v>452.28624743531105</v>
      </c>
      <c r="DS76" s="59">
        <f t="shared" si="71"/>
        <v>745.61958076864437</v>
      </c>
      <c r="DT76" s="59">
        <f ca="1">AVERAGE(OFFSET($DS$3,0,0,'Données projet'!$E$14+1,1))-AVERAGE(OFFSET($H$3,0,0,'Données projet'!$E$14+1,1))</f>
        <v>203.21935660591021</v>
      </c>
      <c r="DU76" s="59">
        <f t="shared" si="98"/>
        <v>180.54762778843178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0.42783863906587993</v>
      </c>
      <c r="EB76" s="21">
        <f>EXP(-LN(2)/25)*EB75+(1-EXP(-LN(2)/25))/(LN(2)/25)*Calculateur!DW76*Calculateur!DY76*VLOOKUP('Données projet'!$B$14,Paramètres!$A$1:$I$89,3,0)*0.475*44/12</f>
        <v>1.7617060024213131</v>
      </c>
      <c r="EC76" s="21">
        <f>EXP(-LN(2)/2)*EC75+(1-EXP(-LN(2)/2))/(LN(2)/2)*DW76*DZ76*VLOOKUP('Données projet'!$B$14,Paramètres!$A$1:$I$89,3,0)*0.475*44/12</f>
        <v>3.0557087326598223E-6</v>
      </c>
      <c r="ED76" s="22">
        <f t="shared" si="72"/>
        <v>2.1895476971959256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3.9</v>
      </c>
      <c r="EJ76" s="12">
        <f>IF('Données projet'!$A$192&gt;35,EJ75+EI76-ER75,IF(A76&lt;'Données projet'!$A$192,$EG$205^A76,IF(A76='Données projet'!$A$192,'Données projet'!$B$192,EJ75+EI76-ER75)))</f>
        <v>314.69999999999965</v>
      </c>
      <c r="EK76" s="17">
        <f>EJ76*VLOOKUP('Données projet'!$B$15,Paramètres!$A$1:$I$89,3,0)*VLOOKUP('Données projet'!$B$15,Paramètres!$A$1:$I$89,5,0)</f>
        <v>211.10075999999978</v>
      </c>
      <c r="EL76" s="13">
        <f t="shared" si="99"/>
        <v>52.176056213616526</v>
      </c>
      <c r="EM76" s="20">
        <f t="shared" si="73"/>
        <v>458.54045490538175</v>
      </c>
      <c r="EN76" s="59">
        <f t="shared" si="74"/>
        <v>751.87378823871506</v>
      </c>
      <c r="EO76" s="59">
        <f ca="1">AVERAGE(OFFSET($EN$3,0,0,'Données projet'!$E$15+1,1))-AVERAGE(OFFSET($H$3,0,0,'Données projet'!$E$15+1,1))</f>
        <v>207.93042467236967</v>
      </c>
      <c r="EP76" s="59">
        <f t="shared" si="100"/>
        <v>250.70954318710835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1.1740246678508985</v>
      </c>
      <c r="EW76" s="21">
        <f>EXP(-LN(2)/25)*EW75+(1-EXP(-LN(2)/25))/(LN(2)/25)*Calculateur!ER76*Calculateur!ET76*VLOOKUP('Données projet'!$B$15,Paramètres!$A$1:$I$89,3,0)*0.475*44/12</f>
        <v>5.2516483152229894</v>
      </c>
      <c r="EX76" s="21">
        <f>EXP(-LN(2)/2)*EX75+(1-EXP(-LN(2)/2))/(LN(2)/2)*ER76*EU76*VLOOKUP('Données projet'!$B$15,Paramètres!$A$1:$I$89,3,0)*0.475*44/12</f>
        <v>6.8339278439158622E-6</v>
      </c>
      <c r="EY76" s="22">
        <f t="shared" si="75"/>
        <v>6.4256798170017317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-2.2737367544323206E-13</v>
      </c>
      <c r="O77" s="13">
        <f>N77*VLOOKUP('Données projet'!$B$9,Paramètres!$A$1:$I$89,3,0)*VLOOKUP('Données projet'!$B$9,Paramètres!$A$1:$I$89,5,0)</f>
        <v>-1.2710188457276673E-13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255.5374979188561</v>
      </c>
      <c r="T77" s="59">
        <f t="shared" si="88"/>
        <v>343.10418468620901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1.2927856163841045</v>
      </c>
      <c r="AA77" s="21">
        <f>EXP(-LN(2)/25)*AA76+(1-EXP(-LN(2)/25))/(LN(2)/25)*Calculateur!V77*Calculateur!X77*VLOOKUP('Données projet'!$B$9,Paramètres!$A$1:$I$89,3,0)*0.475*44/12</f>
        <v>4.7122372268400472</v>
      </c>
      <c r="AB77" s="21">
        <f>EXP(-LN(2)/2)*AB76+(1-EXP(-LN(2)/2))/(LN(2)/2)*V77*Y77*VLOOKUP('Données projet'!$B$9,Paramètres!$A$1:$I$89,3,0)*0.475*44/12</f>
        <v>4.035597036967435E-7</v>
      </c>
      <c r="AC77" s="22">
        <f t="shared" si="57"/>
        <v>6.005023246783856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12.913461538461533</v>
      </c>
      <c r="AI77" s="13">
        <f>IF('Données projet'!$A$62&gt;35,AI76+AH77-AQ76,IF(A77&lt;'Données projet'!$A$62,$AF$205^A77,IF(A77='Données projet'!$A$62,'Données projet'!$B$62,AI76+AH77-AQ76)))</f>
        <v>372.29423076923086</v>
      </c>
      <c r="AJ77" s="13">
        <f>AI77*VLOOKUP('Données projet'!$B$10,Paramètres!$A$1:$I$89,3,0)*VLOOKUP('Données projet'!$B$10,Paramètres!$A$1:$I$89,5,0)</f>
        <v>174.23370000000006</v>
      </c>
      <c r="AK77" s="13">
        <f t="shared" si="89"/>
        <v>44.036869769028705</v>
      </c>
      <c r="AL77" s="20">
        <f t="shared" si="58"/>
        <v>380.15457568105836</v>
      </c>
      <c r="AM77" s="59">
        <f t="shared" si="59"/>
        <v>673.48790901439168</v>
      </c>
      <c r="AN77" s="59">
        <f ca="1">AVERAGE(OFFSET($AM$3,0,0,'Données projet'!$E$10+1,1))-AVERAGE(OFFSET($H$3,0,0,'Données projet'!$E$10+1,1))</f>
        <v>158.58786357608489</v>
      </c>
      <c r="AO77" s="59">
        <f t="shared" si="90"/>
        <v>163.20074068819849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14.5</v>
      </c>
      <c r="BD77" s="12">
        <f>IF('Données projet'!$A$88&gt;35,BD76+BC77-BL76,IF(A77&lt;'Données projet'!$A$88,$BA$205^A77,IF(A77='Données projet'!$A$88,'Données projet'!$B$88,BD76+BC77-BL76)))</f>
        <v>518.99999999999955</v>
      </c>
      <c r="BE77" s="13">
        <f>BD77*VLOOKUP('Données projet'!$B$11,Paramètres!$A$1:$I$89,3,0)*VLOOKUP('Données projet'!$B$11,Paramètres!$A$1:$I$89,5,0)</f>
        <v>310.36199999999974</v>
      </c>
      <c r="BF77" s="13">
        <f t="shared" si="91"/>
        <v>73.34442504403718</v>
      </c>
      <c r="BG77" s="20">
        <f t="shared" si="61"/>
        <v>668.28869028503095</v>
      </c>
      <c r="BH77" s="59">
        <f t="shared" si="62"/>
        <v>961.62202361836421</v>
      </c>
      <c r="BI77" s="59">
        <f ca="1">AVERAGE(OFFSET($BH$3,0,0,'Données projet'!$E$11+1,1))-AVERAGE(OFFSET($H$3,0,0,'Données projet'!$E$11+1,1))</f>
        <v>316.58509520829671</v>
      </c>
      <c r="BJ77" s="59">
        <f t="shared" si="92"/>
        <v>240.71332110643596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1.0603828475296209</v>
      </c>
      <c r="BQ77" s="21">
        <f>EXP(-LN(2)/25)*BQ76+(1-EXP(-LN(2)/25))/(LN(2)/25)*Calculateur!BL77*Calculateur!BN77*VLOOKUP('Données projet'!$B$11,Paramètres!$A$1:$I$89,3,0)*0.475*44/12</f>
        <v>4.5078273530667925</v>
      </c>
      <c r="BR77" s="21">
        <f>EXP(-LN(2)/2)*BR76+(1-EXP(-LN(2)/2))/(LN(2)/2)*BL77*BO77*VLOOKUP('Données projet'!$B$11,Paramètres!$A$1:$I$89,3,0)*0.475*44/12</f>
        <v>5.230747001204696E-6</v>
      </c>
      <c r="BS77" s="22">
        <f t="shared" si="63"/>
        <v>5.5682154313434138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3.9</v>
      </c>
      <c r="BY77" s="12">
        <f>IF('Données projet'!$A$114&gt;35,BY76+BX77-CG76,IF(A77&lt;'Données projet'!$A$114,$BV$205^A77,IF(A77='Données projet'!$A$114,'Données projet'!$B$114,BY76+BX77-CG76)))</f>
        <v>318.59999999999962</v>
      </c>
      <c r="BZ77" s="13">
        <f>BY77*VLOOKUP('Données projet'!$B$12,Paramètres!$A$1:$I$89,3,0)*VLOOKUP('Données projet'!$B$12,Paramètres!$A$1:$I$89,5,0)</f>
        <v>253.47815999999972</v>
      </c>
      <c r="CA77" s="13">
        <f t="shared" si="93"/>
        <v>61.330136494642396</v>
      </c>
      <c r="CB77" s="20">
        <f t="shared" si="64"/>
        <v>548.29111639483494</v>
      </c>
      <c r="CC77" s="59">
        <f t="shared" si="65"/>
        <v>841.6244497281682</v>
      </c>
      <c r="CD77" s="59">
        <f ca="1">AVERAGE(OFFSET($CC$3,0,0,'Données projet'!$E$12+1,1))-AVERAGE(OFFSET($H$3,0,0,'Données projet'!$E$12+1,1))</f>
        <v>260.20517190557814</v>
      </c>
      <c r="CE77" s="59">
        <f t="shared" si="94"/>
        <v>307.22009971147133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1.3651428086077406</v>
      </c>
      <c r="CL77" s="21">
        <f>EXP(-LN(2)/25)*CL76+(1-EXP(-LN(2)/25))/(LN(2)/25)*Calculateur!CG77*Calculateur!CI77*VLOOKUP('Données projet'!$B$12,Paramètres!$A$1:$I$89,3,0)*0.475*44/12</f>
        <v>6.0583750583586635</v>
      </c>
      <c r="CM77" s="21">
        <f>EXP(-LN(2)/2)*CM76+(1-EXP(-LN(2)/2))/(LN(2)/2)*CG77*CJ77*VLOOKUP('Données projet'!$B$12,Paramètres!$A$1:$I$89,3,0)*0.475*44/12</f>
        <v>5.7313523895161834E-6</v>
      </c>
      <c r="CN77" s="22">
        <f t="shared" si="66"/>
        <v>7.423523598318793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7.8425925925925934</v>
      </c>
      <c r="CT77" s="12">
        <f>IF('Données projet'!$A$140&gt;35,CT76+CS77-DB76,IF(A77&lt;'Données projet'!$A$140,$CQ$205^A77,IF(A77='Données projet'!$A$140,'Données projet'!$B$140,CT76+CS77-DB76)))</f>
        <v>226.95726495726493</v>
      </c>
      <c r="CU77" s="17">
        <f>CT77*VLOOKUP('Données projet'!$B$13,Paramètres!$A$1:$I$89,3,0)*VLOOKUP('Données projet'!$B$13,Paramètres!$A$1:$I$89,5,0)</f>
        <v>230.13466666666665</v>
      </c>
      <c r="CV77" s="13">
        <f t="shared" si="95"/>
        <v>56.311798620954733</v>
      </c>
      <c r="CW77" s="20">
        <f t="shared" si="67"/>
        <v>498.89426037594058</v>
      </c>
      <c r="CX77" s="59">
        <f t="shared" si="68"/>
        <v>792.22759370927383</v>
      </c>
      <c r="CY77" s="59">
        <f ca="1">AVERAGE(OFFSET($CX$3,0,0,'Données projet'!$E$13+1,1))-AVERAGE(OFFSET($H$3,0,0,'Données projet'!$E$13+1,1))</f>
        <v>263.15518481854753</v>
      </c>
      <c r="CZ77" s="59">
        <f t="shared" si="96"/>
        <v>210.80755370263819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0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5.2</v>
      </c>
      <c r="DO77" s="12">
        <f>IF('Données projet'!$A$166&gt;35,DO76+DN77-DW76,IF(A77&lt;'Données projet'!$A$166,$DL$205^A77,IF(A77='Données projet'!$A$166,'Données projet'!$B$166,DO76+DN77-DW76)))</f>
        <v>261.7999999999999</v>
      </c>
      <c r="DP77" s="17">
        <f>DO77*VLOOKUP('Données projet'!$B$14,Paramètres!$A$1:$I$89,3,0)*VLOOKUP('Données projet'!$B$14,Paramètres!$A$1:$I$89,5,0)</f>
        <v>212.37215999999992</v>
      </c>
      <c r="DQ77" s="13">
        <f t="shared" si="97"/>
        <v>52.453622970141602</v>
      </c>
      <c r="DR77" s="20">
        <f t="shared" si="70"/>
        <v>461.23823867299643</v>
      </c>
      <c r="DS77" s="59">
        <f t="shared" si="71"/>
        <v>754.57157200632969</v>
      </c>
      <c r="DT77" s="59">
        <f ca="1">AVERAGE(OFFSET($DS$3,0,0,'Données projet'!$E$14+1,1))-AVERAGE(OFFSET($H$3,0,0,'Données projet'!$E$14+1,1))</f>
        <v>203.21935660591021</v>
      </c>
      <c r="DU77" s="59">
        <f t="shared" si="98"/>
        <v>180.54762778843178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0.41944898430960059</v>
      </c>
      <c r="EB77" s="21">
        <f>EXP(-LN(2)/25)*EB76+(1-EXP(-LN(2)/25))/(LN(2)/25)*Calculateur!DW77*Calculateur!DY77*VLOOKUP('Données projet'!$B$14,Paramètres!$A$1:$I$89,3,0)*0.475*44/12</f>
        <v>1.7135320591410101</v>
      </c>
      <c r="EC77" s="21">
        <f>EXP(-LN(2)/2)*EC76+(1-EXP(-LN(2)/2))/(LN(2)/2)*DW77*DZ77*VLOOKUP('Données projet'!$B$14,Paramètres!$A$1:$I$89,3,0)*0.475*44/12</f>
        <v>2.1607123661947114E-6</v>
      </c>
      <c r="ED77" s="22">
        <f t="shared" si="72"/>
        <v>2.132983204162977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3.9</v>
      </c>
      <c r="EJ77" s="12">
        <f>IF('Données projet'!$A$192&gt;35,EJ76+EI77-ER76,IF(A77&lt;'Données projet'!$A$192,$EG$205^A77,IF(A77='Données projet'!$A$192,'Données projet'!$B$192,EJ76+EI77-ER76)))</f>
        <v>318.59999999999962</v>
      </c>
      <c r="EK77" s="17">
        <f>EJ77*VLOOKUP('Données projet'!$B$15,Paramètres!$A$1:$I$89,3,0)*VLOOKUP('Données projet'!$B$15,Paramètres!$A$1:$I$89,5,0)</f>
        <v>213.71687999999978</v>
      </c>
      <c r="EL77" s="13">
        <f t="shared" si="99"/>
        <v>52.746986268012868</v>
      </c>
      <c r="EM77" s="20">
        <f t="shared" si="73"/>
        <v>464.09123375012194</v>
      </c>
      <c r="EN77" s="59">
        <f t="shared" si="74"/>
        <v>757.42456708345526</v>
      </c>
      <c r="EO77" s="59">
        <f ca="1">AVERAGE(OFFSET($EN$3,0,0,'Données projet'!$E$15+1,1))-AVERAGE(OFFSET($H$3,0,0,'Données projet'!$E$15+1,1))</f>
        <v>207.93042467236967</v>
      </c>
      <c r="EP77" s="59">
        <f t="shared" si="100"/>
        <v>250.70954318710835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1.1510027601986823</v>
      </c>
      <c r="EW77" s="21">
        <f>EXP(-LN(2)/25)*EW76+(1-EXP(-LN(2)/25))/(LN(2)/25)*Calculateur!ER77*Calculateur!ET77*VLOOKUP('Données projet'!$B$15,Paramètres!$A$1:$I$89,3,0)*0.475*44/12</f>
        <v>5.1080417158710345</v>
      </c>
      <c r="EX77" s="21">
        <f>EXP(-LN(2)/2)*EX76+(1-EXP(-LN(2)/2))/(LN(2)/2)*ER77*EU77*VLOOKUP('Données projet'!$B$15,Paramètres!$A$1:$I$89,3,0)*0.475*44/12</f>
        <v>4.832316720572468E-6</v>
      </c>
      <c r="EY77" s="22">
        <f t="shared" si="75"/>
        <v>6.2590493083864374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-2.2737367544323206E-13</v>
      </c>
      <c r="O78" s="13">
        <f>N78*VLOOKUP('Données projet'!$B$9,Paramètres!$A$1:$I$89,3,0)*VLOOKUP('Données projet'!$B$9,Paramètres!$A$1:$I$89,5,0)</f>
        <v>-1.2710188457276673E-13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255.5374979188561</v>
      </c>
      <c r="T78" s="59">
        <f t="shared" si="88"/>
        <v>343.10418468620901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1.2674348789681782</v>
      </c>
      <c r="AA78" s="21">
        <f>EXP(-LN(2)/25)*AA77+(1-EXP(-LN(2)/25))/(LN(2)/25)*Calculateur!V78*Calculateur!X78*VLOOKUP('Données projet'!$B$9,Paramètres!$A$1:$I$89,3,0)*0.475*44/12</f>
        <v>4.5833808520663206</v>
      </c>
      <c r="AB78" s="21">
        <f>EXP(-LN(2)/2)*AB77+(1-EXP(-LN(2)/2))/(LN(2)/2)*V78*Y78*VLOOKUP('Données projet'!$B$9,Paramètres!$A$1:$I$89,3,0)*0.475*44/12</f>
        <v>2.8535980309760115E-7</v>
      </c>
      <c r="AC78" s="22">
        <f t="shared" si="57"/>
        <v>5.8508160163943019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12.913461538461533</v>
      </c>
      <c r="AI78" s="13">
        <f>IF('Données projet'!$A$62&gt;35,AI77+AH78-AQ77,IF(A78&lt;'Données projet'!$A$62,$AF$205^A78,IF(A78='Données projet'!$A$62,'Données projet'!$B$62,AI77+AH78-AQ77)))</f>
        <v>385.20769230769241</v>
      </c>
      <c r="AJ78" s="13">
        <f>AI78*VLOOKUP('Données projet'!$B$10,Paramètres!$A$1:$I$89,3,0)*VLOOKUP('Données projet'!$B$10,Paramètres!$A$1:$I$89,5,0)</f>
        <v>180.27720000000005</v>
      </c>
      <c r="AK78" s="13">
        <f t="shared" si="89"/>
        <v>45.383852535093837</v>
      </c>
      <c r="AL78" s="20">
        <f t="shared" si="58"/>
        <v>393.02633316528846</v>
      </c>
      <c r="AM78" s="59">
        <f t="shared" si="59"/>
        <v>686.35966649862178</v>
      </c>
      <c r="AN78" s="59">
        <f ca="1">AVERAGE(OFFSET($AM$3,0,0,'Données projet'!$E$10+1,1))-AVERAGE(OFFSET($H$3,0,0,'Données projet'!$E$10+1,1))</f>
        <v>158.58786357608489</v>
      </c>
      <c r="AO78" s="59">
        <f t="shared" si="90"/>
        <v>163.20074068819849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14.5</v>
      </c>
      <c r="BD78" s="12">
        <f>IF('Données projet'!$A$88&gt;35,BD77+BC78-BL77,IF(A78&lt;'Données projet'!$A$88,$BA$205^A78,IF(A78='Données projet'!$A$88,'Données projet'!$B$88,BD77+BC78-BL77)))</f>
        <v>533.49999999999955</v>
      </c>
      <c r="BE78" s="13">
        <f>BD78*VLOOKUP('Données projet'!$B$11,Paramètres!$A$1:$I$89,3,0)*VLOOKUP('Données projet'!$B$11,Paramètres!$A$1:$I$89,5,0)</f>
        <v>319.03299999999973</v>
      </c>
      <c r="BF78" s="13">
        <f t="shared" si="91"/>
        <v>75.152115080720222</v>
      </c>
      <c r="BG78" s="20">
        <f t="shared" si="61"/>
        <v>686.53907543225387</v>
      </c>
      <c r="BH78" s="59">
        <f t="shared" si="62"/>
        <v>979.87240876558712</v>
      </c>
      <c r="BI78" s="59">
        <f ca="1">AVERAGE(OFFSET($BH$3,0,0,'Données projet'!$E$11+1,1))-AVERAGE(OFFSET($H$3,0,0,'Données projet'!$E$11+1,1))</f>
        <v>316.58509520829671</v>
      </c>
      <c r="BJ78" s="59">
        <f t="shared" si="92"/>
        <v>240.71332110643596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1.0395893866592387</v>
      </c>
      <c r="BQ78" s="21">
        <f>EXP(-LN(2)/25)*BQ77+(1-EXP(-LN(2)/25))/(LN(2)/25)*Calculateur!BL78*Calculateur!BN78*VLOOKUP('Données projet'!$B$11,Paramètres!$A$1:$I$89,3,0)*0.475*44/12</f>
        <v>4.3845605770408431</v>
      </c>
      <c r="BR78" s="21">
        <f>EXP(-LN(2)/2)*BR77+(1-EXP(-LN(2)/2))/(LN(2)/2)*BL78*BO78*VLOOKUP('Données projet'!$B$11,Paramètres!$A$1:$I$89,3,0)*0.475*44/12</f>
        <v>3.6986966752230388E-6</v>
      </c>
      <c r="BS78" s="22">
        <f t="shared" si="63"/>
        <v>5.4241536623967566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3.9</v>
      </c>
      <c r="BY78" s="12">
        <f>IF('Données projet'!$A$114&gt;35,BY77+BX78-CG77,IF(A78&lt;'Données projet'!$A$114,$BV$205^A78,IF(A78='Données projet'!$A$114,'Données projet'!$B$114,BY77+BX78-CG77)))</f>
        <v>322.4999999999996</v>
      </c>
      <c r="BZ78" s="13">
        <f>BY78*VLOOKUP('Données projet'!$B$12,Paramètres!$A$1:$I$89,3,0)*VLOOKUP('Données projet'!$B$12,Paramètres!$A$1:$I$89,5,0)</f>
        <v>256.58099999999968</v>
      </c>
      <c r="CA78" s="13">
        <f t="shared" si="93"/>
        <v>61.993024805604399</v>
      </c>
      <c r="CB78" s="20">
        <f t="shared" si="64"/>
        <v>554.84975986976053</v>
      </c>
      <c r="CC78" s="59">
        <f t="shared" si="65"/>
        <v>848.1830932030939</v>
      </c>
      <c r="CD78" s="59">
        <f ca="1">AVERAGE(OFFSET($CC$3,0,0,'Données projet'!$E$12+1,1))-AVERAGE(OFFSET($H$3,0,0,'Données projet'!$E$12+1,1))</f>
        <v>260.20517190557814</v>
      </c>
      <c r="CE78" s="59">
        <f t="shared" si="94"/>
        <v>307.22009971147133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1.3383731907858383</v>
      </c>
      <c r="CL78" s="21">
        <f>EXP(-LN(2)/25)*CL77+(1-EXP(-LN(2)/25))/(LN(2)/25)*Calculateur!CG78*Calculateur!CI78*VLOOKUP('Données projet'!$B$12,Paramètres!$A$1:$I$89,3,0)*0.475*44/12</f>
        <v>5.8927084737917479</v>
      </c>
      <c r="CM78" s="21">
        <f>EXP(-LN(2)/2)*CM77+(1-EXP(-LN(2)/2))/(LN(2)/2)*CG78*CJ78*VLOOKUP('Données projet'!$B$12,Paramètres!$A$1:$I$89,3,0)*0.475*44/12</f>
        <v>4.0526781399966162E-6</v>
      </c>
      <c r="CN78" s="22">
        <f t="shared" si="66"/>
        <v>7.2310857172557261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7.8425925925925934</v>
      </c>
      <c r="CT78" s="12">
        <f>IF('Données projet'!$A$140&gt;35,CT77+CS78-DB77,IF(A78&lt;'Données projet'!$A$140,$CQ$205^A78,IF(A78='Données projet'!$A$140,'Données projet'!$B$140,CT77+CS78-DB77)))</f>
        <v>234.79985754985751</v>
      </c>
      <c r="CU78" s="17">
        <f>CT78*VLOOKUP('Données projet'!$B$13,Paramètres!$A$1:$I$89,3,0)*VLOOKUP('Données projet'!$B$13,Paramètres!$A$1:$I$89,5,0)</f>
        <v>238.08705555555554</v>
      </c>
      <c r="CV78" s="13">
        <f t="shared" si="95"/>
        <v>58.027759670447047</v>
      </c>
      <c r="CW78" s="20">
        <f t="shared" si="67"/>
        <v>515.73330318528781</v>
      </c>
      <c r="CX78" s="59">
        <f t="shared" si="68"/>
        <v>809.06663651862118</v>
      </c>
      <c r="CY78" s="59">
        <f ca="1">AVERAGE(OFFSET($CX$3,0,0,'Données projet'!$E$13+1,1))-AVERAGE(OFFSET($H$3,0,0,'Données projet'!$E$13+1,1))</f>
        <v>263.15518481854753</v>
      </c>
      <c r="CZ78" s="59">
        <f t="shared" si="96"/>
        <v>210.80755370263819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0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5.2</v>
      </c>
      <c r="DO78" s="12">
        <f>IF('Données projet'!$A$166&gt;35,DO77+DN78-DW77,IF(A78&lt;'Données projet'!$A$166,$DL$205^A78,IF(A78='Données projet'!$A$166,'Données projet'!$B$166,DO77+DN78-DW77)))</f>
        <v>266.99999999999989</v>
      </c>
      <c r="DP78" s="17">
        <f>DO78*VLOOKUP('Données projet'!$B$14,Paramètres!$A$1:$I$89,3,0)*VLOOKUP('Données projet'!$B$14,Paramètres!$A$1:$I$89,5,0)</f>
        <v>216.59039999999993</v>
      </c>
      <c r="DQ78" s="13">
        <f t="shared" si="97"/>
        <v>53.373153688190953</v>
      </c>
      <c r="DR78" s="20">
        <f t="shared" si="70"/>
        <v>470.18652267359909</v>
      </c>
      <c r="DS78" s="59">
        <f t="shared" si="71"/>
        <v>763.5198560069324</v>
      </c>
      <c r="DT78" s="59">
        <f ca="1">AVERAGE(OFFSET($DS$3,0,0,'Données projet'!$E$14+1,1))-AVERAGE(OFFSET($H$3,0,0,'Données projet'!$E$14+1,1))</f>
        <v>203.21935660591021</v>
      </c>
      <c r="DU78" s="59">
        <f t="shared" si="98"/>
        <v>180.54762778843178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0.4112238455659078</v>
      </c>
      <c r="EB78" s="21">
        <f>EXP(-LN(2)/25)*EB77+(1-EXP(-LN(2)/25))/(LN(2)/25)*Calculateur!DW78*Calculateur!DY78*VLOOKUP('Données projet'!$B$14,Paramètres!$A$1:$I$89,3,0)*0.475*44/12</f>
        <v>1.6666754348730646</v>
      </c>
      <c r="EC78" s="21">
        <f>EXP(-LN(2)/2)*EC77+(1-EXP(-LN(2)/2))/(LN(2)/2)*DW78*DZ78*VLOOKUP('Données projet'!$B$14,Paramètres!$A$1:$I$89,3,0)*0.475*44/12</f>
        <v>1.5278543663299111E-6</v>
      </c>
      <c r="ED78" s="22">
        <f t="shared" si="72"/>
        <v>2.0779008082933386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3.9</v>
      </c>
      <c r="EJ78" s="12">
        <f>IF('Données projet'!$A$192&gt;35,EJ77+EI78-ER77,IF(A78&lt;'Données projet'!$A$192,$EG$205^A78,IF(A78='Données projet'!$A$192,'Données projet'!$B$192,EJ77+EI78-ER77)))</f>
        <v>322.4999999999996</v>
      </c>
      <c r="EK78" s="17">
        <f>EJ78*VLOOKUP('Données projet'!$B$15,Paramètres!$A$1:$I$89,3,0)*VLOOKUP('Données projet'!$B$15,Paramètres!$A$1:$I$89,5,0)</f>
        <v>216.33299999999977</v>
      </c>
      <c r="EL78" s="13">
        <f t="shared" si="99"/>
        <v>53.317103385534544</v>
      </c>
      <c r="EM78" s="20">
        <f t="shared" si="73"/>
        <v>469.64059672980551</v>
      </c>
      <c r="EN78" s="59">
        <f t="shared" si="74"/>
        <v>762.97393006313882</v>
      </c>
      <c r="EO78" s="59">
        <f ca="1">AVERAGE(OFFSET($EN$3,0,0,'Données projet'!$E$15+1,1))-AVERAGE(OFFSET($H$3,0,0,'Données projet'!$E$15+1,1))</f>
        <v>207.93042467236967</v>
      </c>
      <c r="EP78" s="59">
        <f t="shared" si="100"/>
        <v>250.70954318710835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1.1284322981135488</v>
      </c>
      <c r="EW78" s="21">
        <f>EXP(-LN(2)/25)*EW77+(1-EXP(-LN(2)/25))/(LN(2)/25)*Calculateur!ER78*Calculateur!ET78*VLOOKUP('Données projet'!$B$15,Paramètres!$A$1:$I$89,3,0)*0.475*44/12</f>
        <v>4.9683620465303022</v>
      </c>
      <c r="EX78" s="21">
        <f>EXP(-LN(2)/2)*EX77+(1-EXP(-LN(2)/2))/(LN(2)/2)*ER78*EU78*VLOOKUP('Données projet'!$B$15,Paramètres!$A$1:$I$89,3,0)*0.475*44/12</f>
        <v>3.4169639219579311E-6</v>
      </c>
      <c r="EY78" s="22">
        <f t="shared" si="75"/>
        <v>6.0967977616077729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-2.2737367544323206E-13</v>
      </c>
      <c r="O79" s="13">
        <f>N79*VLOOKUP('Données projet'!$B$9,Paramètres!$A$1:$I$89,3,0)*VLOOKUP('Données projet'!$B$9,Paramètres!$A$1:$I$89,5,0)</f>
        <v>-1.2710188457276673E-13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255.5374979188561</v>
      </c>
      <c r="T79" s="59">
        <f t="shared" si="88"/>
        <v>343.10418468620901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1.2425812540505552</v>
      </c>
      <c r="AA79" s="21">
        <f>EXP(-LN(2)/25)*AA78+(1-EXP(-LN(2)/25))/(LN(2)/25)*Calculateur!V79*Calculateur!X79*VLOOKUP('Données projet'!$B$9,Paramètres!$A$1:$I$89,3,0)*0.475*44/12</f>
        <v>4.4580480616370437</v>
      </c>
      <c r="AB79" s="21">
        <f>EXP(-LN(2)/2)*AB78+(1-EXP(-LN(2)/2))/(LN(2)/2)*V79*Y79*VLOOKUP('Données projet'!$B$9,Paramètres!$A$1:$I$89,3,0)*0.475*44/12</f>
        <v>2.0177985184837175E-7</v>
      </c>
      <c r="AC79" s="22">
        <f t="shared" si="57"/>
        <v>5.7006295174674504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12.913461538461533</v>
      </c>
      <c r="AI79" s="13">
        <f>IF('Données projet'!$A$62&gt;35,AI78+AH79-AQ78,IF(A79&lt;'Données projet'!$A$62,$AF$205^A79,IF(A79='Données projet'!$A$62,'Données projet'!$B$62,AI78+AH79-AQ78)))</f>
        <v>398.12115384615396</v>
      </c>
      <c r="AJ79" s="13">
        <f>AI79*VLOOKUP('Données projet'!$B$10,Paramètres!$A$1:$I$89,3,0)*VLOOKUP('Données projet'!$B$10,Paramètres!$A$1:$I$89,5,0)</f>
        <v>186.32070000000004</v>
      </c>
      <c r="AK79" s="13">
        <f t="shared" si="89"/>
        <v>46.725588415193215</v>
      </c>
      <c r="AL79" s="20">
        <f t="shared" si="58"/>
        <v>405.88895232312825</v>
      </c>
      <c r="AM79" s="59">
        <f t="shared" si="59"/>
        <v>699.22228565646151</v>
      </c>
      <c r="AN79" s="59">
        <f ca="1">AVERAGE(OFFSET($AM$3,0,0,'Données projet'!$E$10+1,1))-AVERAGE(OFFSET($H$3,0,0,'Données projet'!$E$10+1,1))</f>
        <v>158.58786357608489</v>
      </c>
      <c r="AO79" s="59">
        <f t="shared" si="90"/>
        <v>163.20074068819849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14.5</v>
      </c>
      <c r="BD79" s="12">
        <f>IF('Données projet'!$A$88&gt;35,BD78+BC79-BL78,IF(A79&lt;'Données projet'!$A$88,$BA$205^A79,IF(A79='Données projet'!$A$88,'Données projet'!$B$88,BD78+BC79-BL78)))</f>
        <v>547.99999999999955</v>
      </c>
      <c r="BE79" s="13">
        <f>BD79*VLOOKUP('Données projet'!$B$11,Paramètres!$A$1:$I$89,3,0)*VLOOKUP('Données projet'!$B$11,Paramètres!$A$1:$I$89,5,0)</f>
        <v>327.70399999999978</v>
      </c>
      <c r="BF79" s="13">
        <f t="shared" si="91"/>
        <v>76.954094537214388</v>
      </c>
      <c r="BG79" s="20">
        <f t="shared" si="61"/>
        <v>704.77951465231456</v>
      </c>
      <c r="BH79" s="59">
        <f t="shared" si="62"/>
        <v>998.11284798564793</v>
      </c>
      <c r="BI79" s="59">
        <f ca="1">AVERAGE(OFFSET($BH$3,0,0,'Données projet'!$E$11+1,1))-AVERAGE(OFFSET($H$3,0,0,'Données projet'!$E$11+1,1))</f>
        <v>316.58509520829671</v>
      </c>
      <c r="BJ79" s="59">
        <f t="shared" si="92"/>
        <v>240.71332110643596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1.0192036728737661</v>
      </c>
      <c r="BQ79" s="21">
        <f>EXP(-LN(2)/25)*BQ78+(1-EXP(-LN(2)/25))/(LN(2)/25)*Calculateur!BL79*Calculateur!BN79*VLOOKUP('Données projet'!$B$11,Paramètres!$A$1:$I$89,3,0)*0.475*44/12</f>
        <v>4.2646645374876417</v>
      </c>
      <c r="BR79" s="21">
        <f>EXP(-LN(2)/2)*BR78+(1-EXP(-LN(2)/2))/(LN(2)/2)*BL79*BO79*VLOOKUP('Données projet'!$B$11,Paramètres!$A$1:$I$89,3,0)*0.475*44/12</f>
        <v>2.6153735006023484E-6</v>
      </c>
      <c r="BS79" s="22">
        <f t="shared" si="63"/>
        <v>5.2838708257349092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3.9</v>
      </c>
      <c r="BY79" s="12">
        <f>IF('Données projet'!$A$114&gt;35,BY78+BX79-CG78,IF(A79&lt;'Données projet'!$A$114,$BV$205^A79,IF(A79='Données projet'!$A$114,'Données projet'!$B$114,BY78+BX79-CG78)))</f>
        <v>326.39999999999958</v>
      </c>
      <c r="BZ79" s="13">
        <f>BY79*VLOOKUP('Données projet'!$B$12,Paramètres!$A$1:$I$89,3,0)*VLOOKUP('Données projet'!$B$12,Paramètres!$A$1:$I$89,5,0)</f>
        <v>259.68383999999969</v>
      </c>
      <c r="CA79" s="13">
        <f t="shared" si="93"/>
        <v>62.654980648867301</v>
      </c>
      <c r="CB79" s="20">
        <f t="shared" si="64"/>
        <v>561.40677929677668</v>
      </c>
      <c r="CC79" s="59">
        <f t="shared" si="65"/>
        <v>854.74011263010993</v>
      </c>
      <c r="CD79" s="59">
        <f ca="1">AVERAGE(OFFSET($CC$3,0,0,'Données projet'!$E$12+1,1))-AVERAGE(OFFSET($H$3,0,0,'Données projet'!$E$12+1,1))</f>
        <v>260.20517190557814</v>
      </c>
      <c r="CE79" s="59">
        <f t="shared" si="94"/>
        <v>307.22009971147133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1.3121285088415688</v>
      </c>
      <c r="CL79" s="21">
        <f>EXP(-LN(2)/25)*CL78+(1-EXP(-LN(2)/25))/(LN(2)/25)*Calculateur!CG79*Calculateur!CI79*VLOOKUP('Données projet'!$B$12,Paramètres!$A$1:$I$89,3,0)*0.475*44/12</f>
        <v>5.7315720506918417</v>
      </c>
      <c r="CM79" s="21">
        <f>EXP(-LN(2)/2)*CM78+(1-EXP(-LN(2)/2))/(LN(2)/2)*CG79*CJ79*VLOOKUP('Données projet'!$B$12,Paramètres!$A$1:$I$89,3,0)*0.475*44/12</f>
        <v>2.8656761947580917E-6</v>
      </c>
      <c r="CN79" s="22">
        <f t="shared" si="66"/>
        <v>7.043703425209606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7.8425925925925934</v>
      </c>
      <c r="CT79" s="12">
        <f>IF('Données projet'!$A$140&gt;35,CT78+CS79-DB78,IF(A79&lt;'Données projet'!$A$140,$CQ$205^A79,IF(A79='Données projet'!$A$140,'Données projet'!$B$140,CT78+CS79-DB78)))</f>
        <v>242.64245014245009</v>
      </c>
      <c r="CU79" s="17">
        <f>CT79*VLOOKUP('Données projet'!$B$13,Paramètres!$A$1:$I$89,3,0)*VLOOKUP('Données projet'!$B$13,Paramètres!$A$1:$I$89,5,0)</f>
        <v>246.0394444444444</v>
      </c>
      <c r="CV79" s="13">
        <f t="shared" si="95"/>
        <v>59.737060883292756</v>
      </c>
      <c r="CW79" s="20">
        <f t="shared" si="67"/>
        <v>532.56074677914216</v>
      </c>
      <c r="CX79" s="59">
        <f t="shared" si="68"/>
        <v>825.89408011247542</v>
      </c>
      <c r="CY79" s="59">
        <f ca="1">AVERAGE(OFFSET($CX$3,0,0,'Données projet'!$E$13+1,1))-AVERAGE(OFFSET($H$3,0,0,'Données projet'!$E$13+1,1))</f>
        <v>263.15518481854753</v>
      </c>
      <c r="CZ79" s="59">
        <f t="shared" si="96"/>
        <v>210.80755370263819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0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5.2</v>
      </c>
      <c r="DO79" s="12">
        <f>IF('Données projet'!$A$166&gt;35,DO78+DN79-DW78,IF(A79&lt;'Données projet'!$A$166,$DL$205^A79,IF(A79='Données projet'!$A$166,'Données projet'!$B$166,DO78+DN79-DW78)))</f>
        <v>272.19999999999987</v>
      </c>
      <c r="DP79" s="17">
        <f>DO79*VLOOKUP('Données projet'!$B$14,Paramètres!$A$1:$I$89,3,0)*VLOOKUP('Données projet'!$B$14,Paramètres!$A$1:$I$89,5,0)</f>
        <v>220.80863999999988</v>
      </c>
      <c r="DQ79" s="13">
        <f t="shared" si="97"/>
        <v>54.290602082955985</v>
      </c>
      <c r="DR79" s="20">
        <f t="shared" si="70"/>
        <v>479.13117996114812</v>
      </c>
      <c r="DS79" s="59">
        <f t="shared" si="71"/>
        <v>772.46451329448143</v>
      </c>
      <c r="DT79" s="59">
        <f ca="1">AVERAGE(OFFSET($DS$3,0,0,'Données projet'!$E$14+1,1))-AVERAGE(OFFSET($H$3,0,0,'Données projet'!$E$14+1,1))</f>
        <v>203.21935660591021</v>
      </c>
      <c r="DU79" s="59">
        <f t="shared" si="98"/>
        <v>180.54762778843178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0.40315999677613956</v>
      </c>
      <c r="EB79" s="21">
        <f>EXP(-LN(2)/25)*EB78+(1-EXP(-LN(2)/25))/(LN(2)/25)*Calculateur!DW79*Calculateur!DY79*VLOOKUP('Données projet'!$B$14,Paramètres!$A$1:$I$89,3,0)*0.475*44/12</f>
        <v>1.6211001074598088</v>
      </c>
      <c r="EC79" s="21">
        <f>EXP(-LN(2)/2)*EC78+(1-EXP(-LN(2)/2))/(LN(2)/2)*DW79*DZ79*VLOOKUP('Données projet'!$B$14,Paramètres!$A$1:$I$89,3,0)*0.475*44/12</f>
        <v>1.0803561830973557E-6</v>
      </c>
      <c r="ED79" s="22">
        <f t="shared" si="72"/>
        <v>2.0242611845921314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3.9</v>
      </c>
      <c r="EJ79" s="12">
        <f>IF('Données projet'!$A$192&gt;35,EJ78+EI79-ER78,IF(A79&lt;'Données projet'!$A$192,$EG$205^A79,IF(A79='Données projet'!$A$192,'Données projet'!$B$192,EJ78+EI79-ER78)))</f>
        <v>326.39999999999958</v>
      </c>
      <c r="EK79" s="17">
        <f>EJ79*VLOOKUP('Données projet'!$B$15,Paramètres!$A$1:$I$89,3,0)*VLOOKUP('Données projet'!$B$15,Paramètres!$A$1:$I$89,5,0)</f>
        <v>218.94911999999971</v>
      </c>
      <c r="EL79" s="13">
        <f t="shared" si="99"/>
        <v>53.886418534175526</v>
      </c>
      <c r="EM79" s="20">
        <f t="shared" si="73"/>
        <v>475.18856294702186</v>
      </c>
      <c r="EN79" s="59">
        <f t="shared" si="74"/>
        <v>768.52189628035512</v>
      </c>
      <c r="EO79" s="59">
        <f ca="1">AVERAGE(OFFSET($EN$3,0,0,'Données projet'!$E$15+1,1))-AVERAGE(OFFSET($H$3,0,0,'Données projet'!$E$15+1,1))</f>
        <v>207.93042467236967</v>
      </c>
      <c r="EP79" s="59">
        <f t="shared" si="100"/>
        <v>250.70954318710835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1.1063044290232824</v>
      </c>
      <c r="EW79" s="21">
        <f>EXP(-LN(2)/25)*EW78+(1-EXP(-LN(2)/25))/(LN(2)/25)*Calculateur!ER79*Calculateur!ET79*VLOOKUP('Données projet'!$B$15,Paramètres!$A$1:$I$89,3,0)*0.475*44/12</f>
        <v>4.8325019250931263</v>
      </c>
      <c r="EX79" s="21">
        <f>EXP(-LN(2)/2)*EX78+(1-EXP(-LN(2)/2))/(LN(2)/2)*ER79*EU79*VLOOKUP('Données projet'!$B$15,Paramètres!$A$1:$I$89,3,0)*0.475*44/12</f>
        <v>2.416158360286234E-6</v>
      </c>
      <c r="EY79" s="22">
        <f t="shared" si="75"/>
        <v>5.9388087702747692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-2.2737367544323206E-13</v>
      </c>
      <c r="O80" s="13">
        <f>N80*VLOOKUP('Données projet'!$B$9,Paramètres!$A$1:$I$89,3,0)*VLOOKUP('Données projet'!$B$9,Paramètres!$A$1:$I$89,5,0)</f>
        <v>-1.2710188457276673E-13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255.5374979188561</v>
      </c>
      <c r="T80" s="59">
        <f t="shared" si="88"/>
        <v>343.10418468620901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1.2182149935583524</v>
      </c>
      <c r="AA80" s="21">
        <f>EXP(-LN(2)/25)*AA79+(1-EXP(-LN(2)/25))/(LN(2)/25)*Calculateur!V80*Calculateur!X80*VLOOKUP('Données projet'!$B$9,Paramètres!$A$1:$I$89,3,0)*0.475*44/12</f>
        <v>4.3361425029530203</v>
      </c>
      <c r="AB80" s="21">
        <f>EXP(-LN(2)/2)*AB79+(1-EXP(-LN(2)/2))/(LN(2)/2)*V80*Y80*VLOOKUP('Données projet'!$B$9,Paramètres!$A$1:$I$89,3,0)*0.475*44/12</f>
        <v>1.4267990154880058E-7</v>
      </c>
      <c r="AC80" s="22">
        <f t="shared" si="57"/>
        <v>5.5543576391912746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12.913461538461533</v>
      </c>
      <c r="AI80" s="13">
        <f>IF('Données projet'!$A$62&gt;35,AI79+AH80-AQ79,IF(A80&lt;'Données projet'!$A$62,$AF$205^A80,IF(A80='Données projet'!$A$62,'Données projet'!$B$62,AI79+AH80-AQ79)))</f>
        <v>411.03461538461551</v>
      </c>
      <c r="AJ80" s="13">
        <f>AI80*VLOOKUP('Données projet'!$B$10,Paramètres!$A$1:$I$89,3,0)*VLOOKUP('Données projet'!$B$10,Paramètres!$A$1:$I$89,5,0)</f>
        <v>192.36420000000004</v>
      </c>
      <c r="AK80" s="13">
        <f t="shared" si="89"/>
        <v>48.062267116572606</v>
      </c>
      <c r="AL80" s="20">
        <f t="shared" si="58"/>
        <v>418.74276356136397</v>
      </c>
      <c r="AM80" s="59">
        <f t="shared" si="59"/>
        <v>712.07609689469723</v>
      </c>
      <c r="AN80" s="59">
        <f ca="1">AVERAGE(OFFSET($AM$3,0,0,'Données projet'!$E$10+1,1))-AVERAGE(OFFSET($H$3,0,0,'Données projet'!$E$10+1,1))</f>
        <v>158.58786357608489</v>
      </c>
      <c r="AO80" s="59">
        <f t="shared" si="90"/>
        <v>163.20074068819849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14.5</v>
      </c>
      <c r="BD80" s="12">
        <f>IF('Données projet'!$A$88&gt;35,BD79+BC80-BL79,IF(A80&lt;'Données projet'!$A$88,$BA$205^A80,IF(A80='Données projet'!$A$88,'Données projet'!$B$88,BD79+BC80-BL79)))</f>
        <v>562.49999999999955</v>
      </c>
      <c r="BE80" s="13">
        <f>BD80*VLOOKUP('Données projet'!$B$11,Paramètres!$A$1:$I$89,3,0)*VLOOKUP('Données projet'!$B$11,Paramètres!$A$1:$I$89,5,0)</f>
        <v>336.37499999999977</v>
      </c>
      <c r="BF80" s="13">
        <f t="shared" si="91"/>
        <v>78.750531883095675</v>
      </c>
      <c r="BG80" s="20">
        <f t="shared" si="61"/>
        <v>723.01030136305792</v>
      </c>
      <c r="BH80" s="59">
        <f t="shared" si="62"/>
        <v>1016.3436346963913</v>
      </c>
      <c r="BI80" s="59">
        <f ca="1">AVERAGE(OFFSET($BH$3,0,0,'Données projet'!$E$11+1,1))-AVERAGE(OFFSET($H$3,0,0,'Données projet'!$E$11+1,1))</f>
        <v>316.58509520829671</v>
      </c>
      <c r="BJ80" s="59">
        <f t="shared" si="92"/>
        <v>240.71332110643596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0.99921771050156893</v>
      </c>
      <c r="BQ80" s="21">
        <f>EXP(-LN(2)/25)*BQ79+(1-EXP(-LN(2)/25))/(LN(2)/25)*Calculateur!BL80*Calculateur!BN80*VLOOKUP('Données projet'!$B$11,Paramètres!$A$1:$I$89,3,0)*0.475*44/12</f>
        <v>4.1480470614410816</v>
      </c>
      <c r="BR80" s="21">
        <f>EXP(-LN(2)/2)*BR79+(1-EXP(-LN(2)/2))/(LN(2)/2)*BL80*BO80*VLOOKUP('Données projet'!$B$11,Paramètres!$A$1:$I$89,3,0)*0.475*44/12</f>
        <v>1.8493483376115198E-6</v>
      </c>
      <c r="BS80" s="22">
        <f t="shared" si="63"/>
        <v>5.1472666212909877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3.9</v>
      </c>
      <c r="BY80" s="12">
        <f>IF('Données projet'!$A$114&gt;35,BY79+BX80-CG79,IF(A80&lt;'Données projet'!$A$114,$BV$205^A80,IF(A80='Données projet'!$A$114,'Données projet'!$B$114,BY79+BX80-CG79)))</f>
        <v>330.29999999999956</v>
      </c>
      <c r="BZ80" s="13">
        <f>BY80*VLOOKUP('Données projet'!$B$12,Paramètres!$A$1:$I$89,3,0)*VLOOKUP('Données projet'!$B$12,Paramètres!$A$1:$I$89,5,0)</f>
        <v>262.78667999999965</v>
      </c>
      <c r="CA80" s="13">
        <f t="shared" si="93"/>
        <v>63.316016454882053</v>
      </c>
      <c r="CB80" s="20">
        <f t="shared" si="64"/>
        <v>567.96219632558564</v>
      </c>
      <c r="CC80" s="59">
        <f t="shared" si="65"/>
        <v>861.29552965891889</v>
      </c>
      <c r="CD80" s="59">
        <f ca="1">AVERAGE(OFFSET($CC$3,0,0,'Données projet'!$E$12+1,1))-AVERAGE(OFFSET($H$3,0,0,'Données projet'!$E$12+1,1))</f>
        <v>260.20517190557814</v>
      </c>
      <c r="CE80" s="59">
        <f t="shared" si="94"/>
        <v>307.22009971147133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1.2863984691025512</v>
      </c>
      <c r="CL80" s="21">
        <f>EXP(-LN(2)/25)*CL79+(1-EXP(-LN(2)/25))/(LN(2)/25)*Calculateur!CG80*Calculateur!CI80*VLOOKUP('Données projet'!$B$12,Paramètres!$A$1:$I$89,3,0)*0.475*44/12</f>
        <v>5.5748419115553984</v>
      </c>
      <c r="CM80" s="21">
        <f>EXP(-LN(2)/2)*CM79+(1-EXP(-LN(2)/2))/(LN(2)/2)*CG80*CJ80*VLOOKUP('Données projet'!$B$12,Paramètres!$A$1:$I$89,3,0)*0.475*44/12</f>
        <v>2.0263390699983081E-6</v>
      </c>
      <c r="CN80" s="22">
        <f t="shared" si="66"/>
        <v>6.8612424069970199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7.8425925925925934</v>
      </c>
      <c r="CT80" s="12">
        <f>IF('Données projet'!$A$140&gt;35,CT79+CS80-DB79,IF(A80&lt;'Données projet'!$A$140,$CQ$205^A80,IF(A80='Données projet'!$A$140,'Données projet'!$B$140,CT79+CS80-DB79)))</f>
        <v>250.48504273504267</v>
      </c>
      <c r="CU80" s="17">
        <f>CT80*VLOOKUP('Données projet'!$B$13,Paramètres!$A$1:$I$89,3,0)*VLOOKUP('Données projet'!$B$13,Paramètres!$A$1:$I$89,5,0)</f>
        <v>253.99183333333329</v>
      </c>
      <c r="CV80" s="13">
        <f t="shared" si="95"/>
        <v>61.439942205271514</v>
      </c>
      <c r="CW80" s="20">
        <f t="shared" si="67"/>
        <v>549.37700906307009</v>
      </c>
      <c r="CX80" s="59">
        <f t="shared" si="68"/>
        <v>842.71034239640335</v>
      </c>
      <c r="CY80" s="59">
        <f ca="1">AVERAGE(OFFSET($CX$3,0,0,'Données projet'!$E$13+1,1))-AVERAGE(OFFSET($H$3,0,0,'Données projet'!$E$13+1,1))</f>
        <v>263.15518481854753</v>
      </c>
      <c r="CZ80" s="59">
        <f t="shared" si="96"/>
        <v>210.80755370263819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0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5.2</v>
      </c>
      <c r="DO80" s="12">
        <f>IF('Données projet'!$A$166&gt;35,DO79+DN80-DW79,IF(A80&lt;'Données projet'!$A$166,$DL$205^A80,IF(A80='Données projet'!$A$166,'Données projet'!$B$166,DO79+DN80-DW79)))</f>
        <v>277.39999999999986</v>
      </c>
      <c r="DP80" s="17">
        <f>DO80*VLOOKUP('Données projet'!$B$14,Paramètres!$A$1:$I$89,3,0)*VLOOKUP('Données projet'!$B$14,Paramètres!$A$1:$I$89,5,0)</f>
        <v>225.02687999999989</v>
      </c>
      <c r="DQ80" s="13">
        <f t="shared" si="97"/>
        <v>55.206012520789535</v>
      </c>
      <c r="DR80" s="20">
        <f t="shared" si="70"/>
        <v>488.07228780704162</v>
      </c>
      <c r="DS80" s="59">
        <f t="shared" si="71"/>
        <v>781.40562114037493</v>
      </c>
      <c r="DT80" s="59">
        <f ca="1">AVERAGE(OFFSET($DS$3,0,0,'Données projet'!$E$14+1,1))-AVERAGE(OFFSET($H$3,0,0,'Données projet'!$E$14+1,1))</f>
        <v>203.21935660591021</v>
      </c>
      <c r="DU80" s="59">
        <f t="shared" si="98"/>
        <v>180.54762778843178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0.39525427514267658</v>
      </c>
      <c r="EB80" s="21">
        <f>EXP(-LN(2)/25)*EB79+(1-EXP(-LN(2)/25))/(LN(2)/25)*Calculateur!DW80*Calculateur!DY80*VLOOKUP('Données projet'!$B$14,Paramètres!$A$1:$I$89,3,0)*0.475*44/12</f>
        <v>1.5767710397713708</v>
      </c>
      <c r="EC80" s="21">
        <f>EXP(-LN(2)/2)*EC79+(1-EXP(-LN(2)/2))/(LN(2)/2)*DW80*DZ80*VLOOKUP('Données projet'!$B$14,Paramètres!$A$1:$I$89,3,0)*0.475*44/12</f>
        <v>7.6392718316495557E-7</v>
      </c>
      <c r="ED80" s="22">
        <f t="shared" si="72"/>
        <v>1.9720260788412305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3.9</v>
      </c>
      <c r="EJ80" s="12">
        <f>IF('Données projet'!$A$192&gt;35,EJ79+EI80-ER79,IF(A80&lt;'Données projet'!$A$192,$EG$205^A80,IF(A80='Données projet'!$A$192,'Données projet'!$B$192,EJ79+EI80-ER79)))</f>
        <v>330.29999999999956</v>
      </c>
      <c r="EK80" s="17">
        <f>EJ80*VLOOKUP('Données projet'!$B$15,Paramètres!$A$1:$I$89,3,0)*VLOOKUP('Données projet'!$B$15,Paramètres!$A$1:$I$89,5,0)</f>
        <v>221.5652399999997</v>
      </c>
      <c r="EL80" s="13">
        <f t="shared" si="99"/>
        <v>54.454942404745644</v>
      </c>
      <c r="EM80" s="20">
        <f t="shared" si="73"/>
        <v>480.73515102159814</v>
      </c>
      <c r="EN80" s="59">
        <f t="shared" si="74"/>
        <v>774.06848435493146</v>
      </c>
      <c r="EO80" s="59">
        <f ca="1">AVERAGE(OFFSET($EN$3,0,0,'Données projet'!$E$15+1,1))-AVERAGE(OFFSET($H$3,0,0,'Données projet'!$E$15+1,1))</f>
        <v>207.93042467236967</v>
      </c>
      <c r="EP80" s="59">
        <f t="shared" si="100"/>
        <v>250.70954318710835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1.0846104739492086</v>
      </c>
      <c r="EW80" s="21">
        <f>EXP(-LN(2)/25)*EW79+(1-EXP(-LN(2)/25))/(LN(2)/25)*Calculateur!ER80*Calculateur!ET80*VLOOKUP('Données projet'!$B$15,Paramètres!$A$1:$I$89,3,0)*0.475*44/12</f>
        <v>4.7003569058212236</v>
      </c>
      <c r="EX80" s="21">
        <f>EXP(-LN(2)/2)*EX79+(1-EXP(-LN(2)/2))/(LN(2)/2)*ER80*EU80*VLOOKUP('Données projet'!$B$15,Paramètres!$A$1:$I$89,3,0)*0.475*44/12</f>
        <v>1.7084819609789656E-6</v>
      </c>
      <c r="EY80" s="22">
        <f t="shared" si="75"/>
        <v>5.7849690882523932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-2.2737367544323206E-13</v>
      </c>
      <c r="O81" s="13">
        <f>N81*VLOOKUP('Données projet'!$B$9,Paramètres!$A$1:$I$89,3,0)*VLOOKUP('Données projet'!$B$9,Paramètres!$A$1:$I$89,5,0)</f>
        <v>-1.2710188457276673E-13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255.5374979188561</v>
      </c>
      <c r="T81" s="59">
        <f t="shared" si="88"/>
        <v>343.10418468620901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1.1943265405724504</v>
      </c>
      <c r="AA81" s="21">
        <f>EXP(-LN(2)/25)*AA80+(1-EXP(-LN(2)/25))/(LN(2)/25)*Calculateur!V81*Calculateur!X81*VLOOKUP('Données projet'!$B$9,Paramètres!$A$1:$I$89,3,0)*0.475*44/12</f>
        <v>4.217570458181946</v>
      </c>
      <c r="AB81" s="21">
        <f>EXP(-LN(2)/2)*AB80+(1-EXP(-LN(2)/2))/(LN(2)/2)*V81*Y81*VLOOKUP('Données projet'!$B$9,Paramètres!$A$1:$I$89,3,0)*0.475*44/12</f>
        <v>1.0088992592418587E-7</v>
      </c>
      <c r="AC81" s="22">
        <f t="shared" si="57"/>
        <v>5.4118970996443219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12.913461538461533</v>
      </c>
      <c r="AI81" s="13">
        <f>IF('Données projet'!$A$62&gt;35,AI80+AH81-AQ80,IF(A81&lt;'Données projet'!$A$62,$AF$205^A81,IF(A81='Données projet'!$A$62,'Données projet'!$B$62,AI80+AH81-AQ80)))</f>
        <v>423.94807692307705</v>
      </c>
      <c r="AJ81" s="13">
        <f>AI81*VLOOKUP('Données projet'!$B$10,Paramètres!$A$1:$I$89,3,0)*VLOOKUP('Données projet'!$B$10,Paramètres!$A$1:$I$89,5,0)</f>
        <v>198.40770000000006</v>
      </c>
      <c r="AK81" s="13">
        <f t="shared" si="89"/>
        <v>49.394065749424826</v>
      </c>
      <c r="AL81" s="20">
        <f t="shared" si="58"/>
        <v>431.58807534691499</v>
      </c>
      <c r="AM81" s="59">
        <f t="shared" si="59"/>
        <v>724.92140868024831</v>
      </c>
      <c r="AN81" s="59">
        <f ca="1">AVERAGE(OFFSET($AM$3,0,0,'Données projet'!$E$10+1,1))-AVERAGE(OFFSET($H$3,0,0,'Données projet'!$E$10+1,1))</f>
        <v>158.58786357608489</v>
      </c>
      <c r="AO81" s="59">
        <f t="shared" si="90"/>
        <v>163.20074068819849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14.5</v>
      </c>
      <c r="BD81" s="12">
        <f>IF('Données projet'!$A$88&gt;35,BD80+BC81-BL80,IF(A81&lt;'Données projet'!$A$88,$BA$205^A81,IF(A81='Données projet'!$A$88,'Données projet'!$B$88,BD80+BC81-BL80)))</f>
        <v>576.99999999999955</v>
      </c>
      <c r="BE81" s="13">
        <f>BD81*VLOOKUP('Données projet'!$B$11,Paramètres!$A$1:$I$89,3,0)*VLOOKUP('Données projet'!$B$11,Paramètres!$A$1:$I$89,5,0)</f>
        <v>345.04599999999976</v>
      </c>
      <c r="BF81" s="13">
        <f t="shared" si="91"/>
        <v>80.541586407606928</v>
      </c>
      <c r="BG81" s="20">
        <f t="shared" si="61"/>
        <v>741.23171299324815</v>
      </c>
      <c r="BH81" s="59">
        <f t="shared" si="62"/>
        <v>1034.5650463265815</v>
      </c>
      <c r="BI81" s="59">
        <f ca="1">AVERAGE(OFFSET($BH$3,0,0,'Données projet'!$E$11+1,1))-AVERAGE(OFFSET($H$3,0,0,'Données projet'!$E$11+1,1))</f>
        <v>316.58509520829671</v>
      </c>
      <c r="BJ81" s="59">
        <f t="shared" si="92"/>
        <v>240.71332110643596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0.97962366066125717</v>
      </c>
      <c r="BQ81" s="21">
        <f>EXP(-LN(2)/25)*BQ80+(1-EXP(-LN(2)/25))/(LN(2)/25)*Calculateur!BL81*Calculateur!BN81*VLOOKUP('Données projet'!$B$11,Paramètres!$A$1:$I$89,3,0)*0.475*44/12</f>
        <v>4.034618496409661</v>
      </c>
      <c r="BR81" s="21">
        <f>EXP(-LN(2)/2)*BR80+(1-EXP(-LN(2)/2))/(LN(2)/2)*BL81*BO81*VLOOKUP('Données projet'!$B$11,Paramètres!$A$1:$I$89,3,0)*0.475*44/12</f>
        <v>1.3076867503011744E-6</v>
      </c>
      <c r="BS81" s="22">
        <f t="shared" si="63"/>
        <v>5.0142434647576684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3.9</v>
      </c>
      <c r="BY81" s="12">
        <f>IF('Données projet'!$A$114&gt;35,BY80+BX81-CG80,IF(A81&lt;'Données projet'!$A$114,$BV$205^A81,IF(A81='Données projet'!$A$114,'Données projet'!$B$114,BY80+BX81-CG80)))</f>
        <v>334.19999999999953</v>
      </c>
      <c r="BZ81" s="13">
        <f>BY81*VLOOKUP('Données projet'!$B$12,Paramètres!$A$1:$I$89,3,0)*VLOOKUP('Données projet'!$B$12,Paramètres!$A$1:$I$89,5,0)</f>
        <v>265.88951999999961</v>
      </c>
      <c r="CA81" s="13">
        <f t="shared" si="93"/>
        <v>63.97614434366357</v>
      </c>
      <c r="CB81" s="20">
        <f t="shared" si="64"/>
        <v>574.51603206521338</v>
      </c>
      <c r="CC81" s="59">
        <f t="shared" si="65"/>
        <v>867.84936539854675</v>
      </c>
      <c r="CD81" s="59">
        <f ca="1">AVERAGE(OFFSET($CC$3,0,0,'Données projet'!$E$12+1,1))-AVERAGE(OFFSET($H$3,0,0,'Données projet'!$E$12+1,1))</f>
        <v>260.20517190557814</v>
      </c>
      <c r="CE81" s="59">
        <f t="shared" si="94"/>
        <v>307.22009971147133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1.261172979749041</v>
      </c>
      <c r="CL81" s="21">
        <f>EXP(-LN(2)/25)*CL80+(1-EXP(-LN(2)/25))/(LN(2)/25)*Calculateur!CG81*Calculateur!CI81*VLOOKUP('Données projet'!$B$12,Paramètres!$A$1:$I$89,3,0)*0.475*44/12</f>
        <v>5.4223975663157216</v>
      </c>
      <c r="CM81" s="21">
        <f>EXP(-LN(2)/2)*CM80+(1-EXP(-LN(2)/2))/(LN(2)/2)*CG81*CJ81*VLOOKUP('Données projet'!$B$12,Paramètres!$A$1:$I$89,3,0)*0.475*44/12</f>
        <v>1.4328380973790459E-6</v>
      </c>
      <c r="CN81" s="22">
        <f t="shared" si="66"/>
        <v>6.6835719789028598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7.8425925925925934</v>
      </c>
      <c r="CT81" s="12">
        <f>IF('Données projet'!$A$140&gt;35,CT80+CS81-DB80,IF(A81&lt;'Données projet'!$A$140,$CQ$205^A81,IF(A81='Données projet'!$A$140,'Données projet'!$B$140,CT80+CS81-DB80)))</f>
        <v>258.32763532763528</v>
      </c>
      <c r="CU81" s="17">
        <f>CT81*VLOOKUP('Données projet'!$B$13,Paramètres!$A$1:$I$89,3,0)*VLOOKUP('Données projet'!$B$13,Paramètres!$A$1:$I$89,5,0)</f>
        <v>261.94422222222221</v>
      </c>
      <c r="CV81" s="13">
        <f t="shared" si="95"/>
        <v>63.136627703535808</v>
      </c>
      <c r="CW81" s="20">
        <f t="shared" si="67"/>
        <v>566.18248028736184</v>
      </c>
      <c r="CX81" s="59">
        <f t="shared" si="68"/>
        <v>859.5158136206951</v>
      </c>
      <c r="CY81" s="59">
        <f ca="1">AVERAGE(OFFSET($CX$3,0,0,'Données projet'!$E$13+1,1))-AVERAGE(OFFSET($H$3,0,0,'Données projet'!$E$13+1,1))</f>
        <v>263.15518481854753</v>
      </c>
      <c r="CZ81" s="59">
        <f t="shared" si="96"/>
        <v>210.80755370263819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0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5.2</v>
      </c>
      <c r="DO81" s="12">
        <f>IF('Données projet'!$A$166&gt;35,DO80+DN81-DW80,IF(A81&lt;'Données projet'!$A$166,$DL$205^A81,IF(A81='Données projet'!$A$166,'Données projet'!$B$166,DO80+DN81-DW80)))</f>
        <v>282.59999999999985</v>
      </c>
      <c r="DP81" s="17">
        <f>DO81*VLOOKUP('Données projet'!$B$14,Paramètres!$A$1:$I$89,3,0)*VLOOKUP('Données projet'!$B$14,Paramètres!$A$1:$I$89,5,0)</f>
        <v>229.24511999999993</v>
      </c>
      <c r="DQ81" s="13">
        <f t="shared" si="97"/>
        <v>56.119427609510183</v>
      </c>
      <c r="DR81" s="20">
        <f t="shared" si="70"/>
        <v>497.00992041989667</v>
      </c>
      <c r="DS81" s="59">
        <f t="shared" si="71"/>
        <v>790.34325375322999</v>
      </c>
      <c r="DT81" s="59">
        <f ca="1">AVERAGE(OFFSET($DS$3,0,0,'Données projet'!$E$14+1,1))-AVERAGE(OFFSET($H$3,0,0,'Données projet'!$E$14+1,1))</f>
        <v>203.21935660591021</v>
      </c>
      <c r="DU81" s="59">
        <f t="shared" si="98"/>
        <v>180.54762778843178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0.3875035798884317</v>
      </c>
      <c r="EB81" s="21">
        <f>EXP(-LN(2)/25)*EB80+(1-EXP(-LN(2)/25))/(LN(2)/25)*Calculateur!DW81*Calculateur!DY81*VLOOKUP('Données projet'!$B$14,Paramètres!$A$1:$I$89,3,0)*0.475*44/12</f>
        <v>1.5336541527700374</v>
      </c>
      <c r="EC81" s="21">
        <f>EXP(-LN(2)/2)*EC80+(1-EXP(-LN(2)/2))/(LN(2)/2)*DW81*DZ81*VLOOKUP('Données projet'!$B$14,Paramètres!$A$1:$I$89,3,0)*0.475*44/12</f>
        <v>5.4017809154867784E-7</v>
      </c>
      <c r="ED81" s="22">
        <f t="shared" si="72"/>
        <v>1.9211582728365606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3.9</v>
      </c>
      <c r="EJ81" s="12">
        <f>IF('Données projet'!$A$192&gt;35,EJ80+EI81-ER80,IF(A81&lt;'Données projet'!$A$192,$EG$205^A81,IF(A81='Données projet'!$A$192,'Données projet'!$B$192,EJ80+EI81-ER80)))</f>
        <v>334.19999999999953</v>
      </c>
      <c r="EK81" s="17">
        <f>EJ81*VLOOKUP('Données projet'!$B$15,Paramètres!$A$1:$I$89,3,0)*VLOOKUP('Données projet'!$B$15,Paramètres!$A$1:$I$89,5,0)</f>
        <v>224.18135999999967</v>
      </c>
      <c r="EL81" s="13">
        <f t="shared" si="99"/>
        <v>55.022685421064054</v>
      </c>
      <c r="EM81" s="20">
        <f t="shared" si="73"/>
        <v>486.28037910835252</v>
      </c>
      <c r="EN81" s="59">
        <f t="shared" si="74"/>
        <v>779.61371244168583</v>
      </c>
      <c r="EO81" s="59">
        <f ca="1">AVERAGE(OFFSET($EN$3,0,0,'Données projet'!$E$15+1,1))-AVERAGE(OFFSET($H$3,0,0,'Données projet'!$E$15+1,1))</f>
        <v>207.93042467236967</v>
      </c>
      <c r="EP81" s="59">
        <f t="shared" si="100"/>
        <v>250.70954318710835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1.0633419241021314</v>
      </c>
      <c r="EW81" s="21">
        <f>EXP(-LN(2)/25)*EW80+(1-EXP(-LN(2)/25))/(LN(2)/25)*Calculateur!ER81*Calculateur!ET81*VLOOKUP('Données projet'!$B$15,Paramètres!$A$1:$I$89,3,0)*0.475*44/12</f>
        <v>4.5718253990505158</v>
      </c>
      <c r="EX81" s="21">
        <f>EXP(-LN(2)/2)*EX80+(1-EXP(-LN(2)/2))/(LN(2)/2)*ER81*EU81*VLOOKUP('Données projet'!$B$15,Paramètres!$A$1:$I$89,3,0)*0.475*44/12</f>
        <v>1.208079180143117E-6</v>
      </c>
      <c r="EY81" s="22">
        <f t="shared" si="75"/>
        <v>5.6351685312318267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-2.2737367544323206E-13</v>
      </c>
      <c r="O82" s="13">
        <f>N82*VLOOKUP('Données projet'!$B$9,Paramètres!$A$1:$I$89,3,0)*VLOOKUP('Données projet'!$B$9,Paramètres!$A$1:$I$89,5,0)</f>
        <v>-1.2710188457276673E-13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255.5374979188561</v>
      </c>
      <c r="T82" s="59">
        <f t="shared" si="88"/>
        <v>343.10418468620901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1.1709065255790843</v>
      </c>
      <c r="AA82" s="21">
        <f>EXP(-LN(2)/25)*AA81+(1-EXP(-LN(2)/25))/(LN(2)/25)*Calculateur!V82*Calculateur!X82*VLOOKUP('Données projet'!$B$9,Paramètres!$A$1:$I$89,3,0)*0.475*44/12</f>
        <v>4.1022407722105694</v>
      </c>
      <c r="AB82" s="21">
        <f>EXP(-LN(2)/2)*AB81+(1-EXP(-LN(2)/2))/(LN(2)/2)*V82*Y82*VLOOKUP('Données projet'!$B$9,Paramètres!$A$1:$I$89,3,0)*0.475*44/12</f>
        <v>7.1339950774400288E-8</v>
      </c>
      <c r="AC82" s="22">
        <f t="shared" si="57"/>
        <v>5.2731473691296049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>
        <f>VLOOKUP(A82,'Données projet'!$A$61:$I$81,2,0)</f>
        <v>436.86153846153843</v>
      </c>
      <c r="AG82" s="12">
        <f>VLOOKUP(A82,'Données projet'!$A$61:$I$81,9,0)</f>
        <v>12.913461538461533</v>
      </c>
      <c r="AH82" s="12">
        <f t="array" ref="AH82">INDEX(AG:AG,MIN(IF(ISNUMBER(AG82:AG278),ROW(AG82:AG278),"")))</f>
        <v>12.913461538461533</v>
      </c>
      <c r="AI82" s="13">
        <f>IF('Données projet'!$A$62&gt;35,AI81+AH82-AQ81,IF(A82&lt;'Données projet'!$A$62,$AF$205^A82,IF(A82='Données projet'!$A$62,'Données projet'!$B$62,AI81+AH82-AQ81)))</f>
        <v>436.8615384615386</v>
      </c>
      <c r="AJ82" s="13">
        <f>AI82*VLOOKUP('Données projet'!$B$10,Paramètres!$A$1:$I$89,3,0)*VLOOKUP('Données projet'!$B$10,Paramètres!$A$1:$I$89,5,0)</f>
        <v>204.45120000000009</v>
      </c>
      <c r="AK82" s="13">
        <f t="shared" si="89"/>
        <v>50.721150021305952</v>
      </c>
      <c r="AL82" s="20">
        <f t="shared" si="58"/>
        <v>444.42517628710794</v>
      </c>
      <c r="AM82" s="59">
        <f t="shared" si="59"/>
        <v>737.75850962044126</v>
      </c>
      <c r="AN82" s="59">
        <f ca="1">AVERAGE(OFFSET($AM$3,0,0,'Données projet'!$E$10+1,1))-AVERAGE(OFFSET($H$3,0,0,'Données projet'!$E$10+1,1))</f>
        <v>158.58786357608489</v>
      </c>
      <c r="AO82" s="59">
        <f t="shared" si="90"/>
        <v>163.20074068819849</v>
      </c>
      <c r="AP82" s="15">
        <f>IF(ISNA(VLOOKUP(A82,'Données projet'!$A$61:$I$81,3,0)),0,VLOOKUP(A82,'Données projet'!$A$61:$I$81,3,0))</f>
        <v>6</v>
      </c>
      <c r="AQ82" s="15">
        <f>IF(ISNA(VLOOKUP(A82,'Données projet'!$A$61:$I$81,4,0)),0,VLOOKUP(A82,'Données projet'!$A$61:$I$81,4,0))</f>
        <v>77.338461538461544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14.5</v>
      </c>
      <c r="BD82" s="12">
        <f>IF('Données projet'!$A$88&gt;35,BD81+BC82-BL81,IF(A82&lt;'Données projet'!$A$88,$BA$205^A82,IF(A82='Données projet'!$A$88,'Données projet'!$B$88,BD81+BC82-BL81)))</f>
        <v>591.49999999999955</v>
      </c>
      <c r="BE82" s="13">
        <f>BD82*VLOOKUP('Données projet'!$B$11,Paramètres!$A$1:$I$89,3,0)*VLOOKUP('Données projet'!$B$11,Paramètres!$A$1:$I$89,5,0)</f>
        <v>353.71699999999976</v>
      </c>
      <c r="BF82" s="13">
        <f t="shared" si="91"/>
        <v>82.327408937870302</v>
      </c>
      <c r="BG82" s="20">
        <f t="shared" si="61"/>
        <v>759.4440122334571</v>
      </c>
      <c r="BH82" s="59">
        <f t="shared" si="62"/>
        <v>1052.7773455667905</v>
      </c>
      <c r="BI82" s="59">
        <f ca="1">AVERAGE(OFFSET($BH$3,0,0,'Données projet'!$E$11+1,1))-AVERAGE(OFFSET($H$3,0,0,'Données projet'!$E$11+1,1))</f>
        <v>316.58509520829671</v>
      </c>
      <c r="BJ82" s="59">
        <f t="shared" si="92"/>
        <v>240.71332110643596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0.96041383818712356</v>
      </c>
      <c r="BQ82" s="21">
        <f>EXP(-LN(2)/25)*BQ81+(1-EXP(-LN(2)/25))/(LN(2)/25)*Calculateur!BL82*Calculateur!BN82*VLOOKUP('Données projet'!$B$11,Paramètres!$A$1:$I$89,3,0)*0.475*44/12</f>
        <v>3.9242916414539732</v>
      </c>
      <c r="BR82" s="21">
        <f>EXP(-LN(2)/2)*BR81+(1-EXP(-LN(2)/2))/(LN(2)/2)*BL82*BO82*VLOOKUP('Données projet'!$B$11,Paramètres!$A$1:$I$89,3,0)*0.475*44/12</f>
        <v>9.2467416880576001E-7</v>
      </c>
      <c r="BS82" s="22">
        <f t="shared" si="63"/>
        <v>4.8847064043152661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3.9</v>
      </c>
      <c r="BY82" s="12">
        <f>IF('Données projet'!$A$114&gt;35,BY81+BX82-CG81,IF(A82&lt;'Données projet'!$A$114,$BV$205^A82,IF(A82='Données projet'!$A$114,'Données projet'!$B$114,BY81+BX82-CG81)))</f>
        <v>338.09999999999951</v>
      </c>
      <c r="BZ82" s="13">
        <f>BY82*VLOOKUP('Données projet'!$B$12,Paramètres!$A$1:$I$89,3,0)*VLOOKUP('Données projet'!$B$12,Paramètres!$A$1:$I$89,5,0)</f>
        <v>268.99235999999962</v>
      </c>
      <c r="CA82" s="13">
        <f t="shared" si="93"/>
        <v>64.63537613607356</v>
      </c>
      <c r="CB82" s="20">
        <f t="shared" si="64"/>
        <v>581.06830710366069</v>
      </c>
      <c r="CC82" s="59">
        <f t="shared" si="65"/>
        <v>874.40164043699406</v>
      </c>
      <c r="CD82" s="59">
        <f ca="1">AVERAGE(OFFSET($CC$3,0,0,'Données projet'!$E$12+1,1))-AVERAGE(OFFSET($H$3,0,0,'Données projet'!$E$12+1,1))</f>
        <v>260.20517190557814</v>
      </c>
      <c r="CE82" s="59">
        <f t="shared" si="94"/>
        <v>307.22009971147133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1.2364421468557238</v>
      </c>
      <c r="CL82" s="21">
        <f>EXP(-LN(2)/25)*CL81+(1-EXP(-LN(2)/25))/(LN(2)/25)*Calculateur!CG82*Calculateur!CI82*VLOOKUP('Données projet'!$B$12,Paramètres!$A$1:$I$89,3,0)*0.475*44/12</f>
        <v>5.2741218197133231</v>
      </c>
      <c r="CM82" s="21">
        <f>EXP(-LN(2)/2)*CM81+(1-EXP(-LN(2)/2))/(LN(2)/2)*CG82*CJ82*VLOOKUP('Données projet'!$B$12,Paramètres!$A$1:$I$89,3,0)*0.475*44/12</f>
        <v>1.013169534999154E-6</v>
      </c>
      <c r="CN82" s="22">
        <f t="shared" si="66"/>
        <v>6.5105649797385814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7.8425925925925934</v>
      </c>
      <c r="CT82" s="12">
        <f>IF('Données projet'!$A$140&gt;35,CT81+CS82-DB81,IF(A82&lt;'Données projet'!$A$140,$CQ$205^A82,IF(A82='Données projet'!$A$140,'Données projet'!$B$140,CT81+CS82-DB81)))</f>
        <v>266.17022792022789</v>
      </c>
      <c r="CU82" s="17">
        <f>CT82*VLOOKUP('Données projet'!$B$13,Paramètres!$A$1:$I$89,3,0)*VLOOKUP('Données projet'!$B$13,Paramètres!$A$1:$I$89,5,0)</f>
        <v>269.8966111111111</v>
      </c>
      <c r="CV82" s="13">
        <f t="shared" si="95"/>
        <v>64.827327067191803</v>
      </c>
      <c r="CW82" s="20">
        <f t="shared" si="67"/>
        <v>582.97752566054419</v>
      </c>
      <c r="CX82" s="59">
        <f t="shared" si="68"/>
        <v>876.31085899387745</v>
      </c>
      <c r="CY82" s="59">
        <f ca="1">AVERAGE(OFFSET($CX$3,0,0,'Données projet'!$E$13+1,1))-AVERAGE(OFFSET($H$3,0,0,'Données projet'!$E$13+1,1))</f>
        <v>263.15518481854753</v>
      </c>
      <c r="CZ82" s="59">
        <f t="shared" si="96"/>
        <v>210.80755370263819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0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5.2</v>
      </c>
      <c r="DO82" s="12">
        <f>IF('Données projet'!$A$166&gt;35,DO81+DN82-DW81,IF(A82&lt;'Données projet'!$A$166,$DL$205^A82,IF(A82='Données projet'!$A$166,'Données projet'!$B$166,DO81+DN82-DW81)))</f>
        <v>287.79999999999984</v>
      </c>
      <c r="DP82" s="17">
        <f>DO82*VLOOKUP('Données projet'!$B$14,Paramètres!$A$1:$I$89,3,0)*VLOOKUP('Données projet'!$B$14,Paramètres!$A$1:$I$89,5,0)</f>
        <v>233.46335999999988</v>
      </c>
      <c r="DQ82" s="13">
        <f t="shared" si="97"/>
        <v>57.030888299157333</v>
      </c>
      <c r="DR82" s="20">
        <f t="shared" si="70"/>
        <v>505.94414912103213</v>
      </c>
      <c r="DS82" s="59">
        <f t="shared" si="71"/>
        <v>799.27748245436544</v>
      </c>
      <c r="DT82" s="59">
        <f ca="1">AVERAGE(OFFSET($DS$3,0,0,'Données projet'!$E$14+1,1))-AVERAGE(OFFSET($H$3,0,0,'Données projet'!$E$14+1,1))</f>
        <v>203.21935660591021</v>
      </c>
      <c r="DU82" s="59">
        <f t="shared" si="98"/>
        <v>180.54762778843178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0.37990487104066528</v>
      </c>
      <c r="EB82" s="21">
        <f>EXP(-LN(2)/25)*EB81+(1-EXP(-LN(2)/25))/(LN(2)/25)*Calculateur!DW82*Calculateur!DY82*VLOOKUP('Données projet'!$B$14,Paramètres!$A$1:$I$89,3,0)*0.475*44/12</f>
        <v>1.4917162993111741</v>
      </c>
      <c r="EC82" s="21">
        <f>EXP(-LN(2)/2)*EC81+(1-EXP(-LN(2)/2))/(LN(2)/2)*DW82*DZ82*VLOOKUP('Données projet'!$B$14,Paramètres!$A$1:$I$89,3,0)*0.475*44/12</f>
        <v>3.8196359158247779E-7</v>
      </c>
      <c r="ED82" s="22">
        <f t="shared" si="72"/>
        <v>1.8716215523154311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3.9</v>
      </c>
      <c r="EJ82" s="12">
        <f>IF('Données projet'!$A$192&gt;35,EJ81+EI82-ER81,IF(A82&lt;'Données projet'!$A$192,$EG$205^A82,IF(A82='Données projet'!$A$192,'Données projet'!$B$192,EJ81+EI82-ER81)))</f>
        <v>338.09999999999951</v>
      </c>
      <c r="EK82" s="17">
        <f>EJ82*VLOOKUP('Données projet'!$B$15,Paramètres!$A$1:$I$89,3,0)*VLOOKUP('Données projet'!$B$15,Paramètres!$A$1:$I$89,5,0)</f>
        <v>226.79747999999967</v>
      </c>
      <c r="EL82" s="13">
        <f t="shared" si="99"/>
        <v>55.589657749663466</v>
      </c>
      <c r="EM82" s="20">
        <f t="shared" si="73"/>
        <v>491.82426491399656</v>
      </c>
      <c r="EN82" s="59">
        <f t="shared" si="74"/>
        <v>785.15759824732982</v>
      </c>
      <c r="EO82" s="59">
        <f ca="1">AVERAGE(OFFSET($EN$3,0,0,'Données projet'!$E$15+1,1))-AVERAGE(OFFSET($H$3,0,0,'Données projet'!$E$15+1,1))</f>
        <v>207.93042467236967</v>
      </c>
      <c r="EP82" s="59">
        <f t="shared" si="100"/>
        <v>250.70954318710835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1.0424904375450208</v>
      </c>
      <c r="EW82" s="21">
        <f>EXP(-LN(2)/25)*EW81+(1-EXP(-LN(2)/25))/(LN(2)/25)*Calculateur!ER82*Calculateur!ET82*VLOOKUP('Données projet'!$B$15,Paramètres!$A$1:$I$89,3,0)*0.475*44/12</f>
        <v>4.4468085930916308</v>
      </c>
      <c r="EX82" s="21">
        <f>EXP(-LN(2)/2)*EX81+(1-EXP(-LN(2)/2))/(LN(2)/2)*ER82*EU82*VLOOKUP('Données projet'!$B$15,Paramètres!$A$1:$I$89,3,0)*0.475*44/12</f>
        <v>8.5424098048948278E-7</v>
      </c>
      <c r="EY82" s="22">
        <f t="shared" si="75"/>
        <v>5.4892998848776315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-2.2737367544323206E-13</v>
      </c>
      <c r="O83" s="13">
        <f>N83*VLOOKUP('Données projet'!$B$9,Paramètres!$A$1:$I$89,3,0)*VLOOKUP('Données projet'!$B$9,Paramètres!$A$1:$I$89,5,0)</f>
        <v>-1.2710188457276673E-13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255.5374979188561</v>
      </c>
      <c r="T83" s="59">
        <f t="shared" si="88"/>
        <v>343.10418468620901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1.1479457627949394</v>
      </c>
      <c r="AA83" s="21">
        <f>EXP(-LN(2)/25)*AA82+(1-EXP(-LN(2)/25))/(LN(2)/25)*Calculateur!V83*Calculateur!X83*VLOOKUP('Données projet'!$B$9,Paramètres!$A$1:$I$89,3,0)*0.475*44/12</f>
        <v>3.9900647825670048</v>
      </c>
      <c r="AB83" s="21">
        <f>EXP(-LN(2)/2)*AB82+(1-EXP(-LN(2)/2))/(LN(2)/2)*V83*Y83*VLOOKUP('Données projet'!$B$9,Paramètres!$A$1:$I$89,3,0)*0.475*44/12</f>
        <v>5.0444962962092937E-8</v>
      </c>
      <c r="AC83" s="22">
        <f t="shared" si="57"/>
        <v>5.1380105958069073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12.124038461538468</v>
      </c>
      <c r="AI83" s="13">
        <f>IF('Données projet'!$A$62&gt;35,AI82+AH83-AQ82,IF(A83&lt;'Données projet'!$A$62,$AF$205^A83,IF(A83='Données projet'!$A$62,'Données projet'!$B$62,AI82+AH83-AQ82)))</f>
        <v>371.64711538461552</v>
      </c>
      <c r="AJ83" s="13">
        <f>AI83*VLOOKUP('Données projet'!$B$10,Paramètres!$A$1:$I$89,3,0)*VLOOKUP('Données projet'!$B$10,Paramètres!$A$1:$I$89,5,0)</f>
        <v>173.93085000000008</v>
      </c>
      <c r="AK83" s="13">
        <f t="shared" si="89"/>
        <v>43.969228534222836</v>
      </c>
      <c r="AL83" s="20">
        <f t="shared" si="58"/>
        <v>379.50930344710491</v>
      </c>
      <c r="AM83" s="59">
        <f t="shared" si="59"/>
        <v>672.84263678043817</v>
      </c>
      <c r="AN83" s="59">
        <f ca="1">AVERAGE(OFFSET($AM$3,0,0,'Données projet'!$E$10+1,1))-AVERAGE(OFFSET($H$3,0,0,'Données projet'!$E$10+1,1))</f>
        <v>158.58786357608489</v>
      </c>
      <c r="AO83" s="59">
        <f t="shared" si="90"/>
        <v>163.20074068819849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606</v>
      </c>
      <c r="BB83" s="12">
        <f>VLOOKUP(A83,'Données projet'!$A$87:$I$107,9,0)</f>
        <v>14.5</v>
      </c>
      <c r="BC83" s="12">
        <f t="array" ref="BC83">INDEX(BB:BB,MIN(IF(ISNUMBER(BB83:BB279),ROW(BB83:BB279),"")))</f>
        <v>14.5</v>
      </c>
      <c r="BD83" s="12">
        <f>IF('Données projet'!$A$88&gt;35,BD82+BC83-BL82,IF(A83&lt;'Données projet'!$A$88,$BA$205^A83,IF(A83='Données projet'!$A$88,'Données projet'!$B$88,BD82+BC83-BL82)))</f>
        <v>605.99999999999955</v>
      </c>
      <c r="BE83" s="13">
        <f>BD83*VLOOKUP('Données projet'!$B$11,Paramètres!$A$1:$I$89,3,0)*VLOOKUP('Données projet'!$B$11,Paramètres!$A$1:$I$89,5,0)</f>
        <v>362.38799999999981</v>
      </c>
      <c r="BF83" s="13">
        <f t="shared" si="91"/>
        <v>84.108142484692749</v>
      </c>
      <c r="BG83" s="20">
        <f t="shared" si="61"/>
        <v>777.64744816083942</v>
      </c>
      <c r="BH83" s="59">
        <f t="shared" si="62"/>
        <v>1070.9807814941728</v>
      </c>
      <c r="BI83" s="59">
        <f ca="1">AVERAGE(OFFSET($BH$3,0,0,'Données projet'!$E$11+1,1))-AVERAGE(OFFSET($H$3,0,0,'Données projet'!$E$11+1,1))</f>
        <v>316.58509520829671</v>
      </c>
      <c r="BJ83" s="59">
        <f t="shared" si="92"/>
        <v>240.71332110643596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94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0.94158070861487297</v>
      </c>
      <c r="BQ83" s="21">
        <f>EXP(-LN(2)/25)*BQ82+(1-EXP(-LN(2)/25))/(LN(2)/25)*Calculateur!BL83*Calculateur!BN83*VLOOKUP('Données projet'!$B$11,Paramètres!$A$1:$I$89,3,0)*0.475*44/12</f>
        <v>3.8169816801488858</v>
      </c>
      <c r="BR83" s="21">
        <f>EXP(-LN(2)/2)*BR82+(1-EXP(-LN(2)/2))/(LN(2)/2)*BL83*BO83*VLOOKUP('Données projet'!$B$11,Paramètres!$A$1:$I$89,3,0)*0.475*44/12</f>
        <v>6.5384337515058731E-7</v>
      </c>
      <c r="BS83" s="22">
        <f t="shared" si="63"/>
        <v>4.7585630426071335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342</v>
      </c>
      <c r="BW83" s="12">
        <f>VLOOKUP(A83,'Données projet'!$A$113:$I$133,9,0)</f>
        <v>3.9</v>
      </c>
      <c r="BX83" s="12">
        <f t="array" ref="BX83">INDEX(BW:BW,MIN(IF(ISNUMBER(BW83:BW279),ROW(BW83:BW279),"")))</f>
        <v>3.9</v>
      </c>
      <c r="BY83" s="12">
        <f>IF('Données projet'!$A$114&gt;35,BY82+BX83-CG82,IF(A83&lt;'Données projet'!$A$114,$BV$205^A83,IF(A83='Données projet'!$A$114,'Données projet'!$B$114,BY82+BX83-CG82)))</f>
        <v>341.99999999999949</v>
      </c>
      <c r="BZ83" s="13">
        <f>BY83*VLOOKUP('Données projet'!$B$12,Paramètres!$A$1:$I$89,3,0)*VLOOKUP('Données projet'!$B$12,Paramètres!$A$1:$I$89,5,0)</f>
        <v>272.09519999999958</v>
      </c>
      <c r="CA83" s="13">
        <f t="shared" si="93"/>
        <v>65.293723364568322</v>
      </c>
      <c r="CB83" s="20">
        <f t="shared" si="64"/>
        <v>587.61904152662237</v>
      </c>
      <c r="CC83" s="59">
        <f t="shared" si="65"/>
        <v>880.95237485995563</v>
      </c>
      <c r="CD83" s="59">
        <f ca="1">AVERAGE(OFFSET($CC$3,0,0,'Données projet'!$E$12+1,1))-AVERAGE(OFFSET($H$3,0,0,'Données projet'!$E$12+1,1))</f>
        <v>260.20517190557814</v>
      </c>
      <c r="CE83" s="59">
        <f t="shared" si="94"/>
        <v>307.22009971147133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342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1.212196270511126</v>
      </c>
      <c r="CL83" s="21">
        <f>EXP(-LN(2)/25)*CL82+(1-EXP(-LN(2)/25))/(LN(2)/25)*Calculateur!CG83*Calculateur!CI83*VLOOKUP('Données projet'!$B$12,Paramètres!$A$1:$I$89,3,0)*0.475*44/12</f>
        <v>5.12990068119925</v>
      </c>
      <c r="CM83" s="21">
        <f>EXP(-LN(2)/2)*CM82+(1-EXP(-LN(2)/2))/(LN(2)/2)*CG83*CJ83*VLOOKUP('Données projet'!$B$12,Paramètres!$A$1:$I$89,3,0)*0.475*44/12</f>
        <v>7.1641904868952293E-7</v>
      </c>
      <c r="CN83" s="22">
        <f t="shared" si="66"/>
        <v>6.3420976681294245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274.0128205128205</v>
      </c>
      <c r="CR83" s="12">
        <f>VLOOKUP(A83,'Données projet'!$A$139:$I$159,9,0)</f>
        <v>7.8425925925925934</v>
      </c>
      <c r="CS83" s="12">
        <f t="array" ref="CS83">INDEX(CR:CR,MIN(IF(ISNUMBER(CR83:CR279),ROW(CR83:CR279),"")))</f>
        <v>7.8425925925925934</v>
      </c>
      <c r="CT83" s="12">
        <f>IF('Données projet'!$A$140&gt;35,CT82+CS83-DB82,IF(A83&lt;'Données projet'!$A$140,$CQ$205^A83,IF(A83='Données projet'!$A$140,'Données projet'!$B$140,CT82+CS83-DB82)))</f>
        <v>274.0128205128205</v>
      </c>
      <c r="CU83" s="17">
        <f>CT83*VLOOKUP('Données projet'!$B$13,Paramètres!$A$1:$I$89,3,0)*VLOOKUP('Données projet'!$B$13,Paramètres!$A$1:$I$89,5,0)</f>
        <v>277.84899999999999</v>
      </c>
      <c r="CV83" s="13">
        <f t="shared" si="95"/>
        <v>66.512236926053788</v>
      </c>
      <c r="CW83" s="20">
        <f t="shared" si="67"/>
        <v>599.76248764621027</v>
      </c>
      <c r="CX83" s="59">
        <f t="shared" si="68"/>
        <v>893.09582097954353</v>
      </c>
      <c r="CY83" s="59">
        <f ca="1">AVERAGE(OFFSET($CX$3,0,0,'Données projet'!$E$13+1,1))-AVERAGE(OFFSET($H$3,0,0,'Données projet'!$E$13+1,1))</f>
        <v>263.15518481854753</v>
      </c>
      <c r="CZ83" s="59">
        <f t="shared" si="96"/>
        <v>210.80755370263819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45.608974358974358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0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293</v>
      </c>
      <c r="DM83" s="12">
        <f>VLOOKUP(A83,'Données projet'!$A$165:$I$185,9,0)</f>
        <v>5.2</v>
      </c>
      <c r="DN83" s="12">
        <f t="array" ref="DN83">INDEX(DM:DM,MIN(IF(ISNUMBER(DM83:DM279),ROW(DM83:DM279),"")))</f>
        <v>5.2</v>
      </c>
      <c r="DO83" s="12">
        <f>IF('Données projet'!$A$166&gt;35,DO82+DN83-DW82,IF(A83&lt;'Données projet'!$A$166,$DL$205^A83,IF(A83='Données projet'!$A$166,'Données projet'!$B$166,DO82+DN83-DW82)))</f>
        <v>292.99999999999983</v>
      </c>
      <c r="DP83" s="17">
        <f>DO83*VLOOKUP('Données projet'!$B$14,Paramètres!$A$1:$I$89,3,0)*VLOOKUP('Données projet'!$B$14,Paramètres!$A$1:$I$89,5,0)</f>
        <v>237.68159999999989</v>
      </c>
      <c r="DQ83" s="13">
        <f t="shared" si="97"/>
        <v>57.940433975259054</v>
      </c>
      <c r="DR83" s="20">
        <f t="shared" si="70"/>
        <v>514.87504250690938</v>
      </c>
      <c r="DS83" s="59">
        <f t="shared" si="71"/>
        <v>808.20837584024275</v>
      </c>
      <c r="DT83" s="59">
        <f ca="1">AVERAGE(OFFSET($DS$3,0,0,'Données projet'!$E$14+1,1))-AVERAGE(OFFSET($H$3,0,0,'Données projet'!$E$14+1,1))</f>
        <v>203.21935660591021</v>
      </c>
      <c r="DU83" s="59">
        <f t="shared" si="98"/>
        <v>180.54762778843178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33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0.37245516823864883</v>
      </c>
      <c r="EB83" s="21">
        <f>EXP(-LN(2)/25)*EB82+(1-EXP(-LN(2)/25))/(LN(2)/25)*Calculateur!DW83*Calculateur!DY83*VLOOKUP('Données projet'!$B$14,Paramètres!$A$1:$I$89,3,0)*0.475*44/12</f>
        <v>1.4509252386605593</v>
      </c>
      <c r="EC83" s="21">
        <f>EXP(-LN(2)/2)*EC82+(1-EXP(-LN(2)/2))/(LN(2)/2)*DW83*DZ83*VLOOKUP('Données projet'!$B$14,Paramètres!$A$1:$I$89,3,0)*0.475*44/12</f>
        <v>2.7008904577433892E-7</v>
      </c>
      <c r="ED83" s="22">
        <f t="shared" si="72"/>
        <v>1.8233806769882539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342</v>
      </c>
      <c r="EH83" s="12">
        <f>VLOOKUP(A83,'Données projet'!$A$191:$I$211,9,0)</f>
        <v>3.9</v>
      </c>
      <c r="EI83" s="12">
        <f t="array" ref="EI83">INDEX(EH:EH,MIN(IF(ISNUMBER(EH83:EH279),ROW(EH83:EH279),"")))</f>
        <v>3.9</v>
      </c>
      <c r="EJ83" s="12">
        <f>IF('Données projet'!$A$192&gt;35,EJ82+EI83-ER82,IF(A83&lt;'Données projet'!$A$192,$EG$205^A83,IF(A83='Données projet'!$A$192,'Données projet'!$B$192,EJ82+EI83-ER82)))</f>
        <v>341.99999999999949</v>
      </c>
      <c r="EK83" s="17">
        <f>EJ83*VLOOKUP('Données projet'!$B$15,Paramètres!$A$1:$I$89,3,0)*VLOOKUP('Données projet'!$B$15,Paramètres!$A$1:$I$89,5,0)</f>
        <v>229.41359999999966</v>
      </c>
      <c r="EL83" s="13">
        <f t="shared" si="99"/>
        <v>56.155869309033378</v>
      </c>
      <c r="EM83" s="20">
        <f t="shared" si="73"/>
        <v>497.36682571323246</v>
      </c>
      <c r="EN83" s="59">
        <f t="shared" si="74"/>
        <v>790.70015904656577</v>
      </c>
      <c r="EO83" s="59">
        <f ca="1">AVERAGE(OFFSET($EN$3,0,0,'Données projet'!$E$15+1,1))-AVERAGE(OFFSET($H$3,0,0,'Données projet'!$E$15+1,1))</f>
        <v>207.93042467236967</v>
      </c>
      <c r="EP83" s="59">
        <f t="shared" si="100"/>
        <v>250.70954318710835</v>
      </c>
      <c r="EQ83" s="15">
        <f>IF(ISNA(VLOOKUP(A83,'Données projet'!$A$191:$I$211,3,0)),0,VLOOKUP(A83,'Données projet'!$A$191:$I$211,3,0))</f>
        <v>7</v>
      </c>
      <c r="ER83" s="15">
        <f>IF(ISNA(VLOOKUP(A83,'Données projet'!$A$191:$I$211,4,0)),0,VLOOKUP(A83,'Données projet'!$A$191:$I$211,4,0))</f>
        <v>342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1.0220478359211442</v>
      </c>
      <c r="EW83" s="21">
        <f>EXP(-LN(2)/25)*EW82+(1-EXP(-LN(2)/25))/(LN(2)/25)*Calculateur!ER83*Calculateur!ET83*VLOOKUP('Données projet'!$B$15,Paramètres!$A$1:$I$89,3,0)*0.475*44/12</f>
        <v>4.3252103782660392</v>
      </c>
      <c r="EX83" s="21">
        <f>EXP(-LN(2)/2)*EX82+(1-EXP(-LN(2)/2))/(LN(2)/2)*ER83*EU83*VLOOKUP('Données projet'!$B$15,Paramètres!$A$1:$I$89,3,0)*0.475*44/12</f>
        <v>6.040395900715585E-7</v>
      </c>
      <c r="EY83" s="22">
        <f t="shared" si="75"/>
        <v>5.3472588182267735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-2.2737367544323206E-13</v>
      </c>
      <c r="O84" s="13">
        <f>N84*VLOOKUP('Données projet'!$B$9,Paramètres!$A$1:$I$89,3,0)*VLOOKUP('Données projet'!$B$9,Paramètres!$A$1:$I$89,5,0)</f>
        <v>-1.2710188457276673E-13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255.5374979188561</v>
      </c>
      <c r="T84" s="59">
        <f t="shared" si="88"/>
        <v>343.10418468620901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1.1254352465643092</v>
      </c>
      <c r="AA84" s="21">
        <f>EXP(-LN(2)/25)*AA83+(1-EXP(-LN(2)/25))/(LN(2)/25)*Calculateur!V84*Calculateur!X84*VLOOKUP('Données projet'!$B$9,Paramètres!$A$1:$I$89,3,0)*0.475*44/12</f>
        <v>3.8809562512593225</v>
      </c>
      <c r="AB84" s="21">
        <f>EXP(-LN(2)/2)*AB83+(1-EXP(-LN(2)/2))/(LN(2)/2)*V84*Y84*VLOOKUP('Données projet'!$B$9,Paramètres!$A$1:$I$89,3,0)*0.475*44/12</f>
        <v>3.5669975387200144E-8</v>
      </c>
      <c r="AC84" s="22">
        <f t="shared" si="57"/>
        <v>5.0063915334936073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12.124038461538468</v>
      </c>
      <c r="AI84" s="13">
        <f>IF('Données projet'!$A$62&gt;35,AI83+AH84-AQ83,IF(A84&lt;'Données projet'!$A$62,$AF$205^A84,IF(A84='Données projet'!$A$62,'Données projet'!$B$62,AI83+AH84-AQ83)))</f>
        <v>383.77115384615399</v>
      </c>
      <c r="AJ84" s="13">
        <f>AI84*VLOOKUP('Données projet'!$B$10,Paramètres!$A$1:$I$89,3,0)*VLOOKUP('Données projet'!$B$10,Paramètres!$A$1:$I$89,5,0)</f>
        <v>179.60490000000007</v>
      </c>
      <c r="AK84" s="13">
        <f t="shared" si="89"/>
        <v>45.234272457213635</v>
      </c>
      <c r="AL84" s="20">
        <f t="shared" si="58"/>
        <v>391.59489202964716</v>
      </c>
      <c r="AM84" s="59">
        <f t="shared" si="59"/>
        <v>684.92822536298047</v>
      </c>
      <c r="AN84" s="59">
        <f ca="1">AVERAGE(OFFSET($AM$3,0,0,'Données projet'!$E$10+1,1))-AVERAGE(OFFSET($H$3,0,0,'Données projet'!$E$10+1,1))</f>
        <v>158.58786357608489</v>
      </c>
      <c r="AO84" s="59">
        <f t="shared" si="90"/>
        <v>163.20074068819849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12.5</v>
      </c>
      <c r="BD84" s="12">
        <f>IF('Données projet'!$A$88&gt;35,BD83+BC84-BL83,IF(A84&lt;'Données projet'!$A$88,$BA$205^A84,IF(A84='Données projet'!$A$88,'Données projet'!$B$88,BD83+BC84-BL83)))</f>
        <v>524.49999999999955</v>
      </c>
      <c r="BE84" s="13">
        <f>BD84*VLOOKUP('Données projet'!$B$11,Paramètres!$A$1:$I$89,3,0)*VLOOKUP('Données projet'!$B$11,Paramètres!$A$1:$I$89,5,0)</f>
        <v>313.65099999999978</v>
      </c>
      <c r="BF84" s="13">
        <f t="shared" si="91"/>
        <v>74.030783927316818</v>
      </c>
      <c r="BG84" s="20">
        <f t="shared" si="61"/>
        <v>675.21244034007634</v>
      </c>
      <c r="BH84" s="59">
        <f t="shared" si="62"/>
        <v>968.54577367340971</v>
      </c>
      <c r="BI84" s="59">
        <f ca="1">AVERAGE(OFFSET($BH$3,0,0,'Données projet'!$E$11+1,1))-AVERAGE(OFFSET($H$3,0,0,'Données projet'!$E$11+1,1))</f>
        <v>316.58509520829671</v>
      </c>
      <c r="BJ84" s="59">
        <f t="shared" si="92"/>
        <v>240.71332110643596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0.9231168852264594</v>
      </c>
      <c r="BQ84" s="21">
        <f>EXP(-LN(2)/25)*BQ83+(1-EXP(-LN(2)/25))/(LN(2)/25)*Calculateur!BL84*Calculateur!BN84*VLOOKUP('Données projet'!$B$11,Paramètres!$A$1:$I$89,3,0)*0.475*44/12</f>
        <v>3.7126061153788719</v>
      </c>
      <c r="BR84" s="21">
        <f>EXP(-LN(2)/2)*BR83+(1-EXP(-LN(2)/2))/(LN(2)/2)*BL84*BO84*VLOOKUP('Données projet'!$B$11,Paramètres!$A$1:$I$89,3,0)*0.475*44/12</f>
        <v>4.6233708440288006E-7</v>
      </c>
      <c r="BS84" s="22">
        <f t="shared" si="63"/>
        <v>4.6357234629424156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-5.1159076974727213E-13</v>
      </c>
      <c r="BZ84" s="13">
        <f>BY84*VLOOKUP('Données projet'!$B$12,Paramètres!$A$1:$I$89,3,0)*VLOOKUP('Données projet'!$B$12,Paramètres!$A$1:$I$89,5,0)</f>
        <v>-4.0702161641092972E-13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260.20517190557814</v>
      </c>
      <c r="CE84" s="59">
        <f t="shared" si="94"/>
        <v>307.22009971147133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1.1884258410131214</v>
      </c>
      <c r="CL84" s="21">
        <f>EXP(-LN(2)/25)*CL83+(1-EXP(-LN(2)/25))/(LN(2)/25)*Calculateur!CG84*Calculateur!CI84*VLOOKUP('Données projet'!$B$12,Paramètres!$A$1:$I$89,3,0)*0.475*44/12</f>
        <v>4.9896232773021039</v>
      </c>
      <c r="CM84" s="21">
        <f>EXP(-LN(2)/2)*CM83+(1-EXP(-LN(2)/2))/(LN(2)/2)*CG84*CJ84*VLOOKUP('Données projet'!$B$12,Paramètres!$A$1:$I$89,3,0)*0.475*44/12</f>
        <v>5.0658476749957702E-7</v>
      </c>
      <c r="CN84" s="22">
        <f t="shared" si="66"/>
        <v>6.1780496248999937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7.4950142450142483</v>
      </c>
      <c r="CT84" s="12">
        <f>IF('Données projet'!$A$140&gt;35,CT83+CS84-DB83,IF(A84&lt;'Données projet'!$A$140,$CQ$205^A84,IF(A84='Données projet'!$A$140,'Données projet'!$B$140,CT83+CS84-DB83)))</f>
        <v>235.89886039886039</v>
      </c>
      <c r="CU84" s="17">
        <f>CT84*VLOOKUP('Données projet'!$B$13,Paramètres!$A$1:$I$89,3,0)*VLOOKUP('Données projet'!$B$13,Paramètres!$A$1:$I$89,5,0)</f>
        <v>239.20144444444443</v>
      </c>
      <c r="CV84" s="13">
        <f t="shared" si="95"/>
        <v>58.267684051527326</v>
      </c>
      <c r="CW84" s="20">
        <f t="shared" si="67"/>
        <v>518.09206546381745</v>
      </c>
      <c r="CX84" s="59">
        <f t="shared" si="68"/>
        <v>811.42539879715082</v>
      </c>
      <c r="CY84" s="59">
        <f ca="1">AVERAGE(OFFSET($CX$3,0,0,'Données projet'!$E$13+1,1))-AVERAGE(OFFSET($H$3,0,0,'Données projet'!$E$13+1,1))</f>
        <v>263.15518481854753</v>
      </c>
      <c r="CZ84" s="59">
        <f t="shared" si="96"/>
        <v>210.80755370263819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0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4.7</v>
      </c>
      <c r="DO84" s="12">
        <f>IF('Données projet'!$A$166&gt;35,DO83+DN84-DW83,IF(A84&lt;'Données projet'!$A$166,$DL$205^A84,IF(A84='Données projet'!$A$166,'Données projet'!$B$166,DO83+DN84-DW83)))</f>
        <v>264.69999999999982</v>
      </c>
      <c r="DP84" s="17">
        <f>DO84*VLOOKUP('Données projet'!$B$14,Paramètres!$A$1:$I$89,3,0)*VLOOKUP('Données projet'!$B$14,Paramètres!$A$1:$I$89,5,0)</f>
        <v>214.72463999999988</v>
      </c>
      <c r="DQ84" s="13">
        <f t="shared" si="97"/>
        <v>52.96669770036759</v>
      </c>
      <c r="DR84" s="20">
        <f t="shared" si="70"/>
        <v>466.22907982813996</v>
      </c>
      <c r="DS84" s="59">
        <f t="shared" si="71"/>
        <v>759.56241316147327</v>
      </c>
      <c r="DT84" s="59">
        <f ca="1">AVERAGE(OFFSET($DS$3,0,0,'Données projet'!$E$14+1,1))-AVERAGE(OFFSET($H$3,0,0,'Données projet'!$E$14+1,1))</f>
        <v>203.21935660591021</v>
      </c>
      <c r="DU84" s="59">
        <f t="shared" si="98"/>
        <v>180.54762778843178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0.36515154956470985</v>
      </c>
      <c r="EB84" s="21">
        <f>EXP(-LN(2)/25)*EB83+(1-EXP(-LN(2)/25))/(LN(2)/25)*Calculateur!DW84*Calculateur!DY84*VLOOKUP('Données projet'!$B$14,Paramètres!$A$1:$I$89,3,0)*0.475*44/12</f>
        <v>1.4112496117085442</v>
      </c>
      <c r="EC84" s="21">
        <f>EXP(-LN(2)/2)*EC83+(1-EXP(-LN(2)/2))/(LN(2)/2)*DW84*DZ84*VLOOKUP('Données projet'!$B$14,Paramètres!$A$1:$I$89,3,0)*0.475*44/12</f>
        <v>1.9098179579123889E-7</v>
      </c>
      <c r="ED84" s="22">
        <f t="shared" si="72"/>
        <v>1.7764013522550499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-5.1159076974727213E-13</v>
      </c>
      <c r="EK84" s="17">
        <f>EJ84*VLOOKUP('Données projet'!$B$15,Paramètres!$A$1:$I$89,3,0)*VLOOKUP('Données projet'!$B$15,Paramètres!$A$1:$I$89,5,0)</f>
        <v>-3.4317508834647017E-13</v>
      </c>
      <c r="EL84" s="13" t="e">
        <f t="shared" si="99"/>
        <v>#NUM!</v>
      </c>
      <c r="EM84" s="20" t="e">
        <f t="shared" si="73"/>
        <v>#NUM!</v>
      </c>
      <c r="EN84" s="59" t="e">
        <f t="shared" si="74"/>
        <v>#NUM!</v>
      </c>
      <c r="EO84" s="59">
        <f ca="1">AVERAGE(OFFSET($EN$3,0,0,'Données projet'!$E$15+1,1))-AVERAGE(OFFSET($H$3,0,0,'Données projet'!$E$15+1,1))</f>
        <v>207.93042467236967</v>
      </c>
      <c r="EP84" s="59">
        <f t="shared" si="100"/>
        <v>250.70954318710835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1.0020061012463561</v>
      </c>
      <c r="EW84" s="21">
        <f>EXP(-LN(2)/25)*EW83+(1-EXP(-LN(2)/25))/(LN(2)/25)*Calculateur!ER84*Calculateur!ET84*VLOOKUP('Données projet'!$B$15,Paramètres!$A$1:$I$89,3,0)*0.475*44/12</f>
        <v>4.2069372730194257</v>
      </c>
      <c r="EX84" s="21">
        <f>EXP(-LN(2)/2)*EX83+(1-EXP(-LN(2)/2))/(LN(2)/2)*ER84*EU84*VLOOKUP('Données projet'!$B$15,Paramètres!$A$1:$I$89,3,0)*0.475*44/12</f>
        <v>4.2712049024474139E-7</v>
      </c>
      <c r="EY84" s="22">
        <f t="shared" si="75"/>
        <v>5.2089438013862717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-2.2737367544323206E-13</v>
      </c>
      <c r="O85" s="13">
        <f>N85*VLOOKUP('Données projet'!$B$9,Paramètres!$A$1:$I$89,3,0)*VLOOKUP('Données projet'!$B$9,Paramètres!$A$1:$I$89,5,0)</f>
        <v>-1.2710188457276673E-13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255.5374979188561</v>
      </c>
      <c r="T85" s="59">
        <f t="shared" si="88"/>
        <v>343.10418468620901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1.1033661478269023</v>
      </c>
      <c r="AA85" s="21">
        <f>EXP(-LN(2)/25)*AA84+(1-EXP(-LN(2)/25))/(LN(2)/25)*Calculateur!V85*Calculateur!X85*VLOOKUP('Données projet'!$B$9,Paramètres!$A$1:$I$89,3,0)*0.475*44/12</f>
        <v>3.7748312984780172</v>
      </c>
      <c r="AB85" s="21">
        <f>EXP(-LN(2)/2)*AB84+(1-EXP(-LN(2)/2))/(LN(2)/2)*V85*Y85*VLOOKUP('Données projet'!$B$9,Paramètres!$A$1:$I$89,3,0)*0.475*44/12</f>
        <v>2.5222481481046469E-8</v>
      </c>
      <c r="AC85" s="22">
        <f t="shared" si="57"/>
        <v>4.8781974715274012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12.124038461538468</v>
      </c>
      <c r="AI85" s="13">
        <f>IF('Données projet'!$A$62&gt;35,AI84+AH85-AQ84,IF(A85&lt;'Données projet'!$A$62,$AF$205^A85,IF(A85='Données projet'!$A$62,'Données projet'!$B$62,AI84+AH85-AQ84)))</f>
        <v>395.89519230769247</v>
      </c>
      <c r="AJ85" s="13">
        <f>AI85*VLOOKUP('Données projet'!$B$10,Paramètres!$A$1:$I$89,3,0)*VLOOKUP('Données projet'!$B$10,Paramètres!$A$1:$I$89,5,0)</f>
        <v>185.27895000000009</v>
      </c>
      <c r="AK85" s="13">
        <f t="shared" si="89"/>
        <v>46.494672172616063</v>
      </c>
      <c r="AL85" s="20">
        <f t="shared" si="58"/>
        <v>403.67239195063979</v>
      </c>
      <c r="AM85" s="59">
        <f t="shared" si="59"/>
        <v>697.00572528397311</v>
      </c>
      <c r="AN85" s="59">
        <f ca="1">AVERAGE(OFFSET($AM$3,0,0,'Données projet'!$E$10+1,1))-AVERAGE(OFFSET($H$3,0,0,'Données projet'!$E$10+1,1))</f>
        <v>158.58786357608489</v>
      </c>
      <c r="AO85" s="59">
        <f t="shared" si="90"/>
        <v>163.20074068819849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12.5</v>
      </c>
      <c r="BD85" s="12">
        <f>IF('Données projet'!$A$88&gt;35,BD84+BC85-BL84,IF(A85&lt;'Données projet'!$A$88,$BA$205^A85,IF(A85='Données projet'!$A$88,'Données projet'!$B$88,BD84+BC85-BL84)))</f>
        <v>536.99999999999955</v>
      </c>
      <c r="BE85" s="13">
        <f>BD85*VLOOKUP('Données projet'!$B$11,Paramètres!$A$1:$I$89,3,0)*VLOOKUP('Données projet'!$B$11,Paramètres!$A$1:$I$89,5,0)</f>
        <v>321.12599999999975</v>
      </c>
      <c r="BF85" s="13">
        <f t="shared" si="91"/>
        <v>75.587591944000252</v>
      </c>
      <c r="BG85" s="20">
        <f t="shared" si="61"/>
        <v>690.94283930246672</v>
      </c>
      <c r="BH85" s="59">
        <f t="shared" si="62"/>
        <v>984.27617263580009</v>
      </c>
      <c r="BI85" s="59">
        <f ca="1">AVERAGE(OFFSET($BH$3,0,0,'Données projet'!$E$11+1,1))-AVERAGE(OFFSET($H$3,0,0,'Données projet'!$E$11+1,1))</f>
        <v>316.58509520829671</v>
      </c>
      <c r="BJ85" s="59">
        <f t="shared" si="92"/>
        <v>240.71332110643596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0.90501512615287238</v>
      </c>
      <c r="BQ85" s="21">
        <f>EXP(-LN(2)/25)*BQ84+(1-EXP(-LN(2)/25))/(LN(2)/25)*Calculateur!BL85*Calculateur!BN85*VLOOKUP('Données projet'!$B$11,Paramètres!$A$1:$I$89,3,0)*0.475*44/12</f>
        <v>3.6110847059163662</v>
      </c>
      <c r="BR85" s="21">
        <f>EXP(-LN(2)/2)*BR84+(1-EXP(-LN(2)/2))/(LN(2)/2)*BL85*BO85*VLOOKUP('Données projet'!$B$11,Paramètres!$A$1:$I$89,3,0)*0.475*44/12</f>
        <v>3.2692168757529371E-7</v>
      </c>
      <c r="BS85" s="22">
        <f t="shared" si="63"/>
        <v>4.5161001589909269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-5.1159076974727213E-13</v>
      </c>
      <c r="BZ85" s="13">
        <f>BY85*VLOOKUP('Données projet'!$B$12,Paramètres!$A$1:$I$89,3,0)*VLOOKUP('Données projet'!$B$12,Paramètres!$A$1:$I$89,5,0)</f>
        <v>-4.0702161641092972E-13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260.20517190557814</v>
      </c>
      <c r="CE85" s="59">
        <f t="shared" si="94"/>
        <v>307.22009971147133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1.1651215351390423</v>
      </c>
      <c r="CL85" s="21">
        <f>EXP(-LN(2)/25)*CL84+(1-EXP(-LN(2)/25))/(LN(2)/25)*Calculateur!CG85*Calculateur!CI85*VLOOKUP('Données projet'!$B$12,Paramètres!$A$1:$I$89,3,0)*0.475*44/12</f>
        <v>4.8531817663913932</v>
      </c>
      <c r="CM85" s="21">
        <f>EXP(-LN(2)/2)*CM84+(1-EXP(-LN(2)/2))/(LN(2)/2)*CG85*CJ85*VLOOKUP('Données projet'!$B$12,Paramètres!$A$1:$I$89,3,0)*0.475*44/12</f>
        <v>3.5820952434476146E-7</v>
      </c>
      <c r="CN85" s="22">
        <f t="shared" si="66"/>
        <v>6.01830365973996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7.4950142450142483</v>
      </c>
      <c r="CT85" s="12">
        <f>IF('Données projet'!$A$140&gt;35,CT84+CS85-DB84,IF(A85&lt;'Données projet'!$A$140,$CQ$205^A85,IF(A85='Données projet'!$A$140,'Données projet'!$B$140,CT84+CS85-DB84)))</f>
        <v>243.39387464387465</v>
      </c>
      <c r="CU85" s="17">
        <f>CT85*VLOOKUP('Données projet'!$B$13,Paramètres!$A$1:$I$89,3,0)*VLOOKUP('Données projet'!$B$13,Paramètres!$A$1:$I$89,5,0)</f>
        <v>246.80138888888891</v>
      </c>
      <c r="CV85" s="13">
        <f t="shared" si="95"/>
        <v>59.900493951858685</v>
      </c>
      <c r="CW85" s="20">
        <f t="shared" si="67"/>
        <v>534.17244594763531</v>
      </c>
      <c r="CX85" s="59">
        <f t="shared" si="68"/>
        <v>827.50577928096868</v>
      </c>
      <c r="CY85" s="59">
        <f ca="1">AVERAGE(OFFSET($CX$3,0,0,'Données projet'!$E$13+1,1))-AVERAGE(OFFSET($H$3,0,0,'Données projet'!$E$13+1,1))</f>
        <v>263.15518481854753</v>
      </c>
      <c r="CZ85" s="59">
        <f t="shared" si="96"/>
        <v>210.80755370263819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0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4.7</v>
      </c>
      <c r="DO85" s="12">
        <f>IF('Données projet'!$A$166&gt;35,DO84+DN85-DW84,IF(A85&lt;'Données projet'!$A$166,$DL$205^A85,IF(A85='Données projet'!$A$166,'Données projet'!$B$166,DO84+DN85-DW84)))</f>
        <v>269.39999999999981</v>
      </c>
      <c r="DP85" s="17">
        <f>DO85*VLOOKUP('Données projet'!$B$14,Paramètres!$A$1:$I$89,3,0)*VLOOKUP('Données projet'!$B$14,Paramètres!$A$1:$I$89,5,0)</f>
        <v>218.53727999999987</v>
      </c>
      <c r="DQ85" s="13">
        <f t="shared" si="97"/>
        <v>53.796847431080771</v>
      </c>
      <c r="DR85" s="20">
        <f t="shared" si="70"/>
        <v>474.31527194246542</v>
      </c>
      <c r="DS85" s="59">
        <f t="shared" si="71"/>
        <v>767.64860527579867</v>
      </c>
      <c r="DT85" s="59">
        <f ca="1">AVERAGE(OFFSET($DS$3,0,0,'Données projet'!$E$14+1,1))-AVERAGE(OFFSET($H$3,0,0,'Données projet'!$E$14+1,1))</f>
        <v>203.21935660591021</v>
      </c>
      <c r="DU85" s="59">
        <f t="shared" si="98"/>
        <v>180.54762778843178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0.35799115039819929</v>
      </c>
      <c r="EB85" s="21">
        <f>EXP(-LN(2)/25)*EB84+(1-EXP(-LN(2)/25))/(LN(2)/25)*Calculateur!DW85*Calculateur!DY85*VLOOKUP('Données projet'!$B$14,Paramètres!$A$1:$I$89,3,0)*0.475*44/12</f>
        <v>1.3726589168619825</v>
      </c>
      <c r="EC85" s="21">
        <f>EXP(-LN(2)/2)*EC84+(1-EXP(-LN(2)/2))/(LN(2)/2)*DW85*DZ85*VLOOKUP('Données projet'!$B$14,Paramètres!$A$1:$I$89,3,0)*0.475*44/12</f>
        <v>1.3504452288716946E-7</v>
      </c>
      <c r="ED85" s="22">
        <f t="shared" si="72"/>
        <v>1.7306502023047046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-5.1159076974727213E-13</v>
      </c>
      <c r="EK85" s="17">
        <f>EJ85*VLOOKUP('Données projet'!$B$15,Paramètres!$A$1:$I$89,3,0)*VLOOKUP('Données projet'!$B$15,Paramètres!$A$1:$I$89,5,0)</f>
        <v>-3.4317508834647017E-13</v>
      </c>
      <c r="EL85" s="13" t="e">
        <f t="shared" si="99"/>
        <v>#NUM!</v>
      </c>
      <c r="EM85" s="20" t="e">
        <f t="shared" si="73"/>
        <v>#NUM!</v>
      </c>
      <c r="EN85" s="59" t="e">
        <f t="shared" si="74"/>
        <v>#NUM!</v>
      </c>
      <c r="EO85" s="59">
        <f ca="1">AVERAGE(OFFSET($EN$3,0,0,'Données projet'!$E$15+1,1))-AVERAGE(OFFSET($H$3,0,0,'Données projet'!$E$15+1,1))</f>
        <v>207.93042467236967</v>
      </c>
      <c r="EP85" s="59">
        <f t="shared" si="100"/>
        <v>250.70954318710835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0.98235737276428947</v>
      </c>
      <c r="EW85" s="21">
        <f>EXP(-LN(2)/25)*EW84+(1-EXP(-LN(2)/25))/(LN(2)/25)*Calculateur!ER85*Calculateur!ET85*VLOOKUP('Données projet'!$B$15,Paramètres!$A$1:$I$89,3,0)*0.475*44/12</f>
        <v>4.0918983520554937</v>
      </c>
      <c r="EX85" s="21">
        <f>EXP(-LN(2)/2)*EX84+(1-EXP(-LN(2)/2))/(LN(2)/2)*ER85*EU85*VLOOKUP('Données projet'!$B$15,Paramètres!$A$1:$I$89,3,0)*0.475*44/12</f>
        <v>3.0201979503577925E-7</v>
      </c>
      <c r="EY85" s="22">
        <f t="shared" si="75"/>
        <v>5.0742560268395778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-2.2737367544323206E-13</v>
      </c>
      <c r="O86" s="13">
        <f>N86*VLOOKUP('Données projet'!$B$9,Paramètres!$A$1:$I$89,3,0)*VLOOKUP('Données projet'!$B$9,Paramètres!$A$1:$I$89,5,0)</f>
        <v>-1.2710188457276673E-13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255.5374979188561</v>
      </c>
      <c r="T86" s="59">
        <f t="shared" si="88"/>
        <v>343.10418468620901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1.0817298106549151</v>
      </c>
      <c r="AA86" s="21">
        <f>EXP(-LN(2)/25)*AA85+(1-EXP(-LN(2)/25))/(LN(2)/25)*Calculateur!V86*Calculateur!X86*VLOOKUP('Données projet'!$B$9,Paramètres!$A$1:$I$89,3,0)*0.475*44/12</f>
        <v>3.6716083381113855</v>
      </c>
      <c r="AB86" s="21">
        <f>EXP(-LN(2)/2)*AB85+(1-EXP(-LN(2)/2))/(LN(2)/2)*V86*Y86*VLOOKUP('Données projet'!$B$9,Paramètres!$A$1:$I$89,3,0)*0.475*44/12</f>
        <v>1.7834987693600072E-8</v>
      </c>
      <c r="AC86" s="22">
        <f t="shared" si="57"/>
        <v>4.7533381666012886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12.124038461538468</v>
      </c>
      <c r="AI86" s="13">
        <f>IF('Données projet'!$A$62&gt;35,AI85+AH86-AQ85,IF(A86&lt;'Données projet'!$A$62,$AF$205^A86,IF(A86='Données projet'!$A$62,'Données projet'!$B$62,AI85+AH86-AQ85)))</f>
        <v>408.01923076923094</v>
      </c>
      <c r="AJ86" s="13">
        <f>AI86*VLOOKUP('Données projet'!$B$10,Paramètres!$A$1:$I$89,3,0)*VLOOKUP('Données projet'!$B$10,Paramètres!$A$1:$I$89,5,0)</f>
        <v>190.95300000000006</v>
      </c>
      <c r="AK86" s="13">
        <f t="shared" si="89"/>
        <v>47.750586229034354</v>
      </c>
      <c r="AL86" s="20">
        <f t="shared" si="58"/>
        <v>415.7420793489016</v>
      </c>
      <c r="AM86" s="59">
        <f t="shared" si="59"/>
        <v>709.07541268223486</v>
      </c>
      <c r="AN86" s="59">
        <f ca="1">AVERAGE(OFFSET($AM$3,0,0,'Données projet'!$E$10+1,1))-AVERAGE(OFFSET($H$3,0,0,'Données projet'!$E$10+1,1))</f>
        <v>158.58786357608489</v>
      </c>
      <c r="AO86" s="59">
        <f t="shared" si="90"/>
        <v>163.20074068819849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12.5</v>
      </c>
      <c r="BD86" s="12">
        <f>IF('Données projet'!$A$88&gt;35,BD85+BC86-BL85,IF(A86&lt;'Données projet'!$A$88,$BA$205^A86,IF(A86='Données projet'!$A$88,'Données projet'!$B$88,BD85+BC86-BL85)))</f>
        <v>549.49999999999955</v>
      </c>
      <c r="BE86" s="13">
        <f>BD86*VLOOKUP('Données projet'!$B$11,Paramètres!$A$1:$I$89,3,0)*VLOOKUP('Données projet'!$B$11,Paramètres!$A$1:$I$89,5,0)</f>
        <v>328.60099999999977</v>
      </c>
      <c r="BF86" s="13">
        <f t="shared" si="91"/>
        <v>77.140187101009843</v>
      </c>
      <c r="BG86" s="20">
        <f t="shared" si="61"/>
        <v>706.66590086759163</v>
      </c>
      <c r="BH86" s="59">
        <f t="shared" si="62"/>
        <v>999.999234200925</v>
      </c>
      <c r="BI86" s="59">
        <f ca="1">AVERAGE(OFFSET($BH$3,0,0,'Données projet'!$E$11+1,1))-AVERAGE(OFFSET($H$3,0,0,'Données projet'!$E$11+1,1))</f>
        <v>316.58509520829671</v>
      </c>
      <c r="BJ86" s="59">
        <f t="shared" si="92"/>
        <v>240.71332110643596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0.88726833153373552</v>
      </c>
      <c r="BQ86" s="21">
        <f>EXP(-LN(2)/25)*BQ85+(1-EXP(-LN(2)/25))/(LN(2)/25)*Calculateur!BL86*Calculateur!BN86*VLOOKUP('Données projet'!$B$11,Paramètres!$A$1:$I$89,3,0)*0.475*44/12</f>
        <v>3.5123394047343917</v>
      </c>
      <c r="BR86" s="21">
        <f>EXP(-LN(2)/2)*BR85+(1-EXP(-LN(2)/2))/(LN(2)/2)*BL86*BO86*VLOOKUP('Données projet'!$B$11,Paramètres!$A$1:$I$89,3,0)*0.475*44/12</f>
        <v>2.3116854220144008E-7</v>
      </c>
      <c r="BS86" s="22">
        <f t="shared" si="63"/>
        <v>4.399607967436669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-5.1159076974727213E-13</v>
      </c>
      <c r="BZ86" s="13">
        <f>BY86*VLOOKUP('Données projet'!$B$12,Paramètres!$A$1:$I$89,3,0)*VLOOKUP('Données projet'!$B$12,Paramètres!$A$1:$I$89,5,0)</f>
        <v>-4.0702161641092972E-13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260.20517190557814</v>
      </c>
      <c r="CE86" s="59">
        <f t="shared" si="94"/>
        <v>307.22009971147133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1.1422742124889309</v>
      </c>
      <c r="CL86" s="21">
        <f>EXP(-LN(2)/25)*CL85+(1-EXP(-LN(2)/25))/(LN(2)/25)*Calculateur!CG86*Calculateur!CI86*VLOOKUP('Données projet'!$B$12,Paramètres!$A$1:$I$89,3,0)*0.475*44/12</f>
        <v>4.7204712557716837</v>
      </c>
      <c r="CM86" s="21">
        <f>EXP(-LN(2)/2)*CM85+(1-EXP(-LN(2)/2))/(LN(2)/2)*CG86*CJ86*VLOOKUP('Données projet'!$B$12,Paramètres!$A$1:$I$89,3,0)*0.475*44/12</f>
        <v>2.5329238374978851E-7</v>
      </c>
      <c r="CN86" s="22">
        <f t="shared" si="66"/>
        <v>5.8627457215529981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7.4950142450142483</v>
      </c>
      <c r="CT86" s="12">
        <f>IF('Données projet'!$A$140&gt;35,CT85+CS86-DB85,IF(A86&lt;'Données projet'!$A$140,$CQ$205^A86,IF(A86='Données projet'!$A$140,'Données projet'!$B$140,CT85+CS86-DB85)))</f>
        <v>250.88888888888891</v>
      </c>
      <c r="CU86" s="17">
        <f>CT86*VLOOKUP('Données projet'!$B$13,Paramètres!$A$1:$I$89,3,0)*VLOOKUP('Données projet'!$B$13,Paramètres!$A$1:$I$89,5,0)</f>
        <v>254.40133333333338</v>
      </c>
      <c r="CV86" s="13">
        <f t="shared" si="95"/>
        <v>61.527460718284551</v>
      </c>
      <c r="CW86" s="20">
        <f t="shared" si="67"/>
        <v>550.24264963990129</v>
      </c>
      <c r="CX86" s="59">
        <f t="shared" si="68"/>
        <v>843.57598297323466</v>
      </c>
      <c r="CY86" s="59">
        <f ca="1">AVERAGE(OFFSET($CX$3,0,0,'Données projet'!$E$13+1,1))-AVERAGE(OFFSET($H$3,0,0,'Données projet'!$E$13+1,1))</f>
        <v>263.15518481854753</v>
      </c>
      <c r="CZ86" s="59">
        <f t="shared" si="96"/>
        <v>210.80755370263819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0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4.7</v>
      </c>
      <c r="DO86" s="12">
        <f>IF('Données projet'!$A$166&gt;35,DO85+DN86-DW85,IF(A86&lt;'Données projet'!$A$166,$DL$205^A86,IF(A86='Données projet'!$A$166,'Données projet'!$B$166,DO85+DN86-DW85)))</f>
        <v>274.0999999999998</v>
      </c>
      <c r="DP86" s="17">
        <f>DO86*VLOOKUP('Données projet'!$B$14,Paramètres!$A$1:$I$89,3,0)*VLOOKUP('Données projet'!$B$14,Paramètres!$A$1:$I$89,5,0)</f>
        <v>222.34991999999986</v>
      </c>
      <c r="DQ86" s="13">
        <f t="shared" si="97"/>
        <v>54.625312967947693</v>
      </c>
      <c r="DR86" s="20">
        <f t="shared" si="70"/>
        <v>482.39853075250858</v>
      </c>
      <c r="DS86" s="59">
        <f t="shared" si="71"/>
        <v>775.73186408584183</v>
      </c>
      <c r="DT86" s="59">
        <f ca="1">AVERAGE(OFFSET($DS$3,0,0,'Données projet'!$E$14+1,1))-AVERAGE(OFFSET($H$3,0,0,'Données projet'!$E$14+1,1))</f>
        <v>203.21935660591021</v>
      </c>
      <c r="DU86" s="59">
        <f t="shared" si="98"/>
        <v>180.54762778843178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0.35097116229193176</v>
      </c>
      <c r="EB86" s="21">
        <f>EXP(-LN(2)/25)*EB85+(1-EXP(-LN(2)/25))/(LN(2)/25)*Calculateur!DW86*Calculateur!DY86*VLOOKUP('Données projet'!$B$14,Paramètres!$A$1:$I$89,3,0)*0.475*44/12</f>
        <v>1.3351234865953965</v>
      </c>
      <c r="EC86" s="21">
        <f>EXP(-LN(2)/2)*EC85+(1-EXP(-LN(2)/2))/(LN(2)/2)*DW86*DZ86*VLOOKUP('Données projet'!$B$14,Paramètres!$A$1:$I$89,3,0)*0.475*44/12</f>
        <v>9.5490897895619447E-8</v>
      </c>
      <c r="ED86" s="22">
        <f t="shared" si="72"/>
        <v>1.6860947443782262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-5.1159076974727213E-13</v>
      </c>
      <c r="EK86" s="17">
        <f>EJ86*VLOOKUP('Données projet'!$B$15,Paramètres!$A$1:$I$89,3,0)*VLOOKUP('Données projet'!$B$15,Paramètres!$A$1:$I$89,5,0)</f>
        <v>-3.4317508834647017E-13</v>
      </c>
      <c r="EL86" s="13" t="e">
        <f t="shared" si="99"/>
        <v>#NUM!</v>
      </c>
      <c r="EM86" s="20" t="e">
        <f t="shared" si="73"/>
        <v>#NUM!</v>
      </c>
      <c r="EN86" s="59" t="e">
        <f t="shared" si="74"/>
        <v>#NUM!</v>
      </c>
      <c r="EO86" s="59">
        <f ca="1">AVERAGE(OFFSET($EN$3,0,0,'Données projet'!$E$15+1,1))-AVERAGE(OFFSET($H$3,0,0,'Données projet'!$E$15+1,1))</f>
        <v>207.93042467236967</v>
      </c>
      <c r="EP86" s="59">
        <f t="shared" si="100"/>
        <v>250.70954318710835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0.96309394386321512</v>
      </c>
      <c r="EW86" s="21">
        <f>EXP(-LN(2)/25)*EW85+(1-EXP(-LN(2)/25))/(LN(2)/25)*Calculateur!ER86*Calculateur!ET86*VLOOKUP('Données projet'!$B$15,Paramètres!$A$1:$I$89,3,0)*0.475*44/12</f>
        <v>3.980005176434954</v>
      </c>
      <c r="EX86" s="21">
        <f>EXP(-LN(2)/2)*EX85+(1-EXP(-LN(2)/2))/(LN(2)/2)*ER86*EU86*VLOOKUP('Données projet'!$B$15,Paramètres!$A$1:$I$89,3,0)*0.475*44/12</f>
        <v>2.1356024512237069E-7</v>
      </c>
      <c r="EY86" s="22">
        <f t="shared" si="75"/>
        <v>4.9430993338584139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-2.2737367544323206E-13</v>
      </c>
      <c r="O87" s="13">
        <f>N87*VLOOKUP('Données projet'!$B$9,Paramètres!$A$1:$I$89,3,0)*VLOOKUP('Données projet'!$B$9,Paramètres!$A$1:$I$89,5,0)</f>
        <v>-1.2710188457276673E-13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255.5374979188561</v>
      </c>
      <c r="T87" s="59">
        <f t="shared" si="88"/>
        <v>343.10418468620901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1.060517748858008</v>
      </c>
      <c r="AA87" s="21">
        <f>EXP(-LN(2)/25)*AA86+(1-EXP(-LN(2)/25))/(LN(2)/25)*Calculateur!V87*Calculateur!X87*VLOOKUP('Données projet'!$B$9,Paramètres!$A$1:$I$89,3,0)*0.475*44/12</f>
        <v>3.5712080150242387</v>
      </c>
      <c r="AB87" s="21">
        <f>EXP(-LN(2)/2)*AB86+(1-EXP(-LN(2)/2))/(LN(2)/2)*V87*Y87*VLOOKUP('Données projet'!$B$9,Paramètres!$A$1:$I$89,3,0)*0.475*44/12</f>
        <v>1.2611240740523234E-8</v>
      </c>
      <c r="AC87" s="22">
        <f t="shared" si="57"/>
        <v>4.6317257764934876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12.124038461538468</v>
      </c>
      <c r="AI87" s="13">
        <f>IF('Données projet'!$A$62&gt;35,AI86+AH87-AQ86,IF(A87&lt;'Données projet'!$A$62,$AF$205^A87,IF(A87='Données projet'!$A$62,'Données projet'!$B$62,AI86+AH87-AQ86)))</f>
        <v>420.14326923076942</v>
      </c>
      <c r="AJ87" s="13">
        <f>AI87*VLOOKUP('Données projet'!$B$10,Paramètres!$A$1:$I$89,3,0)*VLOOKUP('Données projet'!$B$10,Paramètres!$A$1:$I$89,5,0)</f>
        <v>196.62705000000008</v>
      </c>
      <c r="AK87" s="13">
        <f t="shared" si="89"/>
        <v>49.002163217129386</v>
      </c>
      <c r="AL87" s="20">
        <f t="shared" si="58"/>
        <v>427.80421301983375</v>
      </c>
      <c r="AM87" s="59">
        <f t="shared" si="59"/>
        <v>721.13754635316707</v>
      </c>
      <c r="AN87" s="59">
        <f ca="1">AVERAGE(OFFSET($AM$3,0,0,'Données projet'!$E$10+1,1))-AVERAGE(OFFSET($H$3,0,0,'Données projet'!$E$10+1,1))</f>
        <v>158.58786357608489</v>
      </c>
      <c r="AO87" s="59">
        <f t="shared" si="90"/>
        <v>163.20074068819849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12.5</v>
      </c>
      <c r="BD87" s="12">
        <f>IF('Données projet'!$A$88&gt;35,BD86+BC87-BL86,IF(A87&lt;'Données projet'!$A$88,$BA$205^A87,IF(A87='Données projet'!$A$88,'Données projet'!$B$88,BD86+BC87-BL86)))</f>
        <v>561.99999999999955</v>
      </c>
      <c r="BE87" s="13">
        <f>BD87*VLOOKUP('Données projet'!$B$11,Paramètres!$A$1:$I$89,3,0)*VLOOKUP('Données projet'!$B$11,Paramètres!$A$1:$I$89,5,0)</f>
        <v>336.07599999999979</v>
      </c>
      <c r="BF87" s="13">
        <f t="shared" si="91"/>
        <v>78.688676264452241</v>
      </c>
      <c r="BG87" s="20">
        <f t="shared" si="61"/>
        <v>722.38181116058729</v>
      </c>
      <c r="BH87" s="59">
        <f t="shared" si="62"/>
        <v>1015.7151444939207</v>
      </c>
      <c r="BI87" s="59">
        <f ca="1">AVERAGE(OFFSET($BH$3,0,0,'Données projet'!$E$11+1,1))-AVERAGE(OFFSET($H$3,0,0,'Données projet'!$E$11+1,1))</f>
        <v>316.58509520829671</v>
      </c>
      <c r="BJ87" s="59">
        <f t="shared" si="92"/>
        <v>240.71332110643596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0.86986954073260414</v>
      </c>
      <c r="BQ87" s="21">
        <f>EXP(-LN(2)/25)*BQ86+(1-EXP(-LN(2)/25))/(LN(2)/25)*Calculateur!BL87*Calculateur!BN87*VLOOKUP('Données projet'!$B$11,Paramètres!$A$1:$I$89,3,0)*0.475*44/12</f>
        <v>3.4162942990060281</v>
      </c>
      <c r="BR87" s="21">
        <f>EXP(-LN(2)/2)*BR86+(1-EXP(-LN(2)/2))/(LN(2)/2)*BL87*BO87*VLOOKUP('Données projet'!$B$11,Paramètres!$A$1:$I$89,3,0)*0.475*44/12</f>
        <v>1.6346084378764688E-7</v>
      </c>
      <c r="BS87" s="22">
        <f t="shared" si="63"/>
        <v>4.2861640031994765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-5.1159076974727213E-13</v>
      </c>
      <c r="BZ87" s="13">
        <f>BY87*VLOOKUP('Données projet'!$B$12,Paramètres!$A$1:$I$89,3,0)*VLOOKUP('Données projet'!$B$12,Paramètres!$A$1:$I$89,5,0)</f>
        <v>-4.0702161641092972E-13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260.20517190557814</v>
      </c>
      <c r="CE87" s="59">
        <f t="shared" si="94"/>
        <v>307.22009971147133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1.1198749119004974</v>
      </c>
      <c r="CL87" s="21">
        <f>EXP(-LN(2)/25)*CL86+(1-EXP(-LN(2)/25))/(LN(2)/25)*Calculateur!CG87*Calculateur!CI87*VLOOKUP('Données projet'!$B$12,Paramètres!$A$1:$I$89,3,0)*0.475*44/12</f>
        <v>4.5913897210438126</v>
      </c>
      <c r="CM87" s="21">
        <f>EXP(-LN(2)/2)*CM86+(1-EXP(-LN(2)/2))/(LN(2)/2)*CG87*CJ87*VLOOKUP('Données projet'!$B$12,Paramètres!$A$1:$I$89,3,0)*0.475*44/12</f>
        <v>1.7910476217238073E-7</v>
      </c>
      <c r="CN87" s="22">
        <f t="shared" si="66"/>
        <v>5.7112648120490723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7.4950142450142483</v>
      </c>
      <c r="CT87" s="12">
        <f>IF('Données projet'!$A$140&gt;35,CT86+CS87-DB86,IF(A87&lt;'Données projet'!$A$140,$CQ$205^A87,IF(A87='Données projet'!$A$140,'Données projet'!$B$140,CT86+CS87-DB86)))</f>
        <v>258.38390313390317</v>
      </c>
      <c r="CU87" s="17">
        <f>CT87*VLOOKUP('Données projet'!$B$13,Paramètres!$A$1:$I$89,3,0)*VLOOKUP('Données projet'!$B$13,Paramètres!$A$1:$I$89,5,0)</f>
        <v>262.00127777777783</v>
      </c>
      <c r="CV87" s="13">
        <f t="shared" si="95"/>
        <v>63.148778946325088</v>
      </c>
      <c r="CW87" s="20">
        <f t="shared" si="67"/>
        <v>566.30301546114595</v>
      </c>
      <c r="CX87" s="59">
        <f t="shared" si="68"/>
        <v>859.63634879447932</v>
      </c>
      <c r="CY87" s="59">
        <f ca="1">AVERAGE(OFFSET($CX$3,0,0,'Données projet'!$E$13+1,1))-AVERAGE(OFFSET($H$3,0,0,'Données projet'!$E$13+1,1))</f>
        <v>263.15518481854753</v>
      </c>
      <c r="CZ87" s="59">
        <f t="shared" si="96"/>
        <v>210.80755370263819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0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4.7</v>
      </c>
      <c r="DO87" s="12">
        <f>IF('Données projet'!$A$166&gt;35,DO86+DN87-DW86,IF(A87&lt;'Données projet'!$A$166,$DL$205^A87,IF(A87='Données projet'!$A$166,'Données projet'!$B$166,DO86+DN87-DW86)))</f>
        <v>278.79999999999978</v>
      </c>
      <c r="DP87" s="17">
        <f>DO87*VLOOKUP('Données projet'!$B$14,Paramètres!$A$1:$I$89,3,0)*VLOOKUP('Données projet'!$B$14,Paramètres!$A$1:$I$89,5,0)</f>
        <v>226.16255999999984</v>
      </c>
      <c r="DQ87" s="13">
        <f t="shared" si="97"/>
        <v>55.452126522419213</v>
      </c>
      <c r="DR87" s="20">
        <f t="shared" si="70"/>
        <v>490.47891235987981</v>
      </c>
      <c r="DS87" s="59">
        <f t="shared" si="71"/>
        <v>783.81224569321307</v>
      </c>
      <c r="DT87" s="59">
        <f ca="1">AVERAGE(OFFSET($DS$3,0,0,'Données projet'!$E$14+1,1))-AVERAGE(OFFSET($H$3,0,0,'Données projet'!$E$14+1,1))</f>
        <v>203.21935660591021</v>
      </c>
      <c r="DU87" s="59">
        <f t="shared" si="98"/>
        <v>180.54762778843178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0.3440888318706582</v>
      </c>
      <c r="EB87" s="21">
        <f>EXP(-LN(2)/25)*EB86+(1-EXP(-LN(2)/25))/(LN(2)/25)*Calculateur!DW87*Calculateur!DY87*VLOOKUP('Données projet'!$B$14,Paramètres!$A$1:$I$89,3,0)*0.475*44/12</f>
        <v>1.2986144646433526</v>
      </c>
      <c r="EC87" s="21">
        <f>EXP(-LN(2)/2)*EC86+(1-EXP(-LN(2)/2))/(LN(2)/2)*DW87*DZ87*VLOOKUP('Données projet'!$B$14,Paramètres!$A$1:$I$89,3,0)*0.475*44/12</f>
        <v>6.752226144358473E-8</v>
      </c>
      <c r="ED87" s="22">
        <f t="shared" si="72"/>
        <v>1.642703364036272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-5.1159076974727213E-13</v>
      </c>
      <c r="EK87" s="17">
        <f>EJ87*VLOOKUP('Données projet'!$B$15,Paramètres!$A$1:$I$89,3,0)*VLOOKUP('Données projet'!$B$15,Paramètres!$A$1:$I$89,5,0)</f>
        <v>-3.4317508834647017E-13</v>
      </c>
      <c r="EL87" s="13" t="e">
        <f t="shared" si="99"/>
        <v>#NUM!</v>
      </c>
      <c r="EM87" s="20" t="e">
        <f t="shared" si="73"/>
        <v>#NUM!</v>
      </c>
      <c r="EN87" s="59" t="e">
        <f t="shared" si="74"/>
        <v>#NUM!</v>
      </c>
      <c r="EO87" s="59">
        <f ca="1">AVERAGE(OFFSET($EN$3,0,0,'Données projet'!$E$15+1,1))-AVERAGE(OFFSET($H$3,0,0,'Données projet'!$E$15+1,1))</f>
        <v>207.93042467236967</v>
      </c>
      <c r="EP87" s="59">
        <f t="shared" si="100"/>
        <v>250.70954318710835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0.94420825905335937</v>
      </c>
      <c r="EW87" s="21">
        <f>EXP(-LN(2)/25)*EW86+(1-EXP(-LN(2)/25))/(LN(2)/25)*Calculateur!ER87*Calculateur!ET87*VLOOKUP('Données projet'!$B$15,Paramètres!$A$1:$I$89,3,0)*0.475*44/12</f>
        <v>3.8711717255859646</v>
      </c>
      <c r="EX87" s="21">
        <f>EXP(-LN(2)/2)*EX86+(1-EXP(-LN(2)/2))/(LN(2)/2)*ER87*EU87*VLOOKUP('Données projet'!$B$15,Paramètres!$A$1:$I$89,3,0)*0.475*44/12</f>
        <v>1.5100989751788963E-7</v>
      </c>
      <c r="EY87" s="22">
        <f t="shared" si="75"/>
        <v>4.8153801356492218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-2.2737367544323206E-13</v>
      </c>
      <c r="O88" s="13">
        <f>N88*VLOOKUP('Données projet'!$B$9,Paramètres!$A$1:$I$89,3,0)*VLOOKUP('Données projet'!$B$9,Paramètres!$A$1:$I$89,5,0)</f>
        <v>-1.2710188457276673E-13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255.5374979188561</v>
      </c>
      <c r="T88" s="59">
        <f t="shared" si="88"/>
        <v>343.10418468620901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1.0397216426548579</v>
      </c>
      <c r="AA88" s="21">
        <f>EXP(-LN(2)/25)*AA87+(1-EXP(-LN(2)/25))/(LN(2)/25)*Calculateur!V88*Calculateur!X88*VLOOKUP('Données projet'!$B$9,Paramètres!$A$1:$I$89,3,0)*0.475*44/12</f>
        <v>3.4735531440517335</v>
      </c>
      <c r="AB88" s="21">
        <f>EXP(-LN(2)/2)*AB87+(1-EXP(-LN(2)/2))/(LN(2)/2)*V88*Y88*VLOOKUP('Données projet'!$B$9,Paramètres!$A$1:$I$89,3,0)*0.475*44/12</f>
        <v>8.9174938468000361E-9</v>
      </c>
      <c r="AC88" s="22">
        <f t="shared" si="57"/>
        <v>4.5132747956240848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12.124038461538468</v>
      </c>
      <c r="AI88" s="13">
        <f>IF('Données projet'!$A$62&gt;35,AI87+AH88-AQ87,IF(A88&lt;'Données projet'!$A$62,$AF$205^A88,IF(A88='Données projet'!$A$62,'Données projet'!$B$62,AI87+AH88-AQ87)))</f>
        <v>432.2673076923079</v>
      </c>
      <c r="AJ88" s="13">
        <f>AI88*VLOOKUP('Données projet'!$B$10,Paramètres!$A$1:$I$89,3,0)*VLOOKUP('Données projet'!$B$10,Paramètres!$A$1:$I$89,5,0)</f>
        <v>202.3011000000001</v>
      </c>
      <c r="AK88" s="13">
        <f t="shared" si="89"/>
        <v>50.249542664134772</v>
      </c>
      <c r="AL88" s="20">
        <f t="shared" si="58"/>
        <v>439.85903597336824</v>
      </c>
      <c r="AM88" s="59">
        <f t="shared" si="59"/>
        <v>733.19236930670149</v>
      </c>
      <c r="AN88" s="59">
        <f ca="1">AVERAGE(OFFSET($AM$3,0,0,'Données projet'!$E$10+1,1))-AVERAGE(OFFSET($H$3,0,0,'Données projet'!$E$10+1,1))</f>
        <v>158.58786357608489</v>
      </c>
      <c r="AO88" s="59">
        <f t="shared" si="90"/>
        <v>163.20074068819849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12.5</v>
      </c>
      <c r="BD88" s="12">
        <f>IF('Données projet'!$A$88&gt;35,BD87+BC88-BL87,IF(A88&lt;'Données projet'!$A$88,$BA$205^A88,IF(A88='Données projet'!$A$88,'Données projet'!$B$88,BD87+BC88-BL87)))</f>
        <v>574.49999999999955</v>
      </c>
      <c r="BE88" s="13">
        <f>BD88*VLOOKUP('Données projet'!$B$11,Paramètres!$A$1:$I$89,3,0)*VLOOKUP('Données projet'!$B$11,Paramètres!$A$1:$I$89,5,0)</f>
        <v>343.55099999999976</v>
      </c>
      <c r="BF88" s="13">
        <f t="shared" si="91"/>
        <v>80.233161275191421</v>
      </c>
      <c r="BG88" s="20">
        <f t="shared" si="61"/>
        <v>738.09074755429128</v>
      </c>
      <c r="BH88" s="59">
        <f t="shared" si="62"/>
        <v>1031.4240808876245</v>
      </c>
      <c r="BI88" s="59">
        <f ca="1">AVERAGE(OFFSET($BH$3,0,0,'Données projet'!$E$11+1,1))-AVERAGE(OFFSET($H$3,0,0,'Données projet'!$E$11+1,1))</f>
        <v>316.58509520829671</v>
      </c>
      <c r="BJ88" s="59">
        <f t="shared" si="92"/>
        <v>240.71332110643596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0.85281192960686836</v>
      </c>
      <c r="BQ88" s="21">
        <f>EXP(-LN(2)/25)*BQ87+(1-EXP(-LN(2)/25))/(LN(2)/25)*Calculateur!BL88*Calculateur!BN88*VLOOKUP('Données projet'!$B$11,Paramètres!$A$1:$I$89,3,0)*0.475*44/12</f>
        <v>3.3228755517445991</v>
      </c>
      <c r="BR88" s="21">
        <f>EXP(-LN(2)/2)*BR87+(1-EXP(-LN(2)/2))/(LN(2)/2)*BL88*BO88*VLOOKUP('Données projet'!$B$11,Paramètres!$A$1:$I$89,3,0)*0.475*44/12</f>
        <v>1.1558427110072005E-7</v>
      </c>
      <c r="BS88" s="22">
        <f t="shared" si="63"/>
        <v>4.1756875969357381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-5.1159076974727213E-13</v>
      </c>
      <c r="BZ88" s="13">
        <f>BY88*VLOOKUP('Données projet'!$B$12,Paramètres!$A$1:$I$89,3,0)*VLOOKUP('Données projet'!$B$12,Paramètres!$A$1:$I$89,5,0)</f>
        <v>-4.0702161641092972E-13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260.20517190557814</v>
      </c>
      <c r="CE88" s="59">
        <f t="shared" si="94"/>
        <v>307.22009971147133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1.0979148479343788</v>
      </c>
      <c r="CL88" s="21">
        <f>EXP(-LN(2)/25)*CL87+(1-EXP(-LN(2)/25))/(LN(2)/25)*Calculateur!CG88*Calculateur!CI88*VLOOKUP('Données projet'!$B$12,Paramètres!$A$1:$I$89,3,0)*0.475*44/12</f>
        <v>4.4658379276711777</v>
      </c>
      <c r="CM88" s="21">
        <f>EXP(-LN(2)/2)*CM87+(1-EXP(-LN(2)/2))/(LN(2)/2)*CG88*CJ88*VLOOKUP('Données projet'!$B$12,Paramètres!$A$1:$I$89,3,0)*0.475*44/12</f>
        <v>1.2664619187489426E-7</v>
      </c>
      <c r="CN88" s="22">
        <f t="shared" si="66"/>
        <v>5.5637529022517489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7.4950142450142483</v>
      </c>
      <c r="CT88" s="12">
        <f>IF('Données projet'!$A$140&gt;35,CT87+CS88-DB87,IF(A88&lt;'Données projet'!$A$140,$CQ$205^A88,IF(A88='Données projet'!$A$140,'Données projet'!$B$140,CT87+CS88-DB87)))</f>
        <v>265.87891737891744</v>
      </c>
      <c r="CU88" s="17">
        <f>CT88*VLOOKUP('Données projet'!$B$13,Paramètres!$A$1:$I$89,3,0)*VLOOKUP('Données projet'!$B$13,Paramètres!$A$1:$I$89,5,0)</f>
        <v>269.6012222222223</v>
      </c>
      <c r="CV88" s="13">
        <f t="shared" si="95"/>
        <v>64.76463130016576</v>
      </c>
      <c r="CW88" s="20">
        <f t="shared" si="67"/>
        <v>582.35386155149251</v>
      </c>
      <c r="CX88" s="59">
        <f t="shared" si="68"/>
        <v>875.68719488482589</v>
      </c>
      <c r="CY88" s="59">
        <f ca="1">AVERAGE(OFFSET($CX$3,0,0,'Données projet'!$E$13+1,1))-AVERAGE(OFFSET($H$3,0,0,'Données projet'!$E$13+1,1))</f>
        <v>263.15518481854753</v>
      </c>
      <c r="CZ88" s="59">
        <f t="shared" si="96"/>
        <v>210.80755370263819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0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4.7</v>
      </c>
      <c r="DO88" s="12">
        <f>IF('Données projet'!$A$166&gt;35,DO87+DN88-DW87,IF(A88&lt;'Données projet'!$A$166,$DL$205^A88,IF(A88='Données projet'!$A$166,'Données projet'!$B$166,DO87+DN88-DW87)))</f>
        <v>283.49999999999977</v>
      </c>
      <c r="DP88" s="17">
        <f>DO88*VLOOKUP('Données projet'!$B$14,Paramètres!$A$1:$I$89,3,0)*VLOOKUP('Données projet'!$B$14,Paramètres!$A$1:$I$89,5,0)</f>
        <v>229.9751999999998</v>
      </c>
      <c r="DQ88" s="13">
        <f t="shared" si="97"/>
        <v>56.277319157664266</v>
      </c>
      <c r="DR88" s="20">
        <f t="shared" si="70"/>
        <v>498.55647086626499</v>
      </c>
      <c r="DS88" s="59">
        <f t="shared" si="71"/>
        <v>791.8898041995983</v>
      </c>
      <c r="DT88" s="59">
        <f ca="1">AVERAGE(OFFSET($DS$3,0,0,'Données projet'!$E$14+1,1))-AVERAGE(OFFSET($H$3,0,0,'Données projet'!$E$14+1,1))</f>
        <v>203.21935660591021</v>
      </c>
      <c r="DU88" s="59">
        <f t="shared" si="98"/>
        <v>180.54762778843178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0.33734145975113877</v>
      </c>
      <c r="EB88" s="21">
        <f>EXP(-LN(2)/25)*EB87+(1-EXP(-LN(2)/25))/(LN(2)/25)*Calculateur!DW88*Calculateur!DY88*VLOOKUP('Données projet'!$B$14,Paramètres!$A$1:$I$89,3,0)*0.475*44/12</f>
        <v>1.2631037838165136</v>
      </c>
      <c r="EC88" s="21">
        <f>EXP(-LN(2)/2)*EC87+(1-EXP(-LN(2)/2))/(LN(2)/2)*DW88*DZ88*VLOOKUP('Données projet'!$B$14,Paramètres!$A$1:$I$89,3,0)*0.475*44/12</f>
        <v>4.7745448947809723E-8</v>
      </c>
      <c r="ED88" s="22">
        <f t="shared" si="72"/>
        <v>1.6004452913131013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-5.1159076974727213E-13</v>
      </c>
      <c r="EK88" s="17">
        <f>EJ88*VLOOKUP('Données projet'!$B$15,Paramètres!$A$1:$I$89,3,0)*VLOOKUP('Données projet'!$B$15,Paramètres!$A$1:$I$89,5,0)</f>
        <v>-3.4317508834647017E-13</v>
      </c>
      <c r="EL88" s="13" t="e">
        <f t="shared" si="99"/>
        <v>#NUM!</v>
      </c>
      <c r="EM88" s="20" t="e">
        <f t="shared" si="73"/>
        <v>#NUM!</v>
      </c>
      <c r="EN88" s="59" t="e">
        <f t="shared" si="74"/>
        <v>#NUM!</v>
      </c>
      <c r="EO88" s="59">
        <f ca="1">AVERAGE(OFFSET($EN$3,0,0,'Données projet'!$E$15+1,1))-AVERAGE(OFFSET($H$3,0,0,'Données projet'!$E$15+1,1))</f>
        <v>207.93042467236967</v>
      </c>
      <c r="EP88" s="59">
        <f t="shared" si="100"/>
        <v>250.70954318710835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0.9256929110034946</v>
      </c>
      <c r="EW88" s="21">
        <f>EXP(-LN(2)/25)*EW87+(1-EXP(-LN(2)/25))/(LN(2)/25)*Calculateur!ER88*Calculateur!ET88*VLOOKUP('Données projet'!$B$15,Paramètres!$A$1:$I$89,3,0)*0.475*44/12</f>
        <v>3.7653143311737431</v>
      </c>
      <c r="EX88" s="21">
        <f>EXP(-LN(2)/2)*EX87+(1-EXP(-LN(2)/2))/(LN(2)/2)*ER88*EU88*VLOOKUP('Données projet'!$B$15,Paramètres!$A$1:$I$89,3,0)*0.475*44/12</f>
        <v>1.0678012256118535E-7</v>
      </c>
      <c r="EY88" s="22">
        <f t="shared" si="75"/>
        <v>4.6910073489573598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-2.2737367544323206E-13</v>
      </c>
      <c r="O89" s="13">
        <f>N89*VLOOKUP('Données projet'!$B$9,Paramètres!$A$1:$I$89,3,0)*VLOOKUP('Données projet'!$B$9,Paramètres!$A$1:$I$89,5,0)</f>
        <v>-1.2710188457276673E-13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255.5374979188561</v>
      </c>
      <c r="T89" s="59">
        <f t="shared" si="88"/>
        <v>343.10418468620901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1.0193333354099794</v>
      </c>
      <c r="AA89" s="21">
        <f>EXP(-LN(2)/25)*AA88+(1-EXP(-LN(2)/25))/(LN(2)/25)*Calculateur!V89*Calculateur!X89*VLOOKUP('Données projet'!$B$9,Paramètres!$A$1:$I$89,3,0)*0.475*44/12</f>
        <v>3.3785686506614181</v>
      </c>
      <c r="AB89" s="21">
        <f>EXP(-LN(2)/2)*AB88+(1-EXP(-LN(2)/2))/(LN(2)/2)*V89*Y89*VLOOKUP('Données projet'!$B$9,Paramètres!$A$1:$I$89,3,0)*0.475*44/12</f>
        <v>6.3056203702616171E-9</v>
      </c>
      <c r="AC89" s="22">
        <f t="shared" si="57"/>
        <v>4.397901992377018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12.124038461538468</v>
      </c>
      <c r="AI89" s="13">
        <f>IF('Données projet'!$A$62&gt;35,AI88+AH89-AQ88,IF(A89&lt;'Données projet'!$A$62,$AF$205^A89,IF(A89='Données projet'!$A$62,'Données projet'!$B$62,AI88+AH89-AQ88)))</f>
        <v>444.39134615384637</v>
      </c>
      <c r="AJ89" s="13">
        <f>AI89*VLOOKUP('Données projet'!$B$10,Paramètres!$A$1:$I$89,3,0)*VLOOKUP('Données projet'!$B$10,Paramètres!$A$1:$I$89,5,0)</f>
        <v>207.9751500000001</v>
      </c>
      <c r="AK89" s="13">
        <f t="shared" si="89"/>
        <v>51.492855825196166</v>
      </c>
      <c r="AL89" s="20">
        <f t="shared" si="58"/>
        <v>451.90677681221678</v>
      </c>
      <c r="AM89" s="59">
        <f t="shared" si="59"/>
        <v>745.24011014555003</v>
      </c>
      <c r="AN89" s="59">
        <f ca="1">AVERAGE(OFFSET($AM$3,0,0,'Données projet'!$E$10+1,1))-AVERAGE(OFFSET($H$3,0,0,'Données projet'!$E$10+1,1))</f>
        <v>158.58786357608489</v>
      </c>
      <c r="AO89" s="59">
        <f t="shared" si="90"/>
        <v>163.20074068819849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12.5</v>
      </c>
      <c r="BD89" s="12">
        <f>IF('Données projet'!$A$88&gt;35,BD88+BC89-BL88,IF(A89&lt;'Données projet'!$A$88,$BA$205^A89,IF(A89='Données projet'!$A$88,'Données projet'!$B$88,BD88+BC89-BL88)))</f>
        <v>586.99999999999955</v>
      </c>
      <c r="BE89" s="13">
        <f>BD89*VLOOKUP('Données projet'!$B$11,Paramètres!$A$1:$I$89,3,0)*VLOOKUP('Données projet'!$B$11,Paramètres!$A$1:$I$89,5,0)</f>
        <v>351.02599999999978</v>
      </c>
      <c r="BF89" s="13">
        <f t="shared" si="91"/>
        <v>81.773739289271361</v>
      </c>
      <c r="BG89" s="20">
        <f t="shared" si="61"/>
        <v>753.79287926214727</v>
      </c>
      <c r="BH89" s="59">
        <f t="shared" si="62"/>
        <v>1047.1262125954806</v>
      </c>
      <c r="BI89" s="59">
        <f ca="1">AVERAGE(OFFSET($BH$3,0,0,'Données projet'!$E$11+1,1))-AVERAGE(OFFSET($H$3,0,0,'Données projet'!$E$11+1,1))</f>
        <v>316.58509520829671</v>
      </c>
      <c r="BJ89" s="59">
        <f t="shared" si="92"/>
        <v>240.71332110643596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0.83608880783119277</v>
      </c>
      <c r="BQ89" s="21">
        <f>EXP(-LN(2)/25)*BQ88+(1-EXP(-LN(2)/25))/(LN(2)/25)*Calculateur!BL89*Calculateur!BN89*VLOOKUP('Données projet'!$B$11,Paramètres!$A$1:$I$89,3,0)*0.475*44/12</f>
        <v>3.2320113450397123</v>
      </c>
      <c r="BR89" s="21">
        <f>EXP(-LN(2)/2)*BR88+(1-EXP(-LN(2)/2))/(LN(2)/2)*BL89*BO89*VLOOKUP('Données projet'!$B$11,Paramètres!$A$1:$I$89,3,0)*0.475*44/12</f>
        <v>8.1730421893823454E-8</v>
      </c>
      <c r="BS89" s="22">
        <f t="shared" si="63"/>
        <v>4.0681002346013262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-5.1159076974727213E-13</v>
      </c>
      <c r="BZ89" s="13">
        <f>BY89*VLOOKUP('Données projet'!$B$12,Paramètres!$A$1:$I$89,3,0)*VLOOKUP('Données projet'!$B$12,Paramètres!$A$1:$I$89,5,0)</f>
        <v>-4.0702161641092972E-13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260.20517190557814</v>
      </c>
      <c r="CE89" s="59">
        <f t="shared" si="94"/>
        <v>307.22009971147133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1.0763854074283192</v>
      </c>
      <c r="CL89" s="21">
        <f>EXP(-LN(2)/25)*CL88+(1-EXP(-LN(2)/25))/(LN(2)/25)*Calculateur!CG89*Calculateur!CI89*VLOOKUP('Données projet'!$B$12,Paramètres!$A$1:$I$89,3,0)*0.475*44/12</f>
        <v>4.3437193546907995</v>
      </c>
      <c r="CM89" s="21">
        <f>EXP(-LN(2)/2)*CM88+(1-EXP(-LN(2)/2))/(LN(2)/2)*CG89*CJ89*VLOOKUP('Données projet'!$B$12,Paramètres!$A$1:$I$89,3,0)*0.475*44/12</f>
        <v>8.9552381086190366E-8</v>
      </c>
      <c r="CN89" s="22">
        <f t="shared" si="66"/>
        <v>5.4201048516714998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7.4950142450142483</v>
      </c>
      <c r="CT89" s="12">
        <f>IF('Données projet'!$A$140&gt;35,CT88+CS89-DB88,IF(A89&lt;'Données projet'!$A$140,$CQ$205^A89,IF(A89='Données projet'!$A$140,'Données projet'!$B$140,CT88+CS89-DB88)))</f>
        <v>273.3739316239317</v>
      </c>
      <c r="CU89" s="17">
        <f>CT89*VLOOKUP('Données projet'!$B$13,Paramètres!$A$1:$I$89,3,0)*VLOOKUP('Données projet'!$B$13,Paramètres!$A$1:$I$89,5,0)</f>
        <v>277.20116666666678</v>
      </c>
      <c r="CV89" s="13">
        <f t="shared" si="95"/>
        <v>66.375189559669764</v>
      </c>
      <c r="CW89" s="20">
        <f t="shared" si="67"/>
        <v>598.39548709420285</v>
      </c>
      <c r="CX89" s="59">
        <f t="shared" si="68"/>
        <v>891.72882042753622</v>
      </c>
      <c r="CY89" s="59">
        <f ca="1">AVERAGE(OFFSET($CX$3,0,0,'Données projet'!$E$13+1,1))-AVERAGE(OFFSET($H$3,0,0,'Données projet'!$E$13+1,1))</f>
        <v>263.15518481854753</v>
      </c>
      <c r="CZ89" s="59">
        <f t="shared" si="96"/>
        <v>210.80755370263819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0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4.7</v>
      </c>
      <c r="DO89" s="12">
        <f>IF('Données projet'!$A$166&gt;35,DO88+DN89-DW88,IF(A89&lt;'Données projet'!$A$166,$DL$205^A89,IF(A89='Données projet'!$A$166,'Données projet'!$B$166,DO88+DN89-DW88)))</f>
        <v>288.19999999999976</v>
      </c>
      <c r="DP89" s="17">
        <f>DO89*VLOOKUP('Données projet'!$B$14,Paramètres!$A$1:$I$89,3,0)*VLOOKUP('Données projet'!$B$14,Paramètres!$A$1:$I$89,5,0)</f>
        <v>233.78783999999985</v>
      </c>
      <c r="DQ89" s="13">
        <f t="shared" si="97"/>
        <v>57.100920847849451</v>
      </c>
      <c r="DR89" s="20">
        <f t="shared" si="70"/>
        <v>506.63125847667089</v>
      </c>
      <c r="DS89" s="59">
        <f t="shared" si="71"/>
        <v>799.96459181000421</v>
      </c>
      <c r="DT89" s="59">
        <f ca="1">AVERAGE(OFFSET($DS$3,0,0,'Données projet'!$E$14+1,1))-AVERAGE(OFFSET($H$3,0,0,'Données projet'!$E$14+1,1))</f>
        <v>203.21935660591021</v>
      </c>
      <c r="DU89" s="59">
        <f t="shared" si="98"/>
        <v>180.54762778843178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0.3307263994833925</v>
      </c>
      <c r="EB89" s="21">
        <f>EXP(-LN(2)/25)*EB88+(1-EXP(-LN(2)/25))/(LN(2)/25)*Calculateur!DW89*Calculateur!DY89*VLOOKUP('Données projet'!$B$14,Paramètres!$A$1:$I$89,3,0)*0.475*44/12</f>
        <v>1.2285641444243098</v>
      </c>
      <c r="EC89" s="21">
        <f>EXP(-LN(2)/2)*EC88+(1-EXP(-LN(2)/2))/(LN(2)/2)*DW89*DZ89*VLOOKUP('Données projet'!$B$14,Paramètres!$A$1:$I$89,3,0)*0.475*44/12</f>
        <v>3.3761130721792365E-8</v>
      </c>
      <c r="ED89" s="22">
        <f t="shared" si="72"/>
        <v>1.5592905776688331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-5.1159076974727213E-13</v>
      </c>
      <c r="EK89" s="17">
        <f>EJ89*VLOOKUP('Données projet'!$B$15,Paramètres!$A$1:$I$89,3,0)*VLOOKUP('Données projet'!$B$15,Paramètres!$A$1:$I$89,5,0)</f>
        <v>-3.4317508834647017E-13</v>
      </c>
      <c r="EL89" s="13" t="e">
        <f t="shared" si="99"/>
        <v>#NUM!</v>
      </c>
      <c r="EM89" s="20" t="e">
        <f t="shared" si="73"/>
        <v>#NUM!</v>
      </c>
      <c r="EN89" s="59" t="e">
        <f t="shared" si="74"/>
        <v>#NUM!</v>
      </c>
      <c r="EO89" s="59">
        <f ca="1">AVERAGE(OFFSET($EN$3,0,0,'Données projet'!$E$15+1,1))-AVERAGE(OFFSET($H$3,0,0,'Données projet'!$E$15+1,1))</f>
        <v>207.93042467236967</v>
      </c>
      <c r="EP89" s="59">
        <f t="shared" si="100"/>
        <v>250.70954318710835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0.90754063763564052</v>
      </c>
      <c r="EW89" s="21">
        <f>EXP(-LN(2)/25)*EW88+(1-EXP(-LN(2)/25))/(LN(2)/25)*Calculateur!ER89*Calculateur!ET89*VLOOKUP('Données projet'!$B$15,Paramètres!$A$1:$I$89,3,0)*0.475*44/12</f>
        <v>3.6623516127785223</v>
      </c>
      <c r="EX89" s="21">
        <f>EXP(-LN(2)/2)*EX88+(1-EXP(-LN(2)/2))/(LN(2)/2)*ER89*EU89*VLOOKUP('Données projet'!$B$15,Paramètres!$A$1:$I$89,3,0)*0.475*44/12</f>
        <v>7.5504948758944813E-8</v>
      </c>
      <c r="EY89" s="22">
        <f t="shared" si="75"/>
        <v>4.5698923259191115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-2.2737367544323206E-13</v>
      </c>
      <c r="O90" s="13">
        <f>N90*VLOOKUP('Données projet'!$B$9,Paramètres!$A$1:$I$89,3,0)*VLOOKUP('Données projet'!$B$9,Paramètres!$A$1:$I$89,5,0)</f>
        <v>-1.2710188457276673E-13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255.5374979188561</v>
      </c>
      <c r="T90" s="59">
        <f t="shared" si="88"/>
        <v>343.10418468620901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0.99934483043453337</v>
      </c>
      <c r="AA90" s="21">
        <f>EXP(-LN(2)/25)*AA89+(1-EXP(-LN(2)/25))/(LN(2)/25)*Calculateur!V90*Calculateur!X90*VLOOKUP('Données projet'!$B$9,Paramètres!$A$1:$I$89,3,0)*0.475*44/12</f>
        <v>3.286181513237878</v>
      </c>
      <c r="AB90" s="21">
        <f>EXP(-LN(2)/2)*AB89+(1-EXP(-LN(2)/2))/(LN(2)/2)*V90*Y90*VLOOKUP('Données projet'!$B$9,Paramètres!$A$1:$I$89,3,0)*0.475*44/12</f>
        <v>4.458746923400018E-9</v>
      </c>
      <c r="AC90" s="22">
        <f t="shared" si="57"/>
        <v>4.2855263481311585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>
        <f>VLOOKUP(A90,'Données projet'!$A$61:$I$81,2,0)</f>
        <v>456.51538461538462</v>
      </c>
      <c r="AG90" s="12">
        <f>VLOOKUP(A90,'Données projet'!$A$61:$I$81,9,0)</f>
        <v>12.124038461538468</v>
      </c>
      <c r="AH90" s="12">
        <f t="array" ref="AH90">INDEX(AG:AG,MIN(IF(ISNUMBER(AG90:AG286),ROW(AG90:AG286),"")))</f>
        <v>12.124038461538468</v>
      </c>
      <c r="AI90" s="13">
        <f>IF('Données projet'!$A$62&gt;35,AI89+AH90-AQ89,IF(A90&lt;'Données projet'!$A$62,$AF$205^A90,IF(A90='Données projet'!$A$62,'Données projet'!$B$62,AI89+AH90-AQ89)))</f>
        <v>456.51538461538485</v>
      </c>
      <c r="AJ90" s="13">
        <f>AI90*VLOOKUP('Données projet'!$B$10,Paramètres!$A$1:$I$89,3,0)*VLOOKUP('Données projet'!$B$10,Paramètres!$A$1:$I$89,5,0)</f>
        <v>213.64920000000012</v>
      </c>
      <c r="AK90" s="13">
        <f t="shared" si="89"/>
        <v>52.732226385923781</v>
      </c>
      <c r="AL90" s="20">
        <f t="shared" si="58"/>
        <v>463.94765095548405</v>
      </c>
      <c r="AM90" s="59">
        <f t="shared" si="59"/>
        <v>757.28098428881731</v>
      </c>
      <c r="AN90" s="59">
        <f ca="1">AVERAGE(OFFSET($AM$3,0,0,'Données projet'!$E$10+1,1))-AVERAGE(OFFSET($H$3,0,0,'Données projet'!$E$10+1,1))</f>
        <v>158.58786357608489</v>
      </c>
      <c r="AO90" s="59">
        <f t="shared" si="90"/>
        <v>163.20074068819849</v>
      </c>
      <c r="AP90" s="15">
        <f>IF(ISNA(VLOOKUP(A90,'Données projet'!$A$61:$I$81,3,0)),0,VLOOKUP(A90,'Données projet'!$A$61:$I$81,3,0))</f>
        <v>7</v>
      </c>
      <c r="AQ90" s="15">
        <f>IF(ISNA(VLOOKUP(A90,'Données projet'!$A$61:$I$81,4,0)),0,VLOOKUP(A90,'Données projet'!$A$61:$I$81,4,0))</f>
        <v>77.330769230769235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12.5</v>
      </c>
      <c r="BD90" s="12">
        <f>IF('Données projet'!$A$88&gt;35,BD89+BC90-BL89,IF(A90&lt;'Données projet'!$A$88,$BA$205^A90,IF(A90='Données projet'!$A$88,'Données projet'!$B$88,BD89+BC90-BL89)))</f>
        <v>599.49999999999955</v>
      </c>
      <c r="BE90" s="13">
        <f>BD90*VLOOKUP('Données projet'!$B$11,Paramètres!$A$1:$I$89,3,0)*VLOOKUP('Données projet'!$B$11,Paramètres!$A$1:$I$89,5,0)</f>
        <v>358.50099999999975</v>
      </c>
      <c r="BF90" s="13">
        <f t="shared" si="91"/>
        <v>83.310503088522523</v>
      </c>
      <c r="BG90" s="20">
        <f t="shared" si="61"/>
        <v>769.48836787917628</v>
      </c>
      <c r="BH90" s="59">
        <f t="shared" si="62"/>
        <v>1062.8217012125097</v>
      </c>
      <c r="BI90" s="59">
        <f ca="1">AVERAGE(OFFSET($BH$3,0,0,'Données projet'!$E$11+1,1))-AVERAGE(OFFSET($H$3,0,0,'Données projet'!$E$11+1,1))</f>
        <v>316.58509520829671</v>
      </c>
      <c r="BJ90" s="59">
        <f t="shared" si="92"/>
        <v>240.71332110643596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0.81969361627344106</v>
      </c>
      <c r="BQ90" s="21">
        <f>EXP(-LN(2)/25)*BQ89+(1-EXP(-LN(2)/25))/(LN(2)/25)*Calculateur!BL90*Calculateur!BN90*VLOOKUP('Données projet'!$B$11,Paramètres!$A$1:$I$89,3,0)*0.475*44/12</f>
        <v>3.1436318248455115</v>
      </c>
      <c r="BR90" s="21">
        <f>EXP(-LN(2)/2)*BR89+(1-EXP(-LN(2)/2))/(LN(2)/2)*BL90*BO90*VLOOKUP('Données projet'!$B$11,Paramètres!$A$1:$I$89,3,0)*0.475*44/12</f>
        <v>5.779213555036004E-8</v>
      </c>
      <c r="BS90" s="22">
        <f t="shared" si="63"/>
        <v>3.9633254989110882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-5.1159076974727213E-13</v>
      </c>
      <c r="BZ90" s="13">
        <f>BY90*VLOOKUP('Données projet'!$B$12,Paramètres!$A$1:$I$89,3,0)*VLOOKUP('Données projet'!$B$12,Paramètres!$A$1:$I$89,5,0)</f>
        <v>-4.0702161641092972E-13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260.20517190557814</v>
      </c>
      <c r="CE90" s="59">
        <f t="shared" si="94"/>
        <v>307.22009971147133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1.0552781461189213</v>
      </c>
      <c r="CL90" s="21">
        <f>EXP(-LN(2)/25)*CL89+(1-EXP(-LN(2)/25))/(LN(2)/25)*Calculateur!CG90*Calculateur!CI90*VLOOKUP('Données projet'!$B$12,Paramètres!$A$1:$I$89,3,0)*0.475*44/12</f>
        <v>4.2249401205105066</v>
      </c>
      <c r="CM90" s="21">
        <f>EXP(-LN(2)/2)*CM89+(1-EXP(-LN(2)/2))/(LN(2)/2)*CG90*CJ90*VLOOKUP('Données projet'!$B$12,Paramètres!$A$1:$I$89,3,0)*0.475*44/12</f>
        <v>6.3323095937447128E-8</v>
      </c>
      <c r="CN90" s="22">
        <f t="shared" si="66"/>
        <v>5.2802183299525236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7.4950142450142483</v>
      </c>
      <c r="CT90" s="12">
        <f>IF('Données projet'!$A$140&gt;35,CT89+CS90-DB89,IF(A90&lt;'Données projet'!$A$140,$CQ$205^A90,IF(A90='Données projet'!$A$140,'Données projet'!$B$140,CT89+CS90-DB89)))</f>
        <v>280.86894586894596</v>
      </c>
      <c r="CU90" s="17">
        <f>CT90*VLOOKUP('Données projet'!$B$13,Paramètres!$A$1:$I$89,3,0)*VLOOKUP('Données projet'!$B$13,Paramètres!$A$1:$I$89,5,0)</f>
        <v>284.8011111111112</v>
      </c>
      <c r="CV90" s="13">
        <f t="shared" si="95"/>
        <v>67.980615549338779</v>
      </c>
      <c r="CW90" s="20">
        <f t="shared" si="67"/>
        <v>614.42817393361702</v>
      </c>
      <c r="CX90" s="59">
        <f t="shared" si="68"/>
        <v>907.76150726695028</v>
      </c>
      <c r="CY90" s="59">
        <f ca="1">AVERAGE(OFFSET($CX$3,0,0,'Données projet'!$E$13+1,1))-AVERAGE(OFFSET($H$3,0,0,'Données projet'!$E$13+1,1))</f>
        <v>263.15518481854753</v>
      </c>
      <c r="CZ90" s="59">
        <f t="shared" si="96"/>
        <v>210.80755370263819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0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4.7</v>
      </c>
      <c r="DO90" s="12">
        <f>IF('Données projet'!$A$166&gt;35,DO89+DN90-DW89,IF(A90&lt;'Données projet'!$A$166,$DL$205^A90,IF(A90='Données projet'!$A$166,'Données projet'!$B$166,DO89+DN90-DW89)))</f>
        <v>292.89999999999975</v>
      </c>
      <c r="DP90" s="17">
        <f>DO90*VLOOKUP('Données projet'!$B$14,Paramètres!$A$1:$I$89,3,0)*VLOOKUP('Données projet'!$B$14,Paramètres!$A$1:$I$89,5,0)</f>
        <v>237.60047999999981</v>
      </c>
      <c r="DQ90" s="13">
        <f t="shared" si="97"/>
        <v>57.922960533442058</v>
      </c>
      <c r="DR90" s="20">
        <f t="shared" si="70"/>
        <v>514.70332559574456</v>
      </c>
      <c r="DS90" s="59">
        <f t="shared" si="71"/>
        <v>808.03665892907793</v>
      </c>
      <c r="DT90" s="59">
        <f ca="1">AVERAGE(OFFSET($DS$3,0,0,'Données projet'!$E$14+1,1))-AVERAGE(OFFSET($H$3,0,0,'Données projet'!$E$14+1,1))</f>
        <v>203.21935660591021</v>
      </c>
      <c r="DU90" s="59">
        <f t="shared" si="98"/>
        <v>180.54762778843178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0.32424105651270835</v>
      </c>
      <c r="EB90" s="21">
        <f>EXP(-LN(2)/25)*EB89+(1-EXP(-LN(2)/25))/(LN(2)/25)*Calculateur!DW90*Calculateur!DY90*VLOOKUP('Données projet'!$B$14,Paramètres!$A$1:$I$89,3,0)*0.475*44/12</f>
        <v>1.1949689932876466</v>
      </c>
      <c r="EC90" s="21">
        <f>EXP(-LN(2)/2)*EC89+(1-EXP(-LN(2)/2))/(LN(2)/2)*DW90*DZ90*VLOOKUP('Données projet'!$B$14,Paramètres!$A$1:$I$89,3,0)*0.475*44/12</f>
        <v>2.3872724473904862E-8</v>
      </c>
      <c r="ED90" s="22">
        <f t="shared" si="72"/>
        <v>1.5192100736730794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-5.1159076974727213E-13</v>
      </c>
      <c r="EK90" s="17">
        <f>EJ90*VLOOKUP('Données projet'!$B$15,Paramètres!$A$1:$I$89,3,0)*VLOOKUP('Données projet'!$B$15,Paramètres!$A$1:$I$89,5,0)</f>
        <v>-3.4317508834647017E-13</v>
      </c>
      <c r="EL90" s="13" t="e">
        <f t="shared" si="99"/>
        <v>#NUM!</v>
      </c>
      <c r="EM90" s="20" t="e">
        <f t="shared" si="73"/>
        <v>#NUM!</v>
      </c>
      <c r="EN90" s="59" t="e">
        <f t="shared" si="74"/>
        <v>#NUM!</v>
      </c>
      <c r="EO90" s="59">
        <f ca="1">AVERAGE(OFFSET($EN$3,0,0,'Données projet'!$E$15+1,1))-AVERAGE(OFFSET($H$3,0,0,'Données projet'!$E$15+1,1))</f>
        <v>207.93042467236967</v>
      </c>
      <c r="EP90" s="59">
        <f t="shared" si="100"/>
        <v>250.70954318710835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0.88974431927673658</v>
      </c>
      <c r="EW90" s="21">
        <f>EXP(-LN(2)/25)*EW89+(1-EXP(-LN(2)/25))/(LN(2)/25)*Calculateur!ER90*Calculateur!ET90*VLOOKUP('Données projet'!$B$15,Paramètres!$A$1:$I$89,3,0)*0.475*44/12</f>
        <v>3.5622044153323928</v>
      </c>
      <c r="EX90" s="21">
        <f>EXP(-LN(2)/2)*EX89+(1-EXP(-LN(2)/2))/(LN(2)/2)*ER90*EU90*VLOOKUP('Données projet'!$B$15,Paramètres!$A$1:$I$89,3,0)*0.475*44/12</f>
        <v>5.3390061280592674E-8</v>
      </c>
      <c r="EY90" s="22">
        <f t="shared" si="75"/>
        <v>4.451948787999191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-2.2737367544323206E-13</v>
      </c>
      <c r="O91" s="13">
        <f>N91*VLOOKUP('Données projet'!$B$9,Paramètres!$A$1:$I$89,3,0)*VLOOKUP('Données projet'!$B$9,Paramètres!$A$1:$I$89,5,0)</f>
        <v>-1.2710188457276673E-13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255.5374979188561</v>
      </c>
      <c r="T91" s="59">
        <f t="shared" si="88"/>
        <v>343.10418468620901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0.97974828784987167</v>
      </c>
      <c r="AA91" s="21">
        <f>EXP(-LN(2)/25)*AA90+(1-EXP(-LN(2)/25))/(LN(2)/25)*Calculateur!V91*Calculateur!X91*VLOOKUP('Données projet'!$B$9,Paramètres!$A$1:$I$89,3,0)*0.475*44/12</f>
        <v>3.1963207069456132</v>
      </c>
      <c r="AB91" s="21">
        <f>EXP(-LN(2)/2)*AB90+(1-EXP(-LN(2)/2))/(LN(2)/2)*V91*Y91*VLOOKUP('Données projet'!$B$9,Paramètres!$A$1:$I$89,3,0)*0.475*44/12</f>
        <v>3.1528101851308086E-9</v>
      </c>
      <c r="AC91" s="22">
        <f t="shared" si="57"/>
        <v>4.1760689979482954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11.242307692307691</v>
      </c>
      <c r="AI91" s="13">
        <f>IF('Données projet'!$A$62&gt;35,AI90+AH91-AQ90,IF(A91&lt;'Données projet'!$A$62,$AF$205^A91,IF(A91='Données projet'!$A$62,'Données projet'!$B$62,AI90+AH91-AQ90)))</f>
        <v>390.42692307692329</v>
      </c>
      <c r="AJ91" s="13">
        <f>AI91*VLOOKUP('Données projet'!$B$10,Paramètres!$A$1:$I$89,3,0)*VLOOKUP('Données projet'!$B$10,Paramètres!$A$1:$I$89,5,0)</f>
        <v>182.71980000000011</v>
      </c>
      <c r="AK91" s="13">
        <f t="shared" si="89"/>
        <v>45.926762394770535</v>
      </c>
      <c r="AL91" s="20">
        <f t="shared" si="58"/>
        <v>398.22609617089216</v>
      </c>
      <c r="AM91" s="59">
        <f t="shared" si="59"/>
        <v>691.55942950422548</v>
      </c>
      <c r="AN91" s="59">
        <f ca="1">AVERAGE(OFFSET($AM$3,0,0,'Données projet'!$E$10+1,1))-AVERAGE(OFFSET($H$3,0,0,'Données projet'!$E$10+1,1))</f>
        <v>158.58786357608489</v>
      </c>
      <c r="AO91" s="59">
        <f t="shared" si="90"/>
        <v>163.20074068819849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12.5</v>
      </c>
      <c r="BD91" s="12">
        <f>IF('Données projet'!$A$88&gt;35,BD90+BC91-BL90,IF(A91&lt;'Données projet'!$A$88,$BA$205^A91,IF(A91='Données projet'!$A$88,'Données projet'!$B$88,BD90+BC91-BL90)))</f>
        <v>611.99999999999955</v>
      </c>
      <c r="BE91" s="13">
        <f>BD91*VLOOKUP('Données projet'!$B$11,Paramètres!$A$1:$I$89,3,0)*VLOOKUP('Données projet'!$B$11,Paramètres!$A$1:$I$89,5,0)</f>
        <v>365.97599999999977</v>
      </c>
      <c r="BF91" s="13">
        <f t="shared" si="91"/>
        <v>84.843541364532513</v>
      </c>
      <c r="BG91" s="20">
        <f t="shared" si="61"/>
        <v>785.17736787656031</v>
      </c>
      <c r="BH91" s="59">
        <f t="shared" si="62"/>
        <v>1078.5107012098936</v>
      </c>
      <c r="BI91" s="59">
        <f ca="1">AVERAGE(OFFSET($BH$3,0,0,'Données projet'!$E$11+1,1))-AVERAGE(OFFSET($H$3,0,0,'Données projet'!$E$11+1,1))</f>
        <v>316.58509520829671</v>
      </c>
      <c r="BJ91" s="59">
        <f t="shared" si="92"/>
        <v>240.71332110643596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0.80361992442205754</v>
      </c>
      <c r="BQ91" s="21">
        <f>EXP(-LN(2)/25)*BQ90+(1-EXP(-LN(2)/25))/(LN(2)/25)*Calculateur!BL91*Calculateur!BN91*VLOOKUP('Données projet'!$B$11,Paramètres!$A$1:$I$89,3,0)*0.475*44/12</f>
        <v>3.057669047278698</v>
      </c>
      <c r="BR91" s="21">
        <f>EXP(-LN(2)/2)*BR90+(1-EXP(-LN(2)/2))/(LN(2)/2)*BL91*BO91*VLOOKUP('Données projet'!$B$11,Paramètres!$A$1:$I$89,3,0)*0.475*44/12</f>
        <v>4.0865210946911734E-8</v>
      </c>
      <c r="BS91" s="22">
        <f t="shared" si="63"/>
        <v>3.8612890125659662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-5.1159076974727213E-13</v>
      </c>
      <c r="BZ91" s="13">
        <f>BY91*VLOOKUP('Données projet'!$B$12,Paramètres!$A$1:$I$89,3,0)*VLOOKUP('Données projet'!$B$12,Paramètres!$A$1:$I$89,5,0)</f>
        <v>-4.0702161641092972E-13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260.20517190557814</v>
      </c>
      <c r="CE91" s="59">
        <f t="shared" si="94"/>
        <v>307.22009971147133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1.0345847853296426</v>
      </c>
      <c r="CL91" s="21">
        <f>EXP(-LN(2)/25)*CL90+(1-EXP(-LN(2)/25))/(LN(2)/25)*Calculateur!CG91*Calculateur!CI91*VLOOKUP('Données projet'!$B$12,Paramètres!$A$1:$I$89,3,0)*0.475*44/12</f>
        <v>4.1094089107352021</v>
      </c>
      <c r="CM91" s="21">
        <f>EXP(-LN(2)/2)*CM90+(1-EXP(-LN(2)/2))/(LN(2)/2)*CG91*CJ91*VLOOKUP('Données projet'!$B$12,Paramètres!$A$1:$I$89,3,0)*0.475*44/12</f>
        <v>4.4776190543095183E-8</v>
      </c>
      <c r="CN91" s="22">
        <f t="shared" si="66"/>
        <v>5.1439937408410357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7.4950142450142483</v>
      </c>
      <c r="CT91" s="12">
        <f>IF('Données projet'!$A$140&gt;35,CT90+CS91-DB90,IF(A91&lt;'Données projet'!$A$140,$CQ$205^A91,IF(A91='Données projet'!$A$140,'Données projet'!$B$140,CT90+CS91-DB90)))</f>
        <v>288.36396011396022</v>
      </c>
      <c r="CU91" s="17">
        <f>CT91*VLOOKUP('Données projet'!$B$13,Paramètres!$A$1:$I$89,3,0)*VLOOKUP('Données projet'!$B$13,Paramètres!$A$1:$I$89,5,0)</f>
        <v>292.40105555555567</v>
      </c>
      <c r="CV91" s="13">
        <f t="shared" si="95"/>
        <v>69.581061965327606</v>
      </c>
      <c r="CW91" s="20">
        <f t="shared" si="67"/>
        <v>630.45218801553835</v>
      </c>
      <c r="CX91" s="59">
        <f t="shared" si="68"/>
        <v>923.78552134887173</v>
      </c>
      <c r="CY91" s="59">
        <f ca="1">AVERAGE(OFFSET($CX$3,0,0,'Données projet'!$E$13+1,1))-AVERAGE(OFFSET($H$3,0,0,'Données projet'!$E$13+1,1))</f>
        <v>263.15518481854753</v>
      </c>
      <c r="CZ91" s="59">
        <f t="shared" si="96"/>
        <v>210.80755370263819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0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4.7</v>
      </c>
      <c r="DO91" s="12">
        <f>IF('Données projet'!$A$166&gt;35,DO90+DN91-DW90,IF(A91&lt;'Données projet'!$A$166,$DL$205^A91,IF(A91='Données projet'!$A$166,'Données projet'!$B$166,DO90+DN91-DW90)))</f>
        <v>297.59999999999974</v>
      </c>
      <c r="DP91" s="17">
        <f>DO91*VLOOKUP('Données projet'!$B$14,Paramètres!$A$1:$I$89,3,0)*VLOOKUP('Données projet'!$B$14,Paramètres!$A$1:$I$89,5,0)</f>
        <v>241.41311999999979</v>
      </c>
      <c r="DQ91" s="13">
        <f t="shared" si="97"/>
        <v>58.743466172863258</v>
      </c>
      <c r="DR91" s="20">
        <f t="shared" si="70"/>
        <v>522.77272091773648</v>
      </c>
      <c r="DS91" s="59">
        <f t="shared" si="71"/>
        <v>816.10605425106974</v>
      </c>
      <c r="DT91" s="59">
        <f ca="1">AVERAGE(OFFSET($DS$3,0,0,'Données projet'!$E$14+1,1))-AVERAGE(OFFSET($H$3,0,0,'Données projet'!$E$14+1,1))</f>
        <v>203.21935660591021</v>
      </c>
      <c r="DU91" s="59">
        <f t="shared" si="98"/>
        <v>180.54762778843178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0.31788288716201069</v>
      </c>
      <c r="EB91" s="21">
        <f>EXP(-LN(2)/25)*EB90+(1-EXP(-LN(2)/25))/(LN(2)/25)*Calculateur!DW91*Calculateur!DY91*VLOOKUP('Données projet'!$B$14,Paramètres!$A$1:$I$89,3,0)*0.475*44/12</f>
        <v>1.1622925033255076</v>
      </c>
      <c r="EC91" s="21">
        <f>EXP(-LN(2)/2)*EC90+(1-EXP(-LN(2)/2))/(LN(2)/2)*DW91*DZ91*VLOOKUP('Données projet'!$B$14,Paramètres!$A$1:$I$89,3,0)*0.475*44/12</f>
        <v>1.6880565360896183E-8</v>
      </c>
      <c r="ED91" s="22">
        <f t="shared" si="72"/>
        <v>1.4801754073680837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-5.1159076974727213E-13</v>
      </c>
      <c r="EK91" s="17">
        <f>EJ91*VLOOKUP('Données projet'!$B$15,Paramètres!$A$1:$I$89,3,0)*VLOOKUP('Données projet'!$B$15,Paramètres!$A$1:$I$89,5,0)</f>
        <v>-3.4317508834647017E-13</v>
      </c>
      <c r="EL91" s="13" t="e">
        <f t="shared" si="99"/>
        <v>#NUM!</v>
      </c>
      <c r="EM91" s="20" t="e">
        <f t="shared" si="73"/>
        <v>#NUM!</v>
      </c>
      <c r="EN91" s="59" t="e">
        <f t="shared" si="74"/>
        <v>#NUM!</v>
      </c>
      <c r="EO91" s="59">
        <f ca="1">AVERAGE(OFFSET($EN$3,0,0,'Données projet'!$E$15+1,1))-AVERAGE(OFFSET($H$3,0,0,'Données projet'!$E$15+1,1))</f>
        <v>207.93042467236967</v>
      </c>
      <c r="EP91" s="59">
        <f t="shared" si="100"/>
        <v>250.70954318710835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0.87229697586616828</v>
      </c>
      <c r="EW91" s="21">
        <f>EXP(-LN(2)/25)*EW90+(1-EXP(-LN(2)/25))/(LN(2)/25)*Calculateur!ER91*Calculateur!ET91*VLOOKUP('Données projet'!$B$15,Paramètres!$A$1:$I$89,3,0)*0.475*44/12</f>
        <v>3.46479574826694</v>
      </c>
      <c r="EX91" s="21">
        <f>EXP(-LN(2)/2)*EX90+(1-EXP(-LN(2)/2))/(LN(2)/2)*ER91*EU91*VLOOKUP('Données projet'!$B$15,Paramètres!$A$1:$I$89,3,0)*0.475*44/12</f>
        <v>3.7752474379472407E-8</v>
      </c>
      <c r="EY91" s="22">
        <f t="shared" si="75"/>
        <v>4.3370927618855823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-2.2737367544323206E-13</v>
      </c>
      <c r="O92" s="13">
        <f>N92*VLOOKUP('Données projet'!$B$9,Paramètres!$A$1:$I$89,3,0)*VLOOKUP('Données projet'!$B$9,Paramètres!$A$1:$I$89,5,0)</f>
        <v>-1.2710188457276673E-13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255.5374979188561</v>
      </c>
      <c r="T92" s="59">
        <f t="shared" si="88"/>
        <v>343.10418468620901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0.96053602151258444</v>
      </c>
      <c r="AA92" s="21">
        <f>EXP(-LN(2)/25)*AA91+(1-EXP(-LN(2)/25))/(LN(2)/25)*Calculateur!V92*Calculateur!X92*VLOOKUP('Données projet'!$B$9,Paramètres!$A$1:$I$89,3,0)*0.475*44/12</f>
        <v>3.1089171491269849</v>
      </c>
      <c r="AB92" s="21">
        <f>EXP(-LN(2)/2)*AB91+(1-EXP(-LN(2)/2))/(LN(2)/2)*V92*Y92*VLOOKUP('Données projet'!$B$9,Paramètres!$A$1:$I$89,3,0)*0.475*44/12</f>
        <v>2.229373461700009E-9</v>
      </c>
      <c r="AC92" s="22">
        <f t="shared" si="57"/>
        <v>4.0694531728689425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11.242307692307691</v>
      </c>
      <c r="AI92" s="13">
        <f>IF('Données projet'!$A$62&gt;35,AI91+AH92-AQ91,IF(A92&lt;'Données projet'!$A$62,$AF$205^A92,IF(A92='Données projet'!$A$62,'Données projet'!$B$62,AI91+AH92-AQ91)))</f>
        <v>401.66923076923098</v>
      </c>
      <c r="AJ92" s="13">
        <f>AI92*VLOOKUP('Données projet'!$B$10,Paramètres!$A$1:$I$89,3,0)*VLOOKUP('Données projet'!$B$10,Paramètres!$A$1:$I$89,5,0)</f>
        <v>187.98120000000011</v>
      </c>
      <c r="AK92" s="13">
        <f t="shared" si="89"/>
        <v>47.093347732155607</v>
      </c>
      <c r="AL92" s="20">
        <f t="shared" si="58"/>
        <v>409.42150396683786</v>
      </c>
      <c r="AM92" s="59">
        <f t="shared" si="59"/>
        <v>702.75483730017118</v>
      </c>
      <c r="AN92" s="59">
        <f ca="1">AVERAGE(OFFSET($AM$3,0,0,'Données projet'!$E$10+1,1))-AVERAGE(OFFSET($H$3,0,0,'Données projet'!$E$10+1,1))</f>
        <v>158.58786357608489</v>
      </c>
      <c r="AO92" s="59">
        <f t="shared" si="90"/>
        <v>163.20074068819849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12.5</v>
      </c>
      <c r="BD92" s="12">
        <f>IF('Données projet'!$A$88&gt;35,BD91+BC92-BL91,IF(A92&lt;'Données projet'!$A$88,$BA$205^A92,IF(A92='Données projet'!$A$88,'Données projet'!$B$88,BD91+BC92-BL91)))</f>
        <v>624.49999999999955</v>
      </c>
      <c r="BE92" s="13">
        <f>BD92*VLOOKUP('Données projet'!$B$11,Paramètres!$A$1:$I$89,3,0)*VLOOKUP('Données projet'!$B$11,Paramètres!$A$1:$I$89,5,0)</f>
        <v>373.45099999999979</v>
      </c>
      <c r="BF92" s="13">
        <f t="shared" si="91"/>
        <v>86.372938978761937</v>
      </c>
      <c r="BG92" s="20">
        <f t="shared" si="61"/>
        <v>800.86002705467661</v>
      </c>
      <c r="BH92" s="59">
        <f t="shared" si="62"/>
        <v>1094.19336038801</v>
      </c>
      <c r="BI92" s="59">
        <f ca="1">AVERAGE(OFFSET($BH$3,0,0,'Données projet'!$E$11+1,1))-AVERAGE(OFFSET($H$3,0,0,'Données projet'!$E$11+1,1))</f>
        <v>316.58509520829671</v>
      </c>
      <c r="BJ92" s="59">
        <f t="shared" si="92"/>
        <v>240.71332110643596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0.78786142786389568</v>
      </c>
      <c r="BQ92" s="21">
        <f>EXP(-LN(2)/25)*BQ91+(1-EXP(-LN(2)/25))/(LN(2)/25)*Calculateur!BL92*Calculateur!BN92*VLOOKUP('Données projet'!$B$11,Paramètres!$A$1:$I$89,3,0)*0.475*44/12</f>
        <v>2.9740569263850354</v>
      </c>
      <c r="BR92" s="21">
        <f>EXP(-LN(2)/2)*BR91+(1-EXP(-LN(2)/2))/(LN(2)/2)*BL92*BO92*VLOOKUP('Données projet'!$B$11,Paramètres!$A$1:$I$89,3,0)*0.475*44/12</f>
        <v>2.8896067775180023E-8</v>
      </c>
      <c r="BS92" s="22">
        <f t="shared" si="63"/>
        <v>3.7619183831449989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-5.1159076974727213E-13</v>
      </c>
      <c r="BZ92" s="13">
        <f>BY92*VLOOKUP('Données projet'!$B$12,Paramètres!$A$1:$I$89,3,0)*VLOOKUP('Données projet'!$B$12,Paramètres!$A$1:$I$89,5,0)</f>
        <v>-4.0702161641092972E-13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260.20517190557814</v>
      </c>
      <c r="CE92" s="59">
        <f t="shared" si="94"/>
        <v>307.22009971147133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1.0142972087237379</v>
      </c>
      <c r="CL92" s="21">
        <f>EXP(-LN(2)/25)*CL91+(1-EXP(-LN(2)/25))/(LN(2)/25)*Calculateur!CG92*Calculateur!CI92*VLOOKUP('Données projet'!$B$12,Paramètres!$A$1:$I$89,3,0)*0.475*44/12</f>
        <v>3.9970369079667254</v>
      </c>
      <c r="CM92" s="21">
        <f>EXP(-LN(2)/2)*CM91+(1-EXP(-LN(2)/2))/(LN(2)/2)*CG92*CJ92*VLOOKUP('Données projet'!$B$12,Paramètres!$A$1:$I$89,3,0)*0.475*44/12</f>
        <v>3.1661547968723564E-8</v>
      </c>
      <c r="CN92" s="22">
        <f t="shared" si="66"/>
        <v>5.0113341483520113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>
        <f>VLOOKUP(A92,'Données projet'!$A$139:$I$159,2,0)</f>
        <v>295.85897435897436</v>
      </c>
      <c r="CR92" s="12">
        <f>VLOOKUP(A92,'Données projet'!$A$139:$I$159,9,0)</f>
        <v>7.4950142450142483</v>
      </c>
      <c r="CS92" s="12">
        <f t="array" ref="CS92">INDEX(CR:CR,MIN(IF(ISNUMBER(CR92:CR288),ROW(CR92:CR288),"")))</f>
        <v>7.4950142450142483</v>
      </c>
      <c r="CT92" s="12">
        <f>IF('Données projet'!$A$140&gt;35,CT91+CS92-DB91,IF(A92&lt;'Données projet'!$A$140,$CQ$205^A92,IF(A92='Données projet'!$A$140,'Données projet'!$B$140,CT91+CS92-DB91)))</f>
        <v>295.85897435897448</v>
      </c>
      <c r="CU92" s="17">
        <f>CT92*VLOOKUP('Données projet'!$B$13,Paramètres!$A$1:$I$89,3,0)*VLOOKUP('Données projet'!$B$13,Paramètres!$A$1:$I$89,5,0)</f>
        <v>300.00100000000015</v>
      </c>
      <c r="CV92" s="13">
        <f t="shared" si="95"/>
        <v>71.176673114058062</v>
      </c>
      <c r="CW92" s="20">
        <f t="shared" si="67"/>
        <v>646.46778067365142</v>
      </c>
      <c r="CX92" s="59">
        <f t="shared" si="68"/>
        <v>939.80111400698479</v>
      </c>
      <c r="CY92" s="59">
        <f ca="1">AVERAGE(OFFSET($CX$3,0,0,'Données projet'!$E$13+1,1))-AVERAGE(OFFSET($H$3,0,0,'Données projet'!$E$13+1,1))</f>
        <v>263.15518481854753</v>
      </c>
      <c r="CZ92" s="59">
        <f t="shared" si="96"/>
        <v>210.80755370263819</v>
      </c>
      <c r="DA92" s="15">
        <f>IF(ISNA(VLOOKUP(A92,'Données projet'!$A$139:$I$159,3,0)),0,VLOOKUP(A92,'Données projet'!$A$139:$I$159,3,0))</f>
        <v>8</v>
      </c>
      <c r="DB92" s="15">
        <f>IF(ISNA(VLOOKUP(A92,'Données projet'!$A$139:$I$159,4,0)),0,VLOOKUP(A92,'Données projet'!$A$139:$I$159,4,0))</f>
        <v>49.391025641025635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0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4.7</v>
      </c>
      <c r="DO92" s="12">
        <f>IF('Données projet'!$A$166&gt;35,DO91+DN92-DW91,IF(A92&lt;'Données projet'!$A$166,$DL$205^A92,IF(A92='Données projet'!$A$166,'Données projet'!$B$166,DO91+DN92-DW91)))</f>
        <v>302.29999999999973</v>
      </c>
      <c r="DP92" s="17">
        <f>DO92*VLOOKUP('Données projet'!$B$14,Paramètres!$A$1:$I$89,3,0)*VLOOKUP('Données projet'!$B$14,Paramètres!$A$1:$I$89,5,0)</f>
        <v>245.22575999999978</v>
      </c>
      <c r="DQ92" s="13">
        <f t="shared" si="97"/>
        <v>59.562464790785356</v>
      </c>
      <c r="DR92" s="20">
        <f t="shared" si="70"/>
        <v>530.83949151061745</v>
      </c>
      <c r="DS92" s="59">
        <f t="shared" si="71"/>
        <v>824.17282484395082</v>
      </c>
      <c r="DT92" s="59">
        <f ca="1">AVERAGE(OFFSET($DS$3,0,0,'Données projet'!$E$14+1,1))-AVERAGE(OFFSET($H$3,0,0,'Données projet'!$E$14+1,1))</f>
        <v>203.21935660591021</v>
      </c>
      <c r="DU92" s="59">
        <f t="shared" si="98"/>
        <v>180.54762778843178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0.31164939763417981</v>
      </c>
      <c r="EB92" s="21">
        <f>EXP(-LN(2)/25)*EB91+(1-EXP(-LN(2)/25))/(LN(2)/25)*Calculateur!DW92*Calculateur!DY92*VLOOKUP('Données projet'!$B$14,Paramètres!$A$1:$I$89,3,0)*0.475*44/12</f>
        <v>1.1305095536997654</v>
      </c>
      <c r="EC92" s="21">
        <f>EXP(-LN(2)/2)*EC91+(1-EXP(-LN(2)/2))/(LN(2)/2)*DW92*DZ92*VLOOKUP('Données projet'!$B$14,Paramètres!$A$1:$I$89,3,0)*0.475*44/12</f>
        <v>1.1936362236952431E-8</v>
      </c>
      <c r="ED92" s="22">
        <f t="shared" si="72"/>
        <v>1.4421589632703076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-5.1159076974727213E-13</v>
      </c>
      <c r="EK92" s="17">
        <f>EJ92*VLOOKUP('Données projet'!$B$15,Paramètres!$A$1:$I$89,3,0)*VLOOKUP('Données projet'!$B$15,Paramètres!$A$1:$I$89,5,0)</f>
        <v>-3.4317508834647017E-13</v>
      </c>
      <c r="EL92" s="13" t="e">
        <f t="shared" si="99"/>
        <v>#NUM!</v>
      </c>
      <c r="EM92" s="20" t="e">
        <f t="shared" si="73"/>
        <v>#NUM!</v>
      </c>
      <c r="EN92" s="59" t="e">
        <f t="shared" si="74"/>
        <v>#NUM!</v>
      </c>
      <c r="EO92" s="59">
        <f ca="1">AVERAGE(OFFSET($EN$3,0,0,'Données projet'!$E$15+1,1))-AVERAGE(OFFSET($H$3,0,0,'Données projet'!$E$15+1,1))</f>
        <v>207.93042467236967</v>
      </c>
      <c r="EP92" s="59">
        <f t="shared" si="100"/>
        <v>250.70954318710835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0.85519176421805254</v>
      </c>
      <c r="EW92" s="21">
        <f>EXP(-LN(2)/25)*EW91+(1-EXP(-LN(2)/25))/(LN(2)/25)*Calculateur!ER92*Calculateur!ET92*VLOOKUP('Données projet'!$B$15,Paramètres!$A$1:$I$89,3,0)*0.475*44/12</f>
        <v>3.3700507263248909</v>
      </c>
      <c r="EX92" s="21">
        <f>EXP(-LN(2)/2)*EX91+(1-EXP(-LN(2)/2))/(LN(2)/2)*ER92*EU92*VLOOKUP('Données projet'!$B$15,Paramètres!$A$1:$I$89,3,0)*0.475*44/12</f>
        <v>2.6695030640296337E-8</v>
      </c>
      <c r="EY92" s="22">
        <f t="shared" si="75"/>
        <v>4.2252425172379748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-2.2737367544323206E-13</v>
      </c>
      <c r="O93" s="13">
        <f>N93*VLOOKUP('Données projet'!$B$9,Paramètres!$A$1:$I$89,3,0)*VLOOKUP('Données projet'!$B$9,Paramètres!$A$1:$I$89,5,0)</f>
        <v>-1.2710188457276673E-13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255.5374979188561</v>
      </c>
      <c r="T93" s="59">
        <f t="shared" si="88"/>
        <v>343.10418468620901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0.94170049599984595</v>
      </c>
      <c r="AA93" s="21">
        <f>EXP(-LN(2)/25)*AA92+(1-EXP(-LN(2)/25))/(LN(2)/25)*Calculateur!V93*Calculateur!X93*VLOOKUP('Données projet'!$B$9,Paramètres!$A$1:$I$89,3,0)*0.475*44/12</f>
        <v>3.02390364619326</v>
      </c>
      <c r="AB93" s="21">
        <f>EXP(-LN(2)/2)*AB92+(1-EXP(-LN(2)/2))/(LN(2)/2)*V93*Y93*VLOOKUP('Données projet'!$B$9,Paramètres!$A$1:$I$89,3,0)*0.475*44/12</f>
        <v>1.5764050925654043E-9</v>
      </c>
      <c r="AC93" s="22">
        <f t="shared" si="57"/>
        <v>3.9656041437695113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11.242307692307691</v>
      </c>
      <c r="AI93" s="13">
        <f>IF('Données projet'!$A$62&gt;35,AI92+AH93-AQ92,IF(A93&lt;'Données projet'!$A$62,$AF$205^A93,IF(A93='Données projet'!$A$62,'Données projet'!$B$62,AI92+AH93-AQ92)))</f>
        <v>412.91153846153867</v>
      </c>
      <c r="AJ93" s="13">
        <f>AI93*VLOOKUP('Données projet'!$B$10,Paramètres!$A$1:$I$89,3,0)*VLOOKUP('Données projet'!$B$10,Paramètres!$A$1:$I$89,5,0)</f>
        <v>193.2426000000001</v>
      </c>
      <c r="AK93" s="13">
        <f t="shared" si="89"/>
        <v>48.256138093290417</v>
      </c>
      <c r="AL93" s="20">
        <f t="shared" si="58"/>
        <v>420.6103021791476</v>
      </c>
      <c r="AM93" s="59">
        <f t="shared" si="59"/>
        <v>713.94363551248091</v>
      </c>
      <c r="AN93" s="59">
        <f ca="1">AVERAGE(OFFSET($AM$3,0,0,'Données projet'!$E$10+1,1))-AVERAGE(OFFSET($H$3,0,0,'Données projet'!$E$10+1,1))</f>
        <v>158.58786357608489</v>
      </c>
      <c r="AO93" s="59">
        <f t="shared" si="90"/>
        <v>163.20074068819849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637</v>
      </c>
      <c r="BB93" s="12">
        <f>VLOOKUP(A93,'Données projet'!$A$87:$I$107,9,0)</f>
        <v>12.5</v>
      </c>
      <c r="BC93" s="12">
        <f t="array" ref="BC93">INDEX(BB:BB,MIN(IF(ISNUMBER(BB93:BB289),ROW(BB93:BB289),"")))</f>
        <v>12.5</v>
      </c>
      <c r="BD93" s="12">
        <f>IF('Données projet'!$A$88&gt;35,BD92+BC93-BL92,IF(A93&lt;'Données projet'!$A$88,$BA$205^A93,IF(A93='Données projet'!$A$88,'Données projet'!$B$88,BD92+BC93-BL92)))</f>
        <v>636.99999999999955</v>
      </c>
      <c r="BE93" s="13">
        <f>BD93*VLOOKUP('Données projet'!$B$11,Paramètres!$A$1:$I$89,3,0)*VLOOKUP('Données projet'!$B$11,Paramètres!$A$1:$I$89,5,0)</f>
        <v>380.92599999999976</v>
      </c>
      <c r="BF93" s="13">
        <f t="shared" si="91"/>
        <v>87.898777201244229</v>
      </c>
      <c r="BG93" s="20">
        <f t="shared" si="61"/>
        <v>816.53648695883328</v>
      </c>
      <c r="BH93" s="59">
        <f t="shared" si="62"/>
        <v>1109.8698202921667</v>
      </c>
      <c r="BI93" s="59">
        <f ca="1">AVERAGE(OFFSET($BH$3,0,0,'Données projet'!$E$11+1,1))-AVERAGE(OFFSET($H$3,0,0,'Données projet'!$E$11+1,1))</f>
        <v>316.58509520829671</v>
      </c>
      <c r="BJ93" s="59">
        <f t="shared" si="92"/>
        <v>240.71332110643596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83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0.77241194581150552</v>
      </c>
      <c r="BQ93" s="21">
        <f>EXP(-LN(2)/25)*BQ92+(1-EXP(-LN(2)/25))/(LN(2)/25)*Calculateur!BL93*Calculateur!BN93*VLOOKUP('Données projet'!$B$11,Paramètres!$A$1:$I$89,3,0)*0.475*44/12</f>
        <v>2.8927311833341802</v>
      </c>
      <c r="BR93" s="21">
        <f>EXP(-LN(2)/2)*BR92+(1-EXP(-LN(2)/2))/(LN(2)/2)*BL93*BO93*VLOOKUP('Données projet'!$B$11,Paramètres!$A$1:$I$89,3,0)*0.475*44/12</f>
        <v>2.043260547345587E-8</v>
      </c>
      <c r="BS93" s="22">
        <f t="shared" si="63"/>
        <v>3.6651431495782911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-5.1159076974727213E-13</v>
      </c>
      <c r="BZ93" s="13">
        <f>BY93*VLOOKUP('Données projet'!$B$12,Paramètres!$A$1:$I$89,3,0)*VLOOKUP('Données projet'!$B$12,Paramètres!$A$1:$I$89,5,0)</f>
        <v>-4.0702161641092972E-13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260.20517190557814</v>
      </c>
      <c r="CE93" s="59">
        <f t="shared" si="94"/>
        <v>307.22009971147133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0.99440745912087503</v>
      </c>
      <c r="CL93" s="21">
        <f>EXP(-LN(2)/25)*CL92+(1-EXP(-LN(2)/25))/(LN(2)/25)*Calculateur!CG93*Calculateur!CI93*VLOOKUP('Données projet'!$B$12,Paramètres!$A$1:$I$89,3,0)*0.475*44/12</f>
        <v>3.8877377235233395</v>
      </c>
      <c r="CM93" s="21">
        <f>EXP(-LN(2)/2)*CM92+(1-EXP(-LN(2)/2))/(LN(2)/2)*CG93*CJ93*VLOOKUP('Données projet'!$B$12,Paramètres!$A$1:$I$89,3,0)*0.475*44/12</f>
        <v>2.2388095271547592E-8</v>
      </c>
      <c r="CN93" s="22">
        <f t="shared" si="66"/>
        <v>4.8821452050323098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7.1782051282051267</v>
      </c>
      <c r="CT93" s="12">
        <f>IF('Données projet'!$A$140&gt;35,CT92+CS93-DB92,IF(A93&lt;'Données projet'!$A$140,$CQ$205^A93,IF(A93='Données projet'!$A$140,'Données projet'!$B$140,CT92+CS93-DB92)))</f>
        <v>253.64615384615399</v>
      </c>
      <c r="CU93" s="17">
        <f>CT93*VLOOKUP('Données projet'!$B$13,Paramètres!$A$1:$I$89,3,0)*VLOOKUP('Données projet'!$B$13,Paramètres!$A$1:$I$89,5,0)</f>
        <v>257.19720000000012</v>
      </c>
      <c r="CV93" s="13">
        <f t="shared" si="95"/>
        <v>62.124557913773565</v>
      </c>
      <c r="CW93" s="20">
        <f t="shared" si="67"/>
        <v>556.15206169982241</v>
      </c>
      <c r="CX93" s="59">
        <f t="shared" si="68"/>
        <v>849.48539503315578</v>
      </c>
      <c r="CY93" s="59">
        <f ca="1">AVERAGE(OFFSET($CX$3,0,0,'Données projet'!$E$13+1,1))-AVERAGE(OFFSET($H$3,0,0,'Données projet'!$E$13+1,1))</f>
        <v>263.15518481854753</v>
      </c>
      <c r="CZ93" s="59">
        <f t="shared" si="96"/>
        <v>210.80755370263819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0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307</v>
      </c>
      <c r="DM93" s="12">
        <f>VLOOKUP(A93,'Données projet'!$A$165:$I$185,9,0)</f>
        <v>4.7</v>
      </c>
      <c r="DN93" s="12">
        <f t="array" ref="DN93">INDEX(DM:DM,MIN(IF(ISNUMBER(DM93:DM289),ROW(DM93:DM289),"")))</f>
        <v>4.7</v>
      </c>
      <c r="DO93" s="12">
        <f>IF('Données projet'!$A$166&gt;35,DO92+DN93-DW92,IF(A93&lt;'Données projet'!$A$166,$DL$205^A93,IF(A93='Données projet'!$A$166,'Données projet'!$B$166,DO92+DN93-DW92)))</f>
        <v>306.99999999999972</v>
      </c>
      <c r="DP93" s="17">
        <f>DO93*VLOOKUP('Données projet'!$B$14,Paramètres!$A$1:$I$89,3,0)*VLOOKUP('Données projet'!$B$14,Paramètres!$A$1:$I$89,5,0)</f>
        <v>249.03839999999977</v>
      </c>
      <c r="DQ93" s="13">
        <f t="shared" si="97"/>
        <v>60.379982523339947</v>
      </c>
      <c r="DR93" s="20">
        <f t="shared" si="70"/>
        <v>538.9036828948166</v>
      </c>
      <c r="DS93" s="59">
        <f t="shared" si="71"/>
        <v>832.23701622814997</v>
      </c>
      <c r="DT93" s="59">
        <f ca="1">AVERAGE(OFFSET($DS$3,0,0,'Données projet'!$E$14+1,1))-AVERAGE(OFFSET($H$3,0,0,'Données projet'!$E$14+1,1))</f>
        <v>203.21935660591021</v>
      </c>
      <c r="DU93" s="59">
        <f t="shared" si="98"/>
        <v>180.54762778843178</v>
      </c>
      <c r="DV93" s="15">
        <f>IF(ISNA(VLOOKUP(A93,'Données projet'!$A$165:$I$185,3,0)),0,VLOOKUP(A93,'Données projet'!$A$165:$I$185,3,0))</f>
        <v>8</v>
      </c>
      <c r="DW93" s="15">
        <f>IF(ISNA(VLOOKUP(A93,'Données projet'!$A$165:$I$185,4,0)),0,VLOOKUP(A93,'Données projet'!$A$165:$I$185,4,0))</f>
        <v>31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0.30553814303393656</v>
      </c>
      <c r="EB93" s="21">
        <f>EXP(-LN(2)/25)*EB92+(1-EXP(-LN(2)/25))/(LN(2)/25)*Calculateur!DW93*Calculateur!DY93*VLOOKUP('Données projet'!$B$14,Paramètres!$A$1:$I$89,3,0)*0.475*44/12</f>
        <v>1.0995957105029317</v>
      </c>
      <c r="EC93" s="21">
        <f>EXP(-LN(2)/2)*EC92+(1-EXP(-LN(2)/2))/(LN(2)/2)*DW93*DZ93*VLOOKUP('Données projet'!$B$14,Paramètres!$A$1:$I$89,3,0)*0.475*44/12</f>
        <v>8.4402826804480913E-9</v>
      </c>
      <c r="ED93" s="22">
        <f t="shared" si="72"/>
        <v>1.405133861977151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-5.1159076974727213E-13</v>
      </c>
      <c r="EK93" s="17">
        <f>EJ93*VLOOKUP('Données projet'!$B$15,Paramètres!$A$1:$I$89,3,0)*VLOOKUP('Données projet'!$B$15,Paramètres!$A$1:$I$89,5,0)</f>
        <v>-3.4317508834647017E-13</v>
      </c>
      <c r="EL93" s="13" t="e">
        <f t="shared" si="99"/>
        <v>#NUM!</v>
      </c>
      <c r="EM93" s="20" t="e">
        <f t="shared" si="73"/>
        <v>#NUM!</v>
      </c>
      <c r="EN93" s="59" t="e">
        <f t="shared" si="74"/>
        <v>#NUM!</v>
      </c>
      <c r="EO93" s="59">
        <f ca="1">AVERAGE(OFFSET($EN$3,0,0,'Données projet'!$E$15+1,1))-AVERAGE(OFFSET($H$3,0,0,'Données projet'!$E$15+1,1))</f>
        <v>207.93042467236967</v>
      </c>
      <c r="EP93" s="59">
        <f t="shared" si="100"/>
        <v>250.70954318710835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0.83842197533720741</v>
      </c>
      <c r="EW93" s="21">
        <f>EXP(-LN(2)/25)*EW92+(1-EXP(-LN(2)/25))/(LN(2)/25)*Calculateur!ER93*Calculateur!ET93*VLOOKUP('Données projet'!$B$15,Paramètres!$A$1:$I$89,3,0)*0.475*44/12</f>
        <v>3.2778965119902712</v>
      </c>
      <c r="EX93" s="21">
        <f>EXP(-LN(2)/2)*EX92+(1-EXP(-LN(2)/2))/(LN(2)/2)*ER93*EU93*VLOOKUP('Données projet'!$B$15,Paramètres!$A$1:$I$89,3,0)*0.475*44/12</f>
        <v>1.8876237189736203E-8</v>
      </c>
      <c r="EY93" s="22">
        <f t="shared" si="75"/>
        <v>4.116318506203716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-2.2737367544323206E-13</v>
      </c>
      <c r="O94" s="13">
        <f>N94*VLOOKUP('Données projet'!$B$9,Paramètres!$A$1:$I$89,3,0)*VLOOKUP('Données projet'!$B$9,Paramètres!$A$1:$I$89,5,0)</f>
        <v>-1.2710188457276673E-13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255.5374979188561</v>
      </c>
      <c r="T94" s="59">
        <f t="shared" si="88"/>
        <v>343.10418468620901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0.92323432365387614</v>
      </c>
      <c r="AA94" s="21">
        <f>EXP(-LN(2)/25)*AA93+(1-EXP(-LN(2)/25))/(LN(2)/25)*Calculateur!V94*Calculateur!X94*VLOOKUP('Données projet'!$B$9,Paramètres!$A$1:$I$89,3,0)*0.475*44/12</f>
        <v>2.9412148419679238</v>
      </c>
      <c r="AB94" s="21">
        <f>EXP(-LN(2)/2)*AB93+(1-EXP(-LN(2)/2))/(LN(2)/2)*V94*Y94*VLOOKUP('Données projet'!$B$9,Paramètres!$A$1:$I$89,3,0)*0.475*44/12</f>
        <v>1.1146867308500045E-9</v>
      </c>
      <c r="AC94" s="22">
        <f t="shared" si="57"/>
        <v>3.8644491667364864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11.242307692307691</v>
      </c>
      <c r="AI94" s="13">
        <f>IF('Données projet'!$A$62&gt;35,AI93+AH94-AQ93,IF(A94&lt;'Données projet'!$A$62,$AF$205^A94,IF(A94='Données projet'!$A$62,'Données projet'!$B$62,AI93+AH94-AQ93)))</f>
        <v>424.15384615384636</v>
      </c>
      <c r="AJ94" s="13">
        <f>AI94*VLOOKUP('Données projet'!$B$10,Paramètres!$A$1:$I$89,3,0)*VLOOKUP('Données projet'!$B$10,Paramètres!$A$1:$I$89,5,0)</f>
        <v>198.5040000000001</v>
      </c>
      <c r="AK94" s="13">
        <f t="shared" si="89"/>
        <v>49.415248676990458</v>
      </c>
      <c r="AL94" s="20">
        <f t="shared" si="58"/>
        <v>431.79269144575846</v>
      </c>
      <c r="AM94" s="59">
        <f t="shared" si="59"/>
        <v>725.12602477909172</v>
      </c>
      <c r="AN94" s="59">
        <f ca="1">AVERAGE(OFFSET($AM$3,0,0,'Données projet'!$E$10+1,1))-AVERAGE(OFFSET($H$3,0,0,'Données projet'!$E$10+1,1))</f>
        <v>158.58786357608489</v>
      </c>
      <c r="AO94" s="59">
        <f t="shared" si="90"/>
        <v>163.20074068819849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553.99999999999955</v>
      </c>
      <c r="BE94" s="13">
        <f>BD94*VLOOKUP('Données projet'!$B$11,Paramètres!$A$1:$I$89,3,0)*VLOOKUP('Données projet'!$B$11,Paramètres!$A$1:$I$89,5,0)</f>
        <v>331.29199999999975</v>
      </c>
      <c r="BF94" s="13">
        <f t="shared" si="91"/>
        <v>77.698110787752</v>
      </c>
      <c r="BG94" s="20">
        <f t="shared" si="61"/>
        <v>712.32444295533423</v>
      </c>
      <c r="BH94" s="59">
        <f t="shared" si="62"/>
        <v>1005.6577762886675</v>
      </c>
      <c r="BI94" s="59">
        <f ca="1">AVERAGE(OFFSET($BH$3,0,0,'Données projet'!$E$11+1,1))-AVERAGE(OFFSET($H$3,0,0,'Données projet'!$E$11+1,1))</f>
        <v>316.58509520829671</v>
      </c>
      <c r="BJ94" s="59">
        <f t="shared" si="92"/>
        <v>240.71332110643596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0.75726541867890917</v>
      </c>
      <c r="BQ94" s="21">
        <f>EXP(-LN(2)/25)*BQ93+(1-EXP(-LN(2)/25))/(LN(2)/25)*Calculateur!BL94*Calculateur!BN94*VLOOKUP('Données projet'!$B$11,Paramètres!$A$1:$I$89,3,0)*0.475*44/12</f>
        <v>2.8136292970037857</v>
      </c>
      <c r="BR94" s="21">
        <f>EXP(-LN(2)/2)*BR93+(1-EXP(-LN(2)/2))/(LN(2)/2)*BL94*BO94*VLOOKUP('Données projet'!$B$11,Paramètres!$A$1:$I$89,3,0)*0.475*44/12</f>
        <v>1.4448033887590015E-8</v>
      </c>
      <c r="BS94" s="22">
        <f t="shared" si="63"/>
        <v>3.5708947301307288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-5.1159076974727213E-13</v>
      </c>
      <c r="BZ94" s="13">
        <f>BY94*VLOOKUP('Données projet'!$B$12,Paramètres!$A$1:$I$89,3,0)*VLOOKUP('Données projet'!$B$12,Paramètres!$A$1:$I$89,5,0)</f>
        <v>-4.0702161641092972E-13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260.20517190557814</v>
      </c>
      <c r="CE94" s="59">
        <f t="shared" si="94"/>
        <v>307.22009971147133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0.97490773537617503</v>
      </c>
      <c r="CL94" s="21">
        <f>EXP(-LN(2)/25)*CL93+(1-EXP(-LN(2)/25))/(LN(2)/25)*Calculateur!CG94*Calculateur!CI94*VLOOKUP('Données projet'!$B$12,Paramètres!$A$1:$I$89,3,0)*0.475*44/12</f>
        <v>3.7814273310263524</v>
      </c>
      <c r="CM94" s="21">
        <f>EXP(-LN(2)/2)*CM93+(1-EXP(-LN(2)/2))/(LN(2)/2)*CG94*CJ94*VLOOKUP('Données projet'!$B$12,Paramètres!$A$1:$I$89,3,0)*0.475*44/12</f>
        <v>1.5830773984361782E-8</v>
      </c>
      <c r="CN94" s="22">
        <f t="shared" si="66"/>
        <v>4.7563350822333019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7.1782051282051267</v>
      </c>
      <c r="CT94" s="12">
        <f>IF('Données projet'!$A$140&gt;35,CT93+CS94-DB93,IF(A94&lt;'Données projet'!$A$140,$CQ$205^A94,IF(A94='Données projet'!$A$140,'Données projet'!$B$140,CT93+CS94-DB93)))</f>
        <v>260.82435897435914</v>
      </c>
      <c r="CU94" s="17">
        <f>CT94*VLOOKUP('Données projet'!$B$13,Paramètres!$A$1:$I$89,3,0)*VLOOKUP('Données projet'!$B$13,Paramètres!$A$1:$I$89,5,0)</f>
        <v>264.47590000000019</v>
      </c>
      <c r="CV94" s="13">
        <f t="shared" si="95"/>
        <v>63.675509123397177</v>
      </c>
      <c r="CW94" s="20">
        <f t="shared" si="67"/>
        <v>571.53037088991698</v>
      </c>
      <c r="CX94" s="59">
        <f t="shared" si="68"/>
        <v>864.86370422325035</v>
      </c>
      <c r="CY94" s="59">
        <f ca="1">AVERAGE(OFFSET($CX$3,0,0,'Données projet'!$E$13+1,1))-AVERAGE(OFFSET($H$3,0,0,'Données projet'!$E$13+1,1))</f>
        <v>263.15518481854753</v>
      </c>
      <c r="CZ94" s="59">
        <f t="shared" si="96"/>
        <v>210.80755370263819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0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275.99999999999972</v>
      </c>
      <c r="DP94" s="17">
        <f>DO94*VLOOKUP('Données projet'!$B$14,Paramètres!$A$1:$I$89,3,0)*VLOOKUP('Données projet'!$B$14,Paramètres!$A$1:$I$89,5,0)</f>
        <v>223.8911999999998</v>
      </c>
      <c r="DQ94" s="13">
        <f t="shared" si="97"/>
        <v>54.95975389514858</v>
      </c>
      <c r="DR94" s="20">
        <f t="shared" si="70"/>
        <v>485.66541136738346</v>
      </c>
      <c r="DS94" s="59">
        <f t="shared" si="71"/>
        <v>778.99874470071677</v>
      </c>
      <c r="DT94" s="59">
        <f ca="1">AVERAGE(OFFSET($DS$3,0,0,'Données projet'!$E$14+1,1))-AVERAGE(OFFSET($H$3,0,0,'Données projet'!$E$14+1,1))</f>
        <v>203.21935660591021</v>
      </c>
      <c r="DU94" s="59">
        <f t="shared" si="98"/>
        <v>180.54762778843178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0.29954672640890678</v>
      </c>
      <c r="EB94" s="21">
        <f>EXP(-LN(2)/25)*EB93+(1-EXP(-LN(2)/25))/(LN(2)/25)*Calculateur!DW94*Calculateur!DY94*VLOOKUP('Données projet'!$B$14,Paramètres!$A$1:$I$89,3,0)*0.475*44/12</f>
        <v>1.0695272079740037</v>
      </c>
      <c r="EC94" s="21">
        <f>EXP(-LN(2)/2)*EC93+(1-EXP(-LN(2)/2))/(LN(2)/2)*DW94*DZ94*VLOOKUP('Données projet'!$B$14,Paramètres!$A$1:$I$89,3,0)*0.475*44/12</f>
        <v>5.9681811184762154E-9</v>
      </c>
      <c r="ED94" s="22">
        <f t="shared" si="72"/>
        <v>1.3690739403510914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-5.1159076974727213E-13</v>
      </c>
      <c r="EK94" s="17">
        <f>EJ94*VLOOKUP('Données projet'!$B$15,Paramètres!$A$1:$I$89,3,0)*VLOOKUP('Données projet'!$B$15,Paramètres!$A$1:$I$89,5,0)</f>
        <v>-3.4317508834647017E-13</v>
      </c>
      <c r="EL94" s="13" t="e">
        <f t="shared" si="99"/>
        <v>#NUM!</v>
      </c>
      <c r="EM94" s="20" t="e">
        <f t="shared" si="73"/>
        <v>#NUM!</v>
      </c>
      <c r="EN94" s="59" t="e">
        <f t="shared" si="74"/>
        <v>#NUM!</v>
      </c>
      <c r="EO94" s="59">
        <f ca="1">AVERAGE(OFFSET($EN$3,0,0,'Données projet'!$E$15+1,1))-AVERAGE(OFFSET($H$3,0,0,'Données projet'!$E$15+1,1))</f>
        <v>207.93042467236967</v>
      </c>
      <c r="EP94" s="59">
        <f t="shared" si="100"/>
        <v>250.70954318710835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0.8219810317877545</v>
      </c>
      <c r="EW94" s="21">
        <f>EXP(-LN(2)/25)*EW93+(1-EXP(-LN(2)/25))/(LN(2)/25)*Calculateur!ER94*Calculateur!ET94*VLOOKUP('Données projet'!$B$15,Paramètres!$A$1:$I$89,3,0)*0.475*44/12</f>
        <v>3.1882622594928116</v>
      </c>
      <c r="EX94" s="21">
        <f>EXP(-LN(2)/2)*EX93+(1-EXP(-LN(2)/2))/(LN(2)/2)*ER94*EU94*VLOOKUP('Données projet'!$B$15,Paramètres!$A$1:$I$89,3,0)*0.475*44/12</f>
        <v>1.3347515320148168E-8</v>
      </c>
      <c r="EY94" s="22">
        <f t="shared" si="75"/>
        <v>4.010243304628081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-2.2737367544323206E-13</v>
      </c>
      <c r="O95" s="13">
        <f>N95*VLOOKUP('Données projet'!$B$9,Paramètres!$A$1:$I$89,3,0)*VLOOKUP('Données projet'!$B$9,Paramètres!$A$1:$I$89,5,0)</f>
        <v>-1.2710188457276673E-13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255.5374979188561</v>
      </c>
      <c r="T95" s="59">
        <f t="shared" si="88"/>
        <v>343.10418468620901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0.90513026168435784</v>
      </c>
      <c r="AA95" s="21">
        <f>EXP(-LN(2)/25)*AA94+(1-EXP(-LN(2)/25))/(LN(2)/25)*Calculateur!V95*Calculateur!X95*VLOOKUP('Données projet'!$B$9,Paramètres!$A$1:$I$89,3,0)*0.475*44/12</f>
        <v>2.8607871674425445</v>
      </c>
      <c r="AB95" s="21">
        <f>EXP(-LN(2)/2)*AB94+(1-EXP(-LN(2)/2))/(LN(2)/2)*V95*Y95*VLOOKUP('Données projet'!$B$9,Paramètres!$A$1:$I$89,3,0)*0.475*44/12</f>
        <v>7.8820254628270214E-10</v>
      </c>
      <c r="AC95" s="22">
        <f t="shared" si="57"/>
        <v>3.7659174299151048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11.242307692307691</v>
      </c>
      <c r="AI95" s="13">
        <f>IF('Données projet'!$A$62&gt;35,AI94+AH95-AQ94,IF(A95&lt;'Données projet'!$A$62,$AF$205^A95,IF(A95='Données projet'!$A$62,'Données projet'!$B$62,AI94+AH95-AQ94)))</f>
        <v>435.39615384615405</v>
      </c>
      <c r="AJ95" s="13">
        <f>AI95*VLOOKUP('Données projet'!$B$10,Paramètres!$A$1:$I$89,3,0)*VLOOKUP('Données projet'!$B$10,Paramètres!$A$1:$I$89,5,0)</f>
        <v>203.76540000000008</v>
      </c>
      <c r="AK95" s="13">
        <f t="shared" si="89"/>
        <v>50.570788227585879</v>
      </c>
      <c r="AL95" s="20">
        <f t="shared" si="58"/>
        <v>442.96886116304557</v>
      </c>
      <c r="AM95" s="59">
        <f t="shared" si="59"/>
        <v>736.30219449637889</v>
      </c>
      <c r="AN95" s="59">
        <f ca="1">AVERAGE(OFFSET($AM$3,0,0,'Données projet'!$E$10+1,1))-AVERAGE(OFFSET($H$3,0,0,'Données projet'!$E$10+1,1))</f>
        <v>158.58786357608489</v>
      </c>
      <c r="AO95" s="59">
        <f t="shared" si="90"/>
        <v>163.20074068819849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553.99999999999955</v>
      </c>
      <c r="BE95" s="13">
        <f>BD95*VLOOKUP('Données projet'!$B$11,Paramètres!$A$1:$I$89,3,0)*VLOOKUP('Données projet'!$B$11,Paramètres!$A$1:$I$89,5,0)</f>
        <v>331.29199999999975</v>
      </c>
      <c r="BF95" s="13">
        <f t="shared" si="91"/>
        <v>77.698110787752</v>
      </c>
      <c r="BG95" s="20">
        <f t="shared" si="61"/>
        <v>712.32444295533423</v>
      </c>
      <c r="BH95" s="59">
        <f t="shared" si="62"/>
        <v>1005.6577762886675</v>
      </c>
      <c r="BI95" s="59">
        <f ca="1">AVERAGE(OFFSET($BH$3,0,0,'Données projet'!$E$11+1,1))-AVERAGE(OFFSET($H$3,0,0,'Données projet'!$E$11+1,1))</f>
        <v>316.58509520829671</v>
      </c>
      <c r="BJ95" s="59">
        <f t="shared" si="92"/>
        <v>240.71332110643596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0.74241590570491367</v>
      </c>
      <c r="BQ95" s="21">
        <f>EXP(-LN(2)/25)*BQ94+(1-EXP(-LN(2)/25))/(LN(2)/25)*Calculateur!BL95*Calculateur!BN95*VLOOKUP('Données projet'!$B$11,Paramètres!$A$1:$I$89,3,0)*0.475*44/12</f>
        <v>2.736690455914883</v>
      </c>
      <c r="BR95" s="21">
        <f>EXP(-LN(2)/2)*BR94+(1-EXP(-LN(2)/2))/(LN(2)/2)*BL95*BO95*VLOOKUP('Données projet'!$B$11,Paramètres!$A$1:$I$89,3,0)*0.475*44/12</f>
        <v>1.0216302736727937E-8</v>
      </c>
      <c r="BS95" s="22">
        <f t="shared" si="63"/>
        <v>3.4791063718360995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-5.1159076974727213E-13</v>
      </c>
      <c r="BZ95" s="13">
        <f>BY95*VLOOKUP('Données projet'!$B$12,Paramètres!$A$1:$I$89,3,0)*VLOOKUP('Données projet'!$B$12,Paramètres!$A$1:$I$89,5,0)</f>
        <v>-4.0702161641092972E-13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260.20517190557814</v>
      </c>
      <c r="CE95" s="59">
        <f t="shared" si="94"/>
        <v>307.22009971147133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0.95579038932045146</v>
      </c>
      <c r="CL95" s="21">
        <f>EXP(-LN(2)/25)*CL94+(1-EXP(-LN(2)/25))/(LN(2)/25)*Calculateur!CG95*Calculateur!CI95*VLOOKUP('Données projet'!$B$12,Paramètres!$A$1:$I$89,3,0)*0.475*44/12</f>
        <v>3.6780240018028159</v>
      </c>
      <c r="CM95" s="21">
        <f>EXP(-LN(2)/2)*CM94+(1-EXP(-LN(2)/2))/(LN(2)/2)*CG95*CJ95*VLOOKUP('Données projet'!$B$12,Paramètres!$A$1:$I$89,3,0)*0.475*44/12</f>
        <v>1.1194047635773796E-8</v>
      </c>
      <c r="CN95" s="22">
        <f t="shared" si="66"/>
        <v>4.6338144023173147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7.1782051282051267</v>
      </c>
      <c r="CT95" s="12">
        <f>IF('Données projet'!$A$140&gt;35,CT94+CS95-DB94,IF(A95&lt;'Données projet'!$A$140,$CQ$205^A95,IF(A95='Données projet'!$A$140,'Données projet'!$B$140,CT94+CS95-DB94)))</f>
        <v>268.00256410256429</v>
      </c>
      <c r="CU95" s="17">
        <f>CT95*VLOOKUP('Données projet'!$B$13,Paramètres!$A$1:$I$89,3,0)*VLOOKUP('Données projet'!$B$13,Paramètres!$A$1:$I$89,5,0)</f>
        <v>271.75460000000021</v>
      </c>
      <c r="CV95" s="13">
        <f t="shared" si="95"/>
        <v>65.221499194772917</v>
      </c>
      <c r="CW95" s="20">
        <f t="shared" si="67"/>
        <v>586.90003943089653</v>
      </c>
      <c r="CX95" s="59">
        <f t="shared" si="68"/>
        <v>880.2333727642299</v>
      </c>
      <c r="CY95" s="59">
        <f ca="1">AVERAGE(OFFSET($CX$3,0,0,'Données projet'!$E$13+1,1))-AVERAGE(OFFSET($H$3,0,0,'Données projet'!$E$13+1,1))</f>
        <v>263.15518481854753</v>
      </c>
      <c r="CZ95" s="59">
        <f t="shared" si="96"/>
        <v>210.80755370263819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0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275.99999999999972</v>
      </c>
      <c r="DP95" s="17">
        <f>DO95*VLOOKUP('Données projet'!$B$14,Paramètres!$A$1:$I$89,3,0)*VLOOKUP('Données projet'!$B$14,Paramètres!$A$1:$I$89,5,0)</f>
        <v>223.8911999999998</v>
      </c>
      <c r="DQ95" s="13">
        <f t="shared" si="97"/>
        <v>54.95975389514858</v>
      </c>
      <c r="DR95" s="20">
        <f t="shared" si="70"/>
        <v>485.66541136738346</v>
      </c>
      <c r="DS95" s="59">
        <f t="shared" si="71"/>
        <v>778.99874470071677</v>
      </c>
      <c r="DT95" s="59">
        <f ca="1">AVERAGE(OFFSET($DS$3,0,0,'Données projet'!$E$14+1,1))-AVERAGE(OFFSET($H$3,0,0,'Données projet'!$E$14+1,1))</f>
        <v>203.21935660591021</v>
      </c>
      <c r="DU95" s="59">
        <f t="shared" si="98"/>
        <v>180.54762778843178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0.29367279780949057</v>
      </c>
      <c r="EB95" s="21">
        <f>EXP(-LN(2)/25)*EB94+(1-EXP(-LN(2)/25))/(LN(2)/25)*Calculateur!DW95*Calculateur!DY95*VLOOKUP('Données projet'!$B$14,Paramètres!$A$1:$I$89,3,0)*0.475*44/12</f>
        <v>1.0402809302279632</v>
      </c>
      <c r="EC95" s="21">
        <f>EXP(-LN(2)/2)*EC94+(1-EXP(-LN(2)/2))/(LN(2)/2)*DW95*DZ95*VLOOKUP('Données projet'!$B$14,Paramètres!$A$1:$I$89,3,0)*0.475*44/12</f>
        <v>4.2201413402240456E-9</v>
      </c>
      <c r="ED95" s="22">
        <f t="shared" si="72"/>
        <v>1.3339537322575952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-5.1159076974727213E-13</v>
      </c>
      <c r="EK95" s="17">
        <f>EJ95*VLOOKUP('Données projet'!$B$15,Paramètres!$A$1:$I$89,3,0)*VLOOKUP('Données projet'!$B$15,Paramètres!$A$1:$I$89,5,0)</f>
        <v>-3.4317508834647017E-13</v>
      </c>
      <c r="EL95" s="13" t="e">
        <f t="shared" si="99"/>
        <v>#NUM!</v>
      </c>
      <c r="EM95" s="20" t="e">
        <f t="shared" si="73"/>
        <v>#NUM!</v>
      </c>
      <c r="EN95" s="59" t="e">
        <f t="shared" si="74"/>
        <v>#NUM!</v>
      </c>
      <c r="EO95" s="59">
        <f ca="1">AVERAGE(OFFSET($EN$3,0,0,'Données projet'!$E$15+1,1))-AVERAGE(OFFSET($H$3,0,0,'Données projet'!$E$15+1,1))</f>
        <v>207.93042467236967</v>
      </c>
      <c r="EP95" s="59">
        <f t="shared" si="100"/>
        <v>250.70954318710835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0.80586248511332093</v>
      </c>
      <c r="EW95" s="21">
        <f>EXP(-LN(2)/25)*EW94+(1-EXP(-LN(2)/25))/(LN(2)/25)*Calculateur!ER95*Calculateur!ET95*VLOOKUP('Données projet'!$B$15,Paramètres!$A$1:$I$89,3,0)*0.475*44/12</f>
        <v>3.1010790603435554</v>
      </c>
      <c r="EX95" s="21">
        <f>EXP(-LN(2)/2)*EX94+(1-EXP(-LN(2)/2))/(LN(2)/2)*ER95*EU95*VLOOKUP('Données projet'!$B$15,Paramètres!$A$1:$I$89,3,0)*0.475*44/12</f>
        <v>9.4381185948681016E-9</v>
      </c>
      <c r="EY95" s="22">
        <f t="shared" si="75"/>
        <v>3.9069415548949951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-2.2737367544323206E-13</v>
      </c>
      <c r="O96" s="13">
        <f>N96*VLOOKUP('Données projet'!$B$9,Paramètres!$A$1:$I$89,3,0)*VLOOKUP('Données projet'!$B$9,Paramètres!$A$1:$I$89,5,0)</f>
        <v>-1.2710188457276673E-13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255.5374979188561</v>
      </c>
      <c r="T96" s="59">
        <f t="shared" si="88"/>
        <v>343.10418468620901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0.88738120932767439</v>
      </c>
      <c r="AA96" s="21">
        <f>EXP(-LN(2)/25)*AA95+(1-EXP(-LN(2)/25))/(LN(2)/25)*Calculateur!V96*Calculateur!X96*VLOOKUP('Données projet'!$B$9,Paramètres!$A$1:$I$89,3,0)*0.475*44/12</f>
        <v>2.7825587919065695</v>
      </c>
      <c r="AB96" s="21">
        <f>EXP(-LN(2)/2)*AB95+(1-EXP(-LN(2)/2))/(LN(2)/2)*V96*Y96*VLOOKUP('Données projet'!$B$9,Paramètres!$A$1:$I$89,3,0)*0.475*44/12</f>
        <v>5.5734336542500225E-10</v>
      </c>
      <c r="AC96" s="22">
        <f t="shared" si="57"/>
        <v>3.6699400017915873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11.242307692307691</v>
      </c>
      <c r="AI96" s="13">
        <f>IF('Données projet'!$A$62&gt;35,AI95+AH96-AQ95,IF(A96&lt;'Données projet'!$A$62,$AF$205^A96,IF(A96='Données projet'!$A$62,'Données projet'!$B$62,AI95+AH96-AQ95)))</f>
        <v>446.63846153846174</v>
      </c>
      <c r="AJ96" s="13">
        <f>AI96*VLOOKUP('Données projet'!$B$10,Paramètres!$A$1:$I$89,3,0)*VLOOKUP('Données projet'!$B$10,Paramètres!$A$1:$I$89,5,0)</f>
        <v>209.02680000000009</v>
      </c>
      <c r="AK96" s="13">
        <f t="shared" si="89"/>
        <v>51.722859553755349</v>
      </c>
      <c r="AL96" s="20">
        <f t="shared" si="58"/>
        <v>454.13899038945743</v>
      </c>
      <c r="AM96" s="59">
        <f t="shared" si="59"/>
        <v>747.47232372279075</v>
      </c>
      <c r="AN96" s="59">
        <f ca="1">AVERAGE(OFFSET($AM$3,0,0,'Données projet'!$E$10+1,1))-AVERAGE(OFFSET($H$3,0,0,'Données projet'!$E$10+1,1))</f>
        <v>158.58786357608489</v>
      </c>
      <c r="AO96" s="59">
        <f t="shared" si="90"/>
        <v>163.20074068819849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553.99999999999955</v>
      </c>
      <c r="BE96" s="13">
        <f>BD96*VLOOKUP('Données projet'!$B$11,Paramètres!$A$1:$I$89,3,0)*VLOOKUP('Données projet'!$B$11,Paramètres!$A$1:$I$89,5,0)</f>
        <v>331.29199999999975</v>
      </c>
      <c r="BF96" s="13">
        <f t="shared" si="91"/>
        <v>77.698110787752</v>
      </c>
      <c r="BG96" s="20">
        <f t="shared" si="61"/>
        <v>712.32444295533423</v>
      </c>
      <c r="BH96" s="59">
        <f t="shared" si="62"/>
        <v>1005.6577762886675</v>
      </c>
      <c r="BI96" s="59">
        <f ca="1">AVERAGE(OFFSET($BH$3,0,0,'Données projet'!$E$11+1,1))-AVERAGE(OFFSET($H$3,0,0,'Données projet'!$E$11+1,1))</f>
        <v>316.58509520829671</v>
      </c>
      <c r="BJ96" s="59">
        <f t="shared" si="92"/>
        <v>240.71332110643596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0.72785758262302969</v>
      </c>
      <c r="BQ96" s="21">
        <f>EXP(-LN(2)/25)*BQ95+(1-EXP(-LN(2)/25))/(LN(2)/25)*Calculateur!BL96*Calculateur!BN96*VLOOKUP('Données projet'!$B$11,Paramètres!$A$1:$I$89,3,0)*0.475*44/12</f>
        <v>2.661855511481594</v>
      </c>
      <c r="BR96" s="21">
        <f>EXP(-LN(2)/2)*BR95+(1-EXP(-LN(2)/2))/(LN(2)/2)*BL96*BO96*VLOOKUP('Données projet'!$B$11,Paramètres!$A$1:$I$89,3,0)*0.475*44/12</f>
        <v>7.2240169437950083E-9</v>
      </c>
      <c r="BS96" s="22">
        <f t="shared" si="63"/>
        <v>3.3897131013286406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-5.1159076974727213E-13</v>
      </c>
      <c r="BZ96" s="13">
        <f>BY96*VLOOKUP('Données projet'!$B$12,Paramètres!$A$1:$I$89,3,0)*VLOOKUP('Données projet'!$B$12,Paramètres!$A$1:$I$89,5,0)</f>
        <v>-4.0702161641092972E-13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260.20517190557814</v>
      </c>
      <c r="CE96" s="59">
        <f t="shared" si="94"/>
        <v>307.22009971147133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0.9370479227604509</v>
      </c>
      <c r="CL96" s="21">
        <f>EXP(-LN(2)/25)*CL95+(1-EXP(-LN(2)/25))/(LN(2)/25)*Calculateur!CG96*Calculateur!CI96*VLOOKUP('Données projet'!$B$12,Paramètres!$A$1:$I$89,3,0)*0.475*44/12</f>
        <v>3.5774482420546416</v>
      </c>
      <c r="CM96" s="21">
        <f>EXP(-LN(2)/2)*CM95+(1-EXP(-LN(2)/2))/(LN(2)/2)*CG96*CJ96*VLOOKUP('Données projet'!$B$12,Paramètres!$A$1:$I$89,3,0)*0.475*44/12</f>
        <v>7.915386992180891E-9</v>
      </c>
      <c r="CN96" s="22">
        <f t="shared" si="66"/>
        <v>4.5144961727304791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7.1782051282051267</v>
      </c>
      <c r="CT96" s="12">
        <f>IF('Données projet'!$A$140&gt;35,CT95+CS96-DB95,IF(A96&lt;'Données projet'!$A$140,$CQ$205^A96,IF(A96='Données projet'!$A$140,'Données projet'!$B$140,CT95+CS96-DB95)))</f>
        <v>275.18076923076944</v>
      </c>
      <c r="CU96" s="17">
        <f>CT96*VLOOKUP('Données projet'!$B$13,Paramètres!$A$1:$I$89,3,0)*VLOOKUP('Données projet'!$B$13,Paramètres!$A$1:$I$89,5,0)</f>
        <v>279.03330000000022</v>
      </c>
      <c r="CV96" s="13">
        <f t="shared" si="95"/>
        <v>66.762676279521074</v>
      </c>
      <c r="CW96" s="20">
        <f t="shared" si="67"/>
        <v>602.26132535349961</v>
      </c>
      <c r="CX96" s="59">
        <f t="shared" si="68"/>
        <v>895.59465868683287</v>
      </c>
      <c r="CY96" s="59">
        <f ca="1">AVERAGE(OFFSET($CX$3,0,0,'Données projet'!$E$13+1,1))-AVERAGE(OFFSET($H$3,0,0,'Données projet'!$E$13+1,1))</f>
        <v>263.15518481854753</v>
      </c>
      <c r="CZ96" s="59">
        <f t="shared" si="96"/>
        <v>210.80755370263819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0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275.99999999999972</v>
      </c>
      <c r="DP96" s="17">
        <f>DO96*VLOOKUP('Données projet'!$B$14,Paramètres!$A$1:$I$89,3,0)*VLOOKUP('Données projet'!$B$14,Paramètres!$A$1:$I$89,5,0)</f>
        <v>223.8911999999998</v>
      </c>
      <c r="DQ96" s="13">
        <f t="shared" si="97"/>
        <v>54.95975389514858</v>
      </c>
      <c r="DR96" s="20">
        <f t="shared" si="70"/>
        <v>485.66541136738346</v>
      </c>
      <c r="DS96" s="59">
        <f t="shared" si="71"/>
        <v>778.99874470071677</v>
      </c>
      <c r="DT96" s="59">
        <f ca="1">AVERAGE(OFFSET($DS$3,0,0,'Données projet'!$E$14+1,1))-AVERAGE(OFFSET($H$3,0,0,'Données projet'!$E$14+1,1))</f>
        <v>203.21935660591021</v>
      </c>
      <c r="DU96" s="59">
        <f t="shared" si="98"/>
        <v>180.54762778843178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0.28791405336716624</v>
      </c>
      <c r="EB96" s="21">
        <f>EXP(-LN(2)/25)*EB95+(1-EXP(-LN(2)/25))/(LN(2)/25)*Calculateur!DW96*Calculateur!DY96*VLOOKUP('Données projet'!$B$14,Paramètres!$A$1:$I$89,3,0)*0.475*44/12</f>
        <v>1.011834393484883</v>
      </c>
      <c r="EC96" s="21">
        <f>EXP(-LN(2)/2)*EC95+(1-EXP(-LN(2)/2))/(LN(2)/2)*DW96*DZ96*VLOOKUP('Données projet'!$B$14,Paramètres!$A$1:$I$89,3,0)*0.475*44/12</f>
        <v>2.9840905592381077E-9</v>
      </c>
      <c r="ED96" s="22">
        <f t="shared" si="72"/>
        <v>1.2997484498361398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-5.1159076974727213E-13</v>
      </c>
      <c r="EK96" s="17">
        <f>EJ96*VLOOKUP('Données projet'!$B$15,Paramètres!$A$1:$I$89,3,0)*VLOOKUP('Données projet'!$B$15,Paramètres!$A$1:$I$89,5,0)</f>
        <v>-3.4317508834647017E-13</v>
      </c>
      <c r="EL96" s="13" t="e">
        <f t="shared" si="99"/>
        <v>#NUM!</v>
      </c>
      <c r="EM96" s="20" t="e">
        <f t="shared" si="73"/>
        <v>#NUM!</v>
      </c>
      <c r="EN96" s="59" t="e">
        <f t="shared" si="74"/>
        <v>#NUM!</v>
      </c>
      <c r="EO96" s="59">
        <f ca="1">AVERAGE(OFFSET($EN$3,0,0,'Données projet'!$E$15+1,1))-AVERAGE(OFFSET($H$3,0,0,'Données projet'!$E$15+1,1))</f>
        <v>207.93042467236967</v>
      </c>
      <c r="EP96" s="59">
        <f t="shared" si="100"/>
        <v>250.70954318710835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0.79006001330783027</v>
      </c>
      <c r="EW96" s="21">
        <f>EXP(-LN(2)/25)*EW95+(1-EXP(-LN(2)/25))/(LN(2)/25)*Calculateur!ER96*Calculateur!ET96*VLOOKUP('Données projet'!$B$15,Paramètres!$A$1:$I$89,3,0)*0.475*44/12</f>
        <v>3.0162798903598009</v>
      </c>
      <c r="EX96" s="21">
        <f>EXP(-LN(2)/2)*EX95+(1-EXP(-LN(2)/2))/(LN(2)/2)*ER96*EU96*VLOOKUP('Données projet'!$B$15,Paramètres!$A$1:$I$89,3,0)*0.475*44/12</f>
        <v>6.6737576600740842E-9</v>
      </c>
      <c r="EY96" s="22">
        <f t="shared" si="75"/>
        <v>3.8063399103413889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-2.2737367544323206E-13</v>
      </c>
      <c r="O97" s="13">
        <f>N97*VLOOKUP('Données projet'!$B$9,Paramètres!$A$1:$I$89,3,0)*VLOOKUP('Données projet'!$B$9,Paramètres!$A$1:$I$89,5,0)</f>
        <v>-1.2710188457276673E-13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255.5374979188561</v>
      </c>
      <c r="T97" s="59">
        <f t="shared" si="88"/>
        <v>343.10418468620901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0.86998020506185247</v>
      </c>
      <c r="AA97" s="21">
        <f>EXP(-LN(2)/25)*AA96+(1-EXP(-LN(2)/25))/(LN(2)/25)*Calculateur!V97*Calculateur!X97*VLOOKUP('Données projet'!$B$9,Paramètres!$A$1:$I$89,3,0)*0.475*44/12</f>
        <v>2.7064695754134771</v>
      </c>
      <c r="AB97" s="21">
        <f>EXP(-LN(2)/2)*AB96+(1-EXP(-LN(2)/2))/(LN(2)/2)*V97*Y97*VLOOKUP('Données projet'!$B$9,Paramètres!$A$1:$I$89,3,0)*0.475*44/12</f>
        <v>3.9410127314135107E-10</v>
      </c>
      <c r="AC97" s="22">
        <f t="shared" si="57"/>
        <v>3.5764497808694307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11.242307692307691</v>
      </c>
      <c r="AI97" s="13">
        <f>IF('Données projet'!$A$62&gt;35,AI96+AH97-AQ96,IF(A97&lt;'Données projet'!$A$62,$AF$205^A97,IF(A97='Données projet'!$A$62,'Données projet'!$B$62,AI96+AH97-AQ96)))</f>
        <v>457.88076923076943</v>
      </c>
      <c r="AJ97" s="13">
        <f>AI97*VLOOKUP('Données projet'!$B$10,Paramètres!$A$1:$I$89,3,0)*VLOOKUP('Données projet'!$B$10,Paramètres!$A$1:$I$89,5,0)</f>
        <v>214.28820000000007</v>
      </c>
      <c r="AK97" s="13">
        <f t="shared" si="89"/>
        <v>52.871559993650941</v>
      </c>
      <c r="AL97" s="20">
        <f t="shared" si="58"/>
        <v>465.3032486556088</v>
      </c>
      <c r="AM97" s="59">
        <f t="shared" si="59"/>
        <v>758.63658198894211</v>
      </c>
      <c r="AN97" s="59">
        <f ca="1">AVERAGE(OFFSET($AM$3,0,0,'Données projet'!$E$10+1,1))-AVERAGE(OFFSET($H$3,0,0,'Données projet'!$E$10+1,1))</f>
        <v>158.58786357608489</v>
      </c>
      <c r="AO97" s="59">
        <f t="shared" si="90"/>
        <v>163.20074068819849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553.99999999999955</v>
      </c>
      <c r="BE97" s="13">
        <f>BD97*VLOOKUP('Données projet'!$B$11,Paramètres!$A$1:$I$89,3,0)*VLOOKUP('Données projet'!$B$11,Paramètres!$A$1:$I$89,5,0)</f>
        <v>331.29199999999975</v>
      </c>
      <c r="BF97" s="13">
        <f t="shared" si="91"/>
        <v>77.698110787752</v>
      </c>
      <c r="BG97" s="20">
        <f t="shared" si="61"/>
        <v>712.32444295533423</v>
      </c>
      <c r="BH97" s="59">
        <f t="shared" si="62"/>
        <v>1005.6577762886675</v>
      </c>
      <c r="BI97" s="59">
        <f ca="1">AVERAGE(OFFSET($BH$3,0,0,'Données projet'!$E$11+1,1))-AVERAGE(OFFSET($H$3,0,0,'Données projet'!$E$11+1,1))</f>
        <v>316.58509520829671</v>
      </c>
      <c r="BJ97" s="59">
        <f t="shared" si="92"/>
        <v>240.71332110643596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0.71358473937708111</v>
      </c>
      <c r="BQ97" s="21">
        <f>EXP(-LN(2)/25)*BQ96+(1-EXP(-LN(2)/25))/(LN(2)/25)*Calculateur!BL97*Calculateur!BN97*VLOOKUP('Données projet'!$B$11,Paramètres!$A$1:$I$89,3,0)*0.475*44/12</f>
        <v>2.5890669325392324</v>
      </c>
      <c r="BR97" s="21">
        <f>EXP(-LN(2)/2)*BR96+(1-EXP(-LN(2)/2))/(LN(2)/2)*BL97*BO97*VLOOKUP('Données projet'!$B$11,Paramètres!$A$1:$I$89,3,0)*0.475*44/12</f>
        <v>5.1081513683639692E-9</v>
      </c>
      <c r="BS97" s="22">
        <f t="shared" si="63"/>
        <v>3.3026516770244649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-5.1159076974727213E-13</v>
      </c>
      <c r="BZ97" s="13">
        <f>BY97*VLOOKUP('Données projet'!$B$12,Paramètres!$A$1:$I$89,3,0)*VLOOKUP('Données projet'!$B$12,Paramètres!$A$1:$I$89,5,0)</f>
        <v>-4.0702161641092972E-13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260.20517190557814</v>
      </c>
      <c r="CE97" s="59">
        <f t="shared" si="94"/>
        <v>307.22009971147133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0.91867298453791613</v>
      </c>
      <c r="CL97" s="21">
        <f>EXP(-LN(2)/25)*CL96+(1-EXP(-LN(2)/25))/(LN(2)/25)*Calculateur!CG97*Calculateur!CI97*VLOOKUP('Données projet'!$B$12,Paramètres!$A$1:$I$89,3,0)*0.475*44/12</f>
        <v>3.4796227317458306</v>
      </c>
      <c r="CM97" s="21">
        <f>EXP(-LN(2)/2)*CM96+(1-EXP(-LN(2)/2))/(LN(2)/2)*CG97*CJ97*VLOOKUP('Données projet'!$B$12,Paramètres!$A$1:$I$89,3,0)*0.475*44/12</f>
        <v>5.5970238178868979E-9</v>
      </c>
      <c r="CN97" s="22">
        <f t="shared" si="66"/>
        <v>4.3982957218807712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7.1782051282051267</v>
      </c>
      <c r="CT97" s="12">
        <f>IF('Données projet'!$A$140&gt;35,CT96+CS97-DB96,IF(A97&lt;'Données projet'!$A$140,$CQ$205^A97,IF(A97='Données projet'!$A$140,'Données projet'!$B$140,CT96+CS97-DB96)))</f>
        <v>282.35897435897459</v>
      </c>
      <c r="CU97" s="17">
        <f>CT97*VLOOKUP('Données projet'!$B$13,Paramètres!$A$1:$I$89,3,0)*VLOOKUP('Données projet'!$B$13,Paramètres!$A$1:$I$89,5,0)</f>
        <v>286.3120000000003</v>
      </c>
      <c r="CV97" s="13">
        <f t="shared" si="95"/>
        <v>68.299180359837749</v>
      </c>
      <c r="CW97" s="20">
        <f t="shared" si="67"/>
        <v>617.61447246005116</v>
      </c>
      <c r="CX97" s="59">
        <f t="shared" si="68"/>
        <v>910.94780579338453</v>
      </c>
      <c r="CY97" s="59">
        <f ca="1">AVERAGE(OFFSET($CX$3,0,0,'Données projet'!$E$13+1,1))-AVERAGE(OFFSET($H$3,0,0,'Données projet'!$E$13+1,1))</f>
        <v>263.15518481854753</v>
      </c>
      <c r="CZ97" s="59">
        <f t="shared" si="96"/>
        <v>210.80755370263819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0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275.99999999999972</v>
      </c>
      <c r="DP97" s="17">
        <f>DO97*VLOOKUP('Données projet'!$B$14,Paramètres!$A$1:$I$89,3,0)*VLOOKUP('Données projet'!$B$14,Paramètres!$A$1:$I$89,5,0)</f>
        <v>223.8911999999998</v>
      </c>
      <c r="DQ97" s="13">
        <f t="shared" si="97"/>
        <v>54.95975389514858</v>
      </c>
      <c r="DR97" s="20">
        <f t="shared" si="70"/>
        <v>485.66541136738346</v>
      </c>
      <c r="DS97" s="59">
        <f t="shared" si="71"/>
        <v>778.99874470071677</v>
      </c>
      <c r="DT97" s="59">
        <f ca="1">AVERAGE(OFFSET($DS$3,0,0,'Données projet'!$E$14+1,1))-AVERAGE(OFFSET($H$3,0,0,'Données projet'!$E$14+1,1))</f>
        <v>203.21935660591021</v>
      </c>
      <c r="DU97" s="59">
        <f t="shared" si="98"/>
        <v>180.54762778843178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0.28226823439086862</v>
      </c>
      <c r="EB97" s="21">
        <f>EXP(-LN(2)/25)*EB96+(1-EXP(-LN(2)/25))/(LN(2)/25)*Calculateur!DW97*Calculateur!DY97*VLOOKUP('Données projet'!$B$14,Paramètres!$A$1:$I$89,3,0)*0.475*44/12</f>
        <v>0.98416572878498076</v>
      </c>
      <c r="EC97" s="21">
        <f>EXP(-LN(2)/2)*EC96+(1-EXP(-LN(2)/2))/(LN(2)/2)*DW97*DZ97*VLOOKUP('Données projet'!$B$14,Paramètres!$A$1:$I$89,3,0)*0.475*44/12</f>
        <v>2.1100706701120228E-9</v>
      </c>
      <c r="ED97" s="22">
        <f t="shared" si="72"/>
        <v>1.26643396528592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-5.1159076974727213E-13</v>
      </c>
      <c r="EK97" s="17">
        <f>EJ97*VLOOKUP('Données projet'!$B$15,Paramètres!$A$1:$I$89,3,0)*VLOOKUP('Données projet'!$B$15,Paramètres!$A$1:$I$89,5,0)</f>
        <v>-3.4317508834647017E-13</v>
      </c>
      <c r="EL97" s="13" t="e">
        <f t="shared" si="99"/>
        <v>#NUM!</v>
      </c>
      <c r="EM97" s="20" t="e">
        <f t="shared" si="73"/>
        <v>#NUM!</v>
      </c>
      <c r="EN97" s="59" t="e">
        <f t="shared" si="74"/>
        <v>#NUM!</v>
      </c>
      <c r="EO97" s="59">
        <f ca="1">AVERAGE(OFFSET($EN$3,0,0,'Données projet'!$E$15+1,1))-AVERAGE(OFFSET($H$3,0,0,'Données projet'!$E$15+1,1))</f>
        <v>207.93042467236967</v>
      </c>
      <c r="EP97" s="59">
        <f t="shared" si="100"/>
        <v>250.70954318710835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0.77456741833588927</v>
      </c>
      <c r="EW97" s="21">
        <f>EXP(-LN(2)/25)*EW96+(1-EXP(-LN(2)/25))/(LN(2)/25)*Calculateur!ER97*Calculateur!ET97*VLOOKUP('Données projet'!$B$15,Paramètres!$A$1:$I$89,3,0)*0.475*44/12</f>
        <v>2.9337995581386465</v>
      </c>
      <c r="EX97" s="21">
        <f>EXP(-LN(2)/2)*EX96+(1-EXP(-LN(2)/2))/(LN(2)/2)*ER97*EU97*VLOOKUP('Données projet'!$B$15,Paramètres!$A$1:$I$89,3,0)*0.475*44/12</f>
        <v>4.7190592974340508E-9</v>
      </c>
      <c r="EY97" s="22">
        <f t="shared" si="75"/>
        <v>3.7083669811935951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-2.2737367544323206E-13</v>
      </c>
      <c r="O98" s="13">
        <f>N98*VLOOKUP('Données projet'!$B$9,Paramètres!$A$1:$I$89,3,0)*VLOOKUP('Données projet'!$B$9,Paramètres!$A$1:$I$89,5,0)</f>
        <v>-1.2710188457276673E-13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255.5374979188561</v>
      </c>
      <c r="T98" s="59">
        <f t="shared" si="88"/>
        <v>343.10418468620901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0.85292042387611877</v>
      </c>
      <c r="AA98" s="21">
        <f>EXP(-LN(2)/25)*AA97+(1-EXP(-LN(2)/25))/(LN(2)/25)*Calculateur!V98*Calculateur!X98*VLOOKUP('Données projet'!$B$9,Paramètres!$A$1:$I$89,3,0)*0.475*44/12</f>
        <v>2.6324610225467464</v>
      </c>
      <c r="AB98" s="21">
        <f>EXP(-LN(2)/2)*AB97+(1-EXP(-LN(2)/2))/(LN(2)/2)*V98*Y98*VLOOKUP('Données projet'!$B$9,Paramètres!$A$1:$I$89,3,0)*0.475*44/12</f>
        <v>2.7867168271250113E-10</v>
      </c>
      <c r="AC98" s="22">
        <f t="shared" si="57"/>
        <v>3.4853814467015369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>
        <f>VLOOKUP(A98,'Données projet'!$A$61:$I$81,2,0)</f>
        <v>469.12307692307689</v>
      </c>
      <c r="AG98" s="12">
        <f>VLOOKUP(A98,'Données projet'!$A$61:$I$81,9,0)</f>
        <v>11.242307692307691</v>
      </c>
      <c r="AH98" s="12">
        <f t="array" ref="AH98">INDEX(AG:AG,MIN(IF(ISNUMBER(AG98:AG294),ROW(AG98:AG294),"")))</f>
        <v>11.242307692307691</v>
      </c>
      <c r="AI98" s="13">
        <f>IF('Données projet'!$A$62&gt;35,AI97+AH98-AQ97,IF(A98&lt;'Données projet'!$A$62,$AF$205^A98,IF(A98='Données projet'!$A$62,'Données projet'!$B$62,AI97+AH98-AQ97)))</f>
        <v>469.12307692307712</v>
      </c>
      <c r="AJ98" s="13">
        <f>AI98*VLOOKUP('Données projet'!$B$10,Paramètres!$A$1:$I$89,3,0)*VLOOKUP('Données projet'!$B$10,Paramètres!$A$1:$I$89,5,0)</f>
        <v>219.54960000000008</v>
      </c>
      <c r="AK98" s="13">
        <f t="shared" si="89"/>
        <v>54.016981833057052</v>
      </c>
      <c r="AL98" s="20">
        <f t="shared" si="58"/>
        <v>476.46179669257441</v>
      </c>
      <c r="AM98" s="59">
        <f t="shared" si="59"/>
        <v>769.79513002590772</v>
      </c>
      <c r="AN98" s="59">
        <f ca="1">AVERAGE(OFFSET($AM$3,0,0,'Données projet'!$E$10+1,1))-AVERAGE(OFFSET($H$3,0,0,'Données projet'!$E$10+1,1))</f>
        <v>158.58786357608489</v>
      </c>
      <c r="AO98" s="59">
        <f t="shared" si="90"/>
        <v>163.20074068819849</v>
      </c>
      <c r="AP98" s="15">
        <f>IF(ISNA(VLOOKUP(A98,'Données projet'!$A$61:$I$81,3,0)),0,VLOOKUP(A98,'Données projet'!$A$61:$I$81,3,0))</f>
        <v>8</v>
      </c>
      <c r="AQ98" s="15">
        <f>IF(ISNA(VLOOKUP(A98,'Données projet'!$A$61:$I$81,4,0)),0,VLOOKUP(A98,'Données projet'!$A$61:$I$81,4,0))</f>
        <v>234.42307692307691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553.99999999999955</v>
      </c>
      <c r="BE98" s="13">
        <f>BD98*VLOOKUP('Données projet'!$B$11,Paramètres!$A$1:$I$89,3,0)*VLOOKUP('Données projet'!$B$11,Paramètres!$A$1:$I$89,5,0)</f>
        <v>331.29199999999975</v>
      </c>
      <c r="BF98" s="13">
        <f t="shared" si="91"/>
        <v>77.698110787752</v>
      </c>
      <c r="BG98" s="20">
        <f t="shared" si="61"/>
        <v>712.32444295533423</v>
      </c>
      <c r="BH98" s="59">
        <f t="shared" si="62"/>
        <v>1005.6577762886675</v>
      </c>
      <c r="BI98" s="59">
        <f ca="1">AVERAGE(OFFSET($BH$3,0,0,'Données projet'!$E$11+1,1))-AVERAGE(OFFSET($H$3,0,0,'Données projet'!$E$11+1,1))</f>
        <v>316.58509520829671</v>
      </c>
      <c r="BJ98" s="59">
        <f t="shared" si="92"/>
        <v>240.71332110643596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0.69959177788161087</v>
      </c>
      <c r="BQ98" s="21">
        <f>EXP(-LN(2)/25)*BQ97+(1-EXP(-LN(2)/25))/(LN(2)/25)*Calculateur!BL98*Calculateur!BN98*VLOOKUP('Données projet'!$B$11,Paramètres!$A$1:$I$89,3,0)*0.475*44/12</f>
        <v>2.5182687611158343</v>
      </c>
      <c r="BR98" s="21">
        <f>EXP(-LN(2)/2)*BR97+(1-EXP(-LN(2)/2))/(LN(2)/2)*BL98*BO98*VLOOKUP('Données projet'!$B$11,Paramètres!$A$1:$I$89,3,0)*0.475*44/12</f>
        <v>3.6120084718975046E-9</v>
      </c>
      <c r="BS98" s="22">
        <f t="shared" si="63"/>
        <v>3.2178605426094538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-5.1159076974727213E-13</v>
      </c>
      <c r="BZ98" s="13">
        <f>BY98*VLOOKUP('Données projet'!$B$12,Paramètres!$A$1:$I$89,3,0)*VLOOKUP('Données projet'!$B$12,Paramètres!$A$1:$I$89,5,0)</f>
        <v>-4.0702161641092972E-13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260.20517190557814</v>
      </c>
      <c r="CE98" s="59">
        <f t="shared" si="94"/>
        <v>307.22009971147133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0.90065836764631968</v>
      </c>
      <c r="CL98" s="21">
        <f>EXP(-LN(2)/25)*CL97+(1-EXP(-LN(2)/25))/(LN(2)/25)*Calculateur!CG98*Calculateur!CI98*VLOOKUP('Données projet'!$B$12,Paramètres!$A$1:$I$89,3,0)*0.475*44/12</f>
        <v>3.3844722651608343</v>
      </c>
      <c r="CM98" s="21">
        <f>EXP(-LN(2)/2)*CM97+(1-EXP(-LN(2)/2))/(LN(2)/2)*CG98*CJ98*VLOOKUP('Données projet'!$B$12,Paramètres!$A$1:$I$89,3,0)*0.475*44/12</f>
        <v>3.9576934960904455E-9</v>
      </c>
      <c r="CN98" s="22">
        <f t="shared" si="66"/>
        <v>4.2851306367648476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7.1782051282051267</v>
      </c>
      <c r="CT98" s="12">
        <f>IF('Données projet'!$A$140&gt;35,CT97+CS98-DB97,IF(A98&lt;'Données projet'!$A$140,$CQ$205^A98,IF(A98='Données projet'!$A$140,'Données projet'!$B$140,CT97+CS98-DB97)))</f>
        <v>289.53717948717974</v>
      </c>
      <c r="CU98" s="17">
        <f>CT98*VLOOKUP('Données projet'!$B$13,Paramètres!$A$1:$I$89,3,0)*VLOOKUP('Données projet'!$B$13,Paramètres!$A$1:$I$89,5,0)</f>
        <v>293.59070000000025</v>
      </c>
      <c r="CV98" s="13">
        <f t="shared" si="95"/>
        <v>69.831143895049522</v>
      </c>
      <c r="CW98" s="20">
        <f t="shared" si="67"/>
        <v>632.959711450545</v>
      </c>
      <c r="CX98" s="59">
        <f t="shared" si="68"/>
        <v>926.29304478387826</v>
      </c>
      <c r="CY98" s="59">
        <f ca="1">AVERAGE(OFFSET($CX$3,0,0,'Données projet'!$E$13+1,1))-AVERAGE(OFFSET($H$3,0,0,'Données projet'!$E$13+1,1))</f>
        <v>263.15518481854753</v>
      </c>
      <c r="CZ98" s="59">
        <f t="shared" si="96"/>
        <v>210.80755370263819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0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275.99999999999972</v>
      </c>
      <c r="DP98" s="17">
        <f>DO98*VLOOKUP('Données projet'!$B$14,Paramètres!$A$1:$I$89,3,0)*VLOOKUP('Données projet'!$B$14,Paramètres!$A$1:$I$89,5,0)</f>
        <v>223.8911999999998</v>
      </c>
      <c r="DQ98" s="13">
        <f t="shared" si="97"/>
        <v>54.95975389514858</v>
      </c>
      <c r="DR98" s="20">
        <f t="shared" si="70"/>
        <v>485.66541136738346</v>
      </c>
      <c r="DS98" s="59">
        <f t="shared" si="71"/>
        <v>778.99874470071677</v>
      </c>
      <c r="DT98" s="59">
        <f ca="1">AVERAGE(OFFSET($DS$3,0,0,'Données projet'!$E$14+1,1))-AVERAGE(OFFSET($H$3,0,0,'Données projet'!$E$14+1,1))</f>
        <v>203.21935660591021</v>
      </c>
      <c r="DU98" s="59">
        <f t="shared" si="98"/>
        <v>180.54762778843178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0.27673312648108661</v>
      </c>
      <c r="EB98" s="21">
        <f>EXP(-LN(2)/25)*EB97+(1-EXP(-LN(2)/25))/(LN(2)/25)*Calculateur!DW98*Calculateur!DY98*VLOOKUP('Données projet'!$B$14,Paramètres!$A$1:$I$89,3,0)*0.475*44/12</f>
        <v>0.95725366517632915</v>
      </c>
      <c r="EC98" s="21">
        <f>EXP(-LN(2)/2)*EC97+(1-EXP(-LN(2)/2))/(LN(2)/2)*DW98*DZ98*VLOOKUP('Données projet'!$B$14,Paramètres!$A$1:$I$89,3,0)*0.475*44/12</f>
        <v>1.4920452796190539E-9</v>
      </c>
      <c r="ED98" s="22">
        <f t="shared" si="72"/>
        <v>1.2339867931494612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-5.1159076974727213E-13</v>
      </c>
      <c r="EK98" s="17">
        <f>EJ98*VLOOKUP('Données projet'!$B$15,Paramètres!$A$1:$I$89,3,0)*VLOOKUP('Données projet'!$B$15,Paramètres!$A$1:$I$89,5,0)</f>
        <v>-3.4317508834647017E-13</v>
      </c>
      <c r="EL98" s="13" t="e">
        <f t="shared" si="99"/>
        <v>#NUM!</v>
      </c>
      <c r="EM98" s="20" t="e">
        <f t="shared" si="73"/>
        <v>#NUM!</v>
      </c>
      <c r="EN98" s="59" t="e">
        <f t="shared" si="74"/>
        <v>#NUM!</v>
      </c>
      <c r="EO98" s="59">
        <f ca="1">AVERAGE(OFFSET($EN$3,0,0,'Données projet'!$E$15+1,1))-AVERAGE(OFFSET($H$3,0,0,'Données projet'!$E$15+1,1))</f>
        <v>207.93042467236967</v>
      </c>
      <c r="EP98" s="59">
        <f t="shared" si="100"/>
        <v>250.70954318710835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0.75937862370179809</v>
      </c>
      <c r="EW98" s="21">
        <f>EXP(-LN(2)/25)*EW97+(1-EXP(-LN(2)/25))/(LN(2)/25)*Calculateur!ER98*Calculateur!ET98*VLOOKUP('Données projet'!$B$15,Paramètres!$A$1:$I$89,3,0)*0.475*44/12</f>
        <v>2.8535746549395316</v>
      </c>
      <c r="EX98" s="21">
        <f>EXP(-LN(2)/2)*EX97+(1-EXP(-LN(2)/2))/(LN(2)/2)*ER98*EU98*VLOOKUP('Données projet'!$B$15,Paramètres!$A$1:$I$89,3,0)*0.475*44/12</f>
        <v>3.3368788300370421E-9</v>
      </c>
      <c r="EY98" s="22">
        <f t="shared" si="75"/>
        <v>3.6129532819782084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-2.2737367544323206E-13</v>
      </c>
      <c r="O99" s="13">
        <f>N99*VLOOKUP('Données projet'!$B$9,Paramètres!$A$1:$I$89,3,0)*VLOOKUP('Données projet'!$B$9,Paramètres!$A$1:$I$89,5,0)</f>
        <v>-1.2710188457276673E-13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255.5374979188561</v>
      </c>
      <c r="T99" s="59">
        <f t="shared" si="88"/>
        <v>343.10418468620901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0.83619517459399817</v>
      </c>
      <c r="AA99" s="21">
        <f>EXP(-LN(2)/25)*AA98+(1-EXP(-LN(2)/25))/(LN(2)/25)*Calculateur!V99*Calculateur!X99*VLOOKUP('Données projet'!$B$9,Paramètres!$A$1:$I$89,3,0)*0.475*44/12</f>
        <v>2.5604762374500969</v>
      </c>
      <c r="AB99" s="21">
        <f>EXP(-LN(2)/2)*AB98+(1-EXP(-LN(2)/2))/(LN(2)/2)*V99*Y99*VLOOKUP('Données projet'!$B$9,Paramètres!$A$1:$I$89,3,0)*0.475*44/12</f>
        <v>1.9705063657067554E-10</v>
      </c>
      <c r="AC99" s="22">
        <f t="shared" si="57"/>
        <v>3.3966714122411461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7.5015384615384617</v>
      </c>
      <c r="AI99" s="13">
        <f>IF('Données projet'!$A$62&gt;35,AI98+AH99-AQ98,IF(A99&lt;'Données projet'!$A$62,$AF$205^A99,IF(A99='Données projet'!$A$62,'Données projet'!$B$62,AI98+AH99-AQ98)))</f>
        <v>242.20153846153869</v>
      </c>
      <c r="AJ99" s="13">
        <f>AI99*VLOOKUP('Données projet'!$B$10,Paramètres!$A$1:$I$89,3,0)*VLOOKUP('Données projet'!$B$10,Paramètres!$A$1:$I$89,5,0)</f>
        <v>113.35032000000011</v>
      </c>
      <c r="AK99" s="13">
        <f t="shared" si="89"/>
        <v>30.118962463528121</v>
      </c>
      <c r="AL99" s="20">
        <f t="shared" si="58"/>
        <v>249.87566695731167</v>
      </c>
      <c r="AM99" s="59">
        <f t="shared" si="59"/>
        <v>543.20900029064501</v>
      </c>
      <c r="AN99" s="59">
        <f ca="1">AVERAGE(OFFSET($AM$3,0,0,'Données projet'!$E$10+1,1))-AVERAGE(OFFSET($H$3,0,0,'Données projet'!$E$10+1,1))</f>
        <v>158.58786357608489</v>
      </c>
      <c r="AO99" s="59">
        <f t="shared" si="90"/>
        <v>163.20074068819849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553.99999999999955</v>
      </c>
      <c r="BE99" s="13">
        <f>BD99*VLOOKUP('Données projet'!$B$11,Paramètres!$A$1:$I$89,3,0)*VLOOKUP('Données projet'!$B$11,Paramètres!$A$1:$I$89,5,0)</f>
        <v>331.29199999999975</v>
      </c>
      <c r="BF99" s="13">
        <f t="shared" si="91"/>
        <v>77.698110787752</v>
      </c>
      <c r="BG99" s="20">
        <f t="shared" si="61"/>
        <v>712.32444295533423</v>
      </c>
      <c r="BH99" s="59">
        <f t="shared" si="62"/>
        <v>1005.6577762886675</v>
      </c>
      <c r="BI99" s="59">
        <f ca="1">AVERAGE(OFFSET($BH$3,0,0,'Données projet'!$E$11+1,1))-AVERAGE(OFFSET($H$3,0,0,'Données projet'!$E$11+1,1))</f>
        <v>316.58509520829671</v>
      </c>
      <c r="BJ99" s="59">
        <f t="shared" si="92"/>
        <v>240.71332110643596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0.68587320982620303</v>
      </c>
      <c r="BQ99" s="21">
        <f>EXP(-LN(2)/25)*BQ98+(1-EXP(-LN(2)/25))/(LN(2)/25)*Calculateur!BL99*Calculateur!BN99*VLOOKUP('Données projet'!$B$11,Paramètres!$A$1:$I$89,3,0)*0.475*44/12</f>
        <v>2.4494065694131231</v>
      </c>
      <c r="BR99" s="21">
        <f>EXP(-LN(2)/2)*BR98+(1-EXP(-LN(2)/2))/(LN(2)/2)*BL99*BO99*VLOOKUP('Données projet'!$B$11,Paramètres!$A$1:$I$89,3,0)*0.475*44/12</f>
        <v>2.554075684181985E-9</v>
      </c>
      <c r="BS99" s="22">
        <f t="shared" si="63"/>
        <v>3.1352797817934017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-5.1159076974727213E-13</v>
      </c>
      <c r="BZ99" s="13">
        <f>BY99*VLOOKUP('Données projet'!$B$12,Paramètres!$A$1:$I$89,3,0)*VLOOKUP('Données projet'!$B$12,Paramètres!$A$1:$I$89,5,0)</f>
        <v>-4.0702161641092972E-13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260.20517190557814</v>
      </c>
      <c r="CE99" s="59">
        <f t="shared" si="94"/>
        <v>307.22009971147133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0.88299700640413603</v>
      </c>
      <c r="CL99" s="21">
        <f>EXP(-LN(2)/25)*CL98+(1-EXP(-LN(2)/25))/(LN(2)/25)*Calculateur!CG99*Calculateur!CI99*VLOOKUP('Données projet'!$B$12,Paramètres!$A$1:$I$89,3,0)*0.475*44/12</f>
        <v>3.2919236930883504</v>
      </c>
      <c r="CM99" s="21">
        <f>EXP(-LN(2)/2)*CM98+(1-EXP(-LN(2)/2))/(LN(2)/2)*CG99*CJ99*VLOOKUP('Données projet'!$B$12,Paramètres!$A$1:$I$89,3,0)*0.475*44/12</f>
        <v>2.7985119089434489E-9</v>
      </c>
      <c r="CN99" s="22">
        <f t="shared" si="66"/>
        <v>4.174920702290998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7.1782051282051267</v>
      </c>
      <c r="CT99" s="12">
        <f>IF('Données projet'!$A$140&gt;35,CT98+CS99-DB98,IF(A99&lt;'Données projet'!$A$140,$CQ$205^A99,IF(A99='Données projet'!$A$140,'Données projet'!$B$140,CT98+CS99-DB98)))</f>
        <v>296.71538461538489</v>
      </c>
      <c r="CU99" s="17">
        <f>CT99*VLOOKUP('Données projet'!$B$13,Paramètres!$A$1:$I$89,3,0)*VLOOKUP('Données projet'!$B$13,Paramètres!$A$1:$I$89,5,0)</f>
        <v>300.86940000000027</v>
      </c>
      <c r="CV99" s="13">
        <f t="shared" si="95"/>
        <v>71.358692402245879</v>
      </c>
      <c r="CW99" s="20">
        <f t="shared" si="67"/>
        <v>648.29726093391207</v>
      </c>
      <c r="CX99" s="59">
        <f t="shared" si="68"/>
        <v>941.63059426724544</v>
      </c>
      <c r="CY99" s="59">
        <f ca="1">AVERAGE(OFFSET($CX$3,0,0,'Données projet'!$E$13+1,1))-AVERAGE(OFFSET($H$3,0,0,'Données projet'!$E$13+1,1))</f>
        <v>263.15518481854753</v>
      </c>
      <c r="CZ99" s="59">
        <f t="shared" si="96"/>
        <v>210.80755370263819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0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275.99999999999972</v>
      </c>
      <c r="DP99" s="17">
        <f>DO99*VLOOKUP('Données projet'!$B$14,Paramètres!$A$1:$I$89,3,0)*VLOOKUP('Données projet'!$B$14,Paramètres!$A$1:$I$89,5,0)</f>
        <v>223.8911999999998</v>
      </c>
      <c r="DQ99" s="13">
        <f t="shared" si="97"/>
        <v>54.95975389514858</v>
      </c>
      <c r="DR99" s="20">
        <f t="shared" si="70"/>
        <v>485.66541136738346</v>
      </c>
      <c r="DS99" s="59">
        <f t="shared" si="71"/>
        <v>778.99874470071677</v>
      </c>
      <c r="DT99" s="59">
        <f ca="1">AVERAGE(OFFSET($DS$3,0,0,'Données projet'!$E$14+1,1))-AVERAGE(OFFSET($H$3,0,0,'Données projet'!$E$14+1,1))</f>
        <v>203.21935660591021</v>
      </c>
      <c r="DU99" s="59">
        <f t="shared" si="98"/>
        <v>180.54762778843178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0.27130655866133296</v>
      </c>
      <c r="EB99" s="21">
        <f>EXP(-LN(2)/25)*EB98+(1-EXP(-LN(2)/25))/(LN(2)/25)*Calculateur!DW99*Calculateur!DY99*VLOOKUP('Données projet'!$B$14,Paramètres!$A$1:$I$89,3,0)*0.475*44/12</f>
        <v>0.93107751336230005</v>
      </c>
      <c r="EC99" s="21">
        <f>EXP(-LN(2)/2)*EC98+(1-EXP(-LN(2)/2))/(LN(2)/2)*DW99*DZ99*VLOOKUP('Données projet'!$B$14,Paramètres!$A$1:$I$89,3,0)*0.475*44/12</f>
        <v>1.0550353350560114E-9</v>
      </c>
      <c r="ED99" s="22">
        <f t="shared" si="72"/>
        <v>1.2023840730786683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-5.1159076974727213E-13</v>
      </c>
      <c r="EK99" s="17">
        <f>EJ99*VLOOKUP('Données projet'!$B$15,Paramètres!$A$1:$I$89,3,0)*VLOOKUP('Données projet'!$B$15,Paramètres!$A$1:$I$89,5,0)</f>
        <v>-3.4317508834647017E-13</v>
      </c>
      <c r="EL99" s="13" t="e">
        <f t="shared" si="99"/>
        <v>#NUM!</v>
      </c>
      <c r="EM99" s="20" t="e">
        <f t="shared" si="73"/>
        <v>#NUM!</v>
      </c>
      <c r="EN99" s="59" t="e">
        <f t="shared" si="74"/>
        <v>#NUM!</v>
      </c>
      <c r="EO99" s="59">
        <f ca="1">AVERAGE(OFFSET($EN$3,0,0,'Données projet'!$E$15+1,1))-AVERAGE(OFFSET($H$3,0,0,'Données projet'!$E$15+1,1))</f>
        <v>207.93042467236967</v>
      </c>
      <c r="EP99" s="59">
        <f t="shared" si="100"/>
        <v>250.70954318710835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0.74448767206623157</v>
      </c>
      <c r="EW99" s="21">
        <f>EXP(-LN(2)/25)*EW98+(1-EXP(-LN(2)/25))/(LN(2)/25)*Calculateur!ER99*Calculateur!ET99*VLOOKUP('Données projet'!$B$15,Paramètres!$A$1:$I$89,3,0)*0.475*44/12</f>
        <v>2.7755435059372409</v>
      </c>
      <c r="EX99" s="21">
        <f>EXP(-LN(2)/2)*EX98+(1-EXP(-LN(2)/2))/(LN(2)/2)*ER99*EU99*VLOOKUP('Données projet'!$B$15,Paramètres!$A$1:$I$89,3,0)*0.475*44/12</f>
        <v>2.3595296487170254E-9</v>
      </c>
      <c r="EY99" s="22">
        <f t="shared" si="75"/>
        <v>3.5200311803630018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-2.2737367544323206E-13</v>
      </c>
      <c r="O100" s="13">
        <f>N100*VLOOKUP('Données projet'!$B$9,Paramètres!$A$1:$I$89,3,0)*VLOOKUP('Données projet'!$B$9,Paramètres!$A$1:$I$89,5,0)</f>
        <v>-1.2710188457276673E-13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255.5374979188561</v>
      </c>
      <c r="T100" s="59">
        <f t="shared" si="88"/>
        <v>343.10418468620901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0.81979789724890517</v>
      </c>
      <c r="AA100" s="21">
        <f>EXP(-LN(2)/25)*AA99+(1-EXP(-LN(2)/25))/(LN(2)/25)*Calculateur!V100*Calculateur!X100*VLOOKUP('Données projet'!$B$9,Paramètres!$A$1:$I$89,3,0)*0.475*44/12</f>
        <v>2.4904598800874309</v>
      </c>
      <c r="AB100" s="21">
        <f>EXP(-LN(2)/2)*AB99+(1-EXP(-LN(2)/2))/(LN(2)/2)*V100*Y100*VLOOKUP('Données projet'!$B$9,Paramètres!$A$1:$I$89,3,0)*0.475*44/12</f>
        <v>1.3933584135625056E-10</v>
      </c>
      <c r="AC100" s="22">
        <f t="shared" si="57"/>
        <v>3.3102577774756718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7.5015384615384617</v>
      </c>
      <c r="AI100" s="13">
        <f>IF('Données projet'!$A$62&gt;35,AI99+AH100-AQ99,IF(A100&lt;'Données projet'!$A$62,$AF$205^A100,IF(A100='Données projet'!$A$62,'Données projet'!$B$62,AI99+AH100-AQ99)))</f>
        <v>249.70307692307716</v>
      </c>
      <c r="AJ100" s="13">
        <f>AI100*VLOOKUP('Données projet'!$B$10,Paramètres!$A$1:$I$89,3,0)*VLOOKUP('Données projet'!$B$10,Paramètres!$A$1:$I$89,5,0)</f>
        <v>116.86104000000012</v>
      </c>
      <c r="AK100" s="13">
        <f t="shared" si="89"/>
        <v>30.941762857231797</v>
      </c>
      <c r="AL100" s="20">
        <f t="shared" si="58"/>
        <v>257.42321497634555</v>
      </c>
      <c r="AM100" s="59">
        <f t="shared" si="59"/>
        <v>550.75654830967892</v>
      </c>
      <c r="AN100" s="59">
        <f ca="1">AVERAGE(OFFSET($AM$3,0,0,'Données projet'!$E$10+1,1))-AVERAGE(OFFSET($H$3,0,0,'Données projet'!$E$10+1,1))</f>
        <v>158.58786357608489</v>
      </c>
      <c r="AO100" s="59">
        <f t="shared" si="90"/>
        <v>163.20074068819849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553.99999999999955</v>
      </c>
      <c r="BE100" s="13">
        <f>BD100*VLOOKUP('Données projet'!$B$11,Paramètres!$A$1:$I$89,3,0)*VLOOKUP('Données projet'!$B$11,Paramètres!$A$1:$I$89,5,0)</f>
        <v>331.29199999999975</v>
      </c>
      <c r="BF100" s="13">
        <f t="shared" si="91"/>
        <v>77.698110787752</v>
      </c>
      <c r="BG100" s="20">
        <f t="shared" si="61"/>
        <v>712.32444295533423</v>
      </c>
      <c r="BH100" s="59">
        <f t="shared" si="62"/>
        <v>1005.6577762886675</v>
      </c>
      <c r="BI100" s="59">
        <f ca="1">AVERAGE(OFFSET($BH$3,0,0,'Données projet'!$E$11+1,1))-AVERAGE(OFFSET($H$3,0,0,'Données projet'!$E$11+1,1))</f>
        <v>316.58509520829671</v>
      </c>
      <c r="BJ100" s="59">
        <f t="shared" si="92"/>
        <v>240.71332110643596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0.67242365452286146</v>
      </c>
      <c r="BQ100" s="21">
        <f>EXP(-LN(2)/25)*BQ99+(1-EXP(-LN(2)/25))/(LN(2)/25)*Calculateur!BL100*Calculateur!BN100*VLOOKUP('Données projet'!$B$11,Paramètres!$A$1:$I$89,3,0)*0.475*44/12</f>
        <v>2.3824274179638278</v>
      </c>
      <c r="BR100" s="21">
        <f>EXP(-LN(2)/2)*BR99+(1-EXP(-LN(2)/2))/(LN(2)/2)*BL100*BO100*VLOOKUP('Données projet'!$B$11,Paramètres!$A$1:$I$89,3,0)*0.475*44/12</f>
        <v>1.8060042359487527E-9</v>
      </c>
      <c r="BS100" s="22">
        <f t="shared" si="63"/>
        <v>3.0548510742926935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-5.1159076974727213E-13</v>
      </c>
      <c r="BZ100" s="13">
        <f>BY100*VLOOKUP('Données projet'!$B$12,Paramètres!$A$1:$I$89,3,0)*VLOOKUP('Données projet'!$B$12,Paramètres!$A$1:$I$89,5,0)</f>
        <v>-4.0702161641092972E-13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260.20517190557814</v>
      </c>
      <c r="CE100" s="59">
        <f t="shared" si="94"/>
        <v>307.22009971147133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0.86568197368354494</v>
      </c>
      <c r="CL100" s="21">
        <f>EXP(-LN(2)/25)*CL99+(1-EXP(-LN(2)/25))/(LN(2)/25)*Calculateur!CG100*Calculateur!CI100*VLOOKUP('Données projet'!$B$12,Paramètres!$A$1:$I$89,3,0)*0.475*44/12</f>
        <v>3.2019058665861064</v>
      </c>
      <c r="CM100" s="21">
        <f>EXP(-LN(2)/2)*CM99+(1-EXP(-LN(2)/2))/(LN(2)/2)*CG100*CJ100*VLOOKUP('Données projet'!$B$12,Paramètres!$A$1:$I$89,3,0)*0.475*44/12</f>
        <v>1.9788467480452227E-9</v>
      </c>
      <c r="CN100" s="22">
        <f t="shared" si="66"/>
        <v>4.0675878422484981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7.1782051282051267</v>
      </c>
      <c r="CT100" s="12">
        <f>IF('Données projet'!$A$140&gt;35,CT99+CS100-DB99,IF(A100&lt;'Données projet'!$A$140,$CQ$205^A100,IF(A100='Données projet'!$A$140,'Données projet'!$B$140,CT99+CS100-DB99)))</f>
        <v>303.89358974359004</v>
      </c>
      <c r="CU100" s="17">
        <f>CT100*VLOOKUP('Données projet'!$B$13,Paramètres!$A$1:$I$89,3,0)*VLOOKUP('Données projet'!$B$13,Paramètres!$A$1:$I$89,5,0)</f>
        <v>308.14810000000034</v>
      </c>
      <c r="CV100" s="13">
        <f t="shared" si="95"/>
        <v>72.881944979142219</v>
      </c>
      <c r="CW100" s="20">
        <f t="shared" si="67"/>
        <v>663.62732833867324</v>
      </c>
      <c r="CX100" s="59">
        <f t="shared" si="68"/>
        <v>956.96066167200661</v>
      </c>
      <c r="CY100" s="59">
        <f ca="1">AVERAGE(OFFSET($CX$3,0,0,'Données projet'!$E$13+1,1))-AVERAGE(OFFSET($H$3,0,0,'Données projet'!$E$13+1,1))</f>
        <v>263.15518481854753</v>
      </c>
      <c r="CZ100" s="59">
        <f t="shared" si="96"/>
        <v>210.80755370263819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0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275.99999999999972</v>
      </c>
      <c r="DP100" s="17">
        <f>DO100*VLOOKUP('Données projet'!$B$14,Paramètres!$A$1:$I$89,3,0)*VLOOKUP('Données projet'!$B$14,Paramètres!$A$1:$I$89,5,0)</f>
        <v>223.8911999999998</v>
      </c>
      <c r="DQ100" s="13">
        <f t="shared" si="97"/>
        <v>54.95975389514858</v>
      </c>
      <c r="DR100" s="20">
        <f t="shared" si="70"/>
        <v>485.66541136738346</v>
      </c>
      <c r="DS100" s="59">
        <f t="shared" si="71"/>
        <v>778.99874470071677</v>
      </c>
      <c r="DT100" s="59">
        <f ca="1">AVERAGE(OFFSET($DS$3,0,0,'Données projet'!$E$14+1,1))-AVERAGE(OFFSET($H$3,0,0,'Données projet'!$E$14+1,1))</f>
        <v>203.21935660591021</v>
      </c>
      <c r="DU100" s="59">
        <f t="shared" si="98"/>
        <v>180.54762778843178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0.26598640252664513</v>
      </c>
      <c r="EB100" s="21">
        <f>EXP(-LN(2)/25)*EB99+(1-EXP(-LN(2)/25))/(LN(2)/25)*Calculateur!DW100*Calculateur!DY100*VLOOKUP('Données projet'!$B$14,Paramètres!$A$1:$I$89,3,0)*0.475*44/12</f>
        <v>0.90561714979616958</v>
      </c>
      <c r="EC100" s="21">
        <f>EXP(-LN(2)/2)*EC99+(1-EXP(-LN(2)/2))/(LN(2)/2)*DW100*DZ100*VLOOKUP('Données projet'!$B$14,Paramètres!$A$1:$I$89,3,0)*0.475*44/12</f>
        <v>7.4602263980952693E-10</v>
      </c>
      <c r="ED100" s="22">
        <f t="shared" si="72"/>
        <v>1.1716035530688373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-5.1159076974727213E-13</v>
      </c>
      <c r="EK100" s="17">
        <f>EJ100*VLOOKUP('Données projet'!$B$15,Paramètres!$A$1:$I$89,3,0)*VLOOKUP('Données projet'!$B$15,Paramètres!$A$1:$I$89,5,0)</f>
        <v>-3.4317508834647017E-13</v>
      </c>
      <c r="EL100" s="13" t="e">
        <f t="shared" si="99"/>
        <v>#NUM!</v>
      </c>
      <c r="EM100" s="20" t="e">
        <f t="shared" si="73"/>
        <v>#NUM!</v>
      </c>
      <c r="EN100" s="59" t="e">
        <f t="shared" si="74"/>
        <v>#NUM!</v>
      </c>
      <c r="EO100" s="59">
        <f ca="1">AVERAGE(OFFSET($EN$3,0,0,'Données projet'!$E$15+1,1))-AVERAGE(OFFSET($H$3,0,0,'Données projet'!$E$15+1,1))</f>
        <v>207.93042467236967</v>
      </c>
      <c r="EP100" s="59">
        <f t="shared" si="100"/>
        <v>250.70954318710835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0.72988872290965479</v>
      </c>
      <c r="EW100" s="21">
        <f>EXP(-LN(2)/25)*EW99+(1-EXP(-LN(2)/25))/(LN(2)/25)*Calculateur!ER100*Calculateur!ET100*VLOOKUP('Données projet'!$B$15,Paramètres!$A$1:$I$89,3,0)*0.475*44/12</f>
        <v>2.6996461228078976</v>
      </c>
      <c r="EX100" s="21">
        <f>EXP(-LN(2)/2)*EX99+(1-EXP(-LN(2)/2))/(LN(2)/2)*ER100*EU100*VLOOKUP('Données projet'!$B$15,Paramètres!$A$1:$I$89,3,0)*0.475*44/12</f>
        <v>1.668439415018521E-9</v>
      </c>
      <c r="EY100" s="22">
        <f t="shared" si="75"/>
        <v>3.4295348473859919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-2.2737367544323206E-13</v>
      </c>
      <c r="O101" s="13">
        <f>N101*VLOOKUP('Données projet'!$B$9,Paramètres!$A$1:$I$89,3,0)*VLOOKUP('Données projet'!$B$9,Paramètres!$A$1:$I$89,5,0)</f>
        <v>-1.2710188457276673E-13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255.5374979188561</v>
      </c>
      <c r="T101" s="59">
        <f t="shared" si="88"/>
        <v>343.10418468620901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0.80372216051119783</v>
      </c>
      <c r="AA101" s="21">
        <f>EXP(-LN(2)/25)*AA100+(1-EXP(-LN(2)/25))/(LN(2)/25)*Calculateur!V101*Calculateur!X101*VLOOKUP('Données projet'!$B$9,Paramètres!$A$1:$I$89,3,0)*0.475*44/12</f>
        <v>2.4223581236988472</v>
      </c>
      <c r="AB101" s="21">
        <f>EXP(-LN(2)/2)*AB100+(1-EXP(-LN(2)/2))/(LN(2)/2)*V101*Y101*VLOOKUP('Données projet'!$B$9,Paramètres!$A$1:$I$89,3,0)*0.475*44/12</f>
        <v>9.8525318285337768E-11</v>
      </c>
      <c r="AC101" s="22">
        <f t="shared" si="57"/>
        <v>3.2260802843085701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7.5015384615384617</v>
      </c>
      <c r="AI101" s="13">
        <f>IF('Données projet'!$A$62&gt;35,AI100+AH101-AQ100,IF(A101&lt;'Données projet'!$A$62,$AF$205^A101,IF(A101='Données projet'!$A$62,'Données projet'!$B$62,AI100+AH101-AQ100)))</f>
        <v>257.20461538461564</v>
      </c>
      <c r="AJ101" s="13">
        <f>AI101*VLOOKUP('Données projet'!$B$10,Paramètres!$A$1:$I$89,3,0)*VLOOKUP('Données projet'!$B$10,Paramètres!$A$1:$I$89,5,0)</f>
        <v>120.37176000000012</v>
      </c>
      <c r="AK101" s="13">
        <f t="shared" si="89"/>
        <v>31.761690593555869</v>
      </c>
      <c r="AL101" s="20">
        <f t="shared" si="58"/>
        <v>264.96575978377672</v>
      </c>
      <c r="AM101" s="59">
        <f t="shared" si="59"/>
        <v>558.29909311711003</v>
      </c>
      <c r="AN101" s="59">
        <f ca="1">AVERAGE(OFFSET($AM$3,0,0,'Données projet'!$E$10+1,1))-AVERAGE(OFFSET($H$3,0,0,'Données projet'!$E$10+1,1))</f>
        <v>158.58786357608489</v>
      </c>
      <c r="AO101" s="59">
        <f t="shared" si="90"/>
        <v>163.20074068819849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553.99999999999955</v>
      </c>
      <c r="BE101" s="13">
        <f>BD101*VLOOKUP('Données projet'!$B$11,Paramètres!$A$1:$I$89,3,0)*VLOOKUP('Données projet'!$B$11,Paramètres!$A$1:$I$89,5,0)</f>
        <v>331.29199999999975</v>
      </c>
      <c r="BF101" s="13">
        <f t="shared" si="91"/>
        <v>77.698110787752</v>
      </c>
      <c r="BG101" s="20">
        <f t="shared" si="61"/>
        <v>712.32444295533423</v>
      </c>
      <c r="BH101" s="59">
        <f t="shared" si="62"/>
        <v>1005.6577762886675</v>
      </c>
      <c r="BI101" s="59">
        <f ca="1">AVERAGE(OFFSET($BH$3,0,0,'Données projet'!$E$11+1,1))-AVERAGE(OFFSET($H$3,0,0,'Données projet'!$E$11+1,1))</f>
        <v>316.58509520829671</v>
      </c>
      <c r="BJ101" s="59">
        <f t="shared" si="92"/>
        <v>240.71332110643596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0.65923783679559966</v>
      </c>
      <c r="BQ101" s="21">
        <f>EXP(-LN(2)/25)*BQ100+(1-EXP(-LN(2)/25))/(LN(2)/25)*Calculateur!BL101*Calculateur!BN101*VLOOKUP('Données projet'!$B$11,Paramètres!$A$1:$I$89,3,0)*0.475*44/12</f>
        <v>2.3172798149331943</v>
      </c>
      <c r="BR101" s="21">
        <f>EXP(-LN(2)/2)*BR100+(1-EXP(-LN(2)/2))/(LN(2)/2)*BL101*BO101*VLOOKUP('Données projet'!$B$11,Paramètres!$A$1:$I$89,3,0)*0.475*44/12</f>
        <v>1.2770378420909927E-9</v>
      </c>
      <c r="BS101" s="22">
        <f t="shared" si="63"/>
        <v>2.9765176530058319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-5.1159076974727213E-13</v>
      </c>
      <c r="BZ101" s="13">
        <f>BY101*VLOOKUP('Données projet'!$B$12,Paramètres!$A$1:$I$89,3,0)*VLOOKUP('Données projet'!$B$12,Paramètres!$A$1:$I$89,5,0)</f>
        <v>-4.0702161641092972E-13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260.20517190557814</v>
      </c>
      <c r="CE101" s="59">
        <f t="shared" si="94"/>
        <v>307.22009971147133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0.84870647819347755</v>
      </c>
      <c r="CL101" s="21">
        <f>EXP(-LN(2)/25)*CL100+(1-EXP(-LN(2)/25))/(LN(2)/25)*Calculateur!CG101*Calculateur!CI101*VLOOKUP('Données projet'!$B$12,Paramètres!$A$1:$I$89,3,0)*0.475*44/12</f>
        <v>3.1143495822833978</v>
      </c>
      <c r="CM101" s="21">
        <f>EXP(-LN(2)/2)*CM100+(1-EXP(-LN(2)/2))/(LN(2)/2)*CG101*CJ101*VLOOKUP('Données projet'!$B$12,Paramètres!$A$1:$I$89,3,0)*0.475*44/12</f>
        <v>1.3992559544717245E-9</v>
      </c>
      <c r="CN101" s="22">
        <f t="shared" si="66"/>
        <v>3.9630560618761312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7.1782051282051267</v>
      </c>
      <c r="CT101" s="12">
        <f>IF('Données projet'!$A$140&gt;35,CT100+CS101-DB100,IF(A101&lt;'Données projet'!$A$140,$CQ$205^A101,IF(A101='Données projet'!$A$140,'Données projet'!$B$140,CT100+CS101-DB100)))</f>
        <v>311.07179487179519</v>
      </c>
      <c r="CU101" s="17">
        <f>CT101*VLOOKUP('Données projet'!$B$13,Paramètres!$A$1:$I$89,3,0)*VLOOKUP('Données projet'!$B$13,Paramètres!$A$1:$I$89,5,0)</f>
        <v>315.42680000000036</v>
      </c>
      <c r="CV101" s="13">
        <f t="shared" si="95"/>
        <v>74.401014776148614</v>
      </c>
      <c r="CW101" s="20">
        <f t="shared" si="67"/>
        <v>678.95011073512603</v>
      </c>
      <c r="CX101" s="59">
        <f t="shared" si="68"/>
        <v>972.2834440684594</v>
      </c>
      <c r="CY101" s="59">
        <f ca="1">AVERAGE(OFFSET($CX$3,0,0,'Données projet'!$E$13+1,1))-AVERAGE(OFFSET($H$3,0,0,'Données projet'!$E$13+1,1))</f>
        <v>263.15518481854753</v>
      </c>
      <c r="CZ101" s="59">
        <f t="shared" si="96"/>
        <v>210.80755370263819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0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275.99999999999972</v>
      </c>
      <c r="DP101" s="17">
        <f>DO101*VLOOKUP('Données projet'!$B$14,Paramètres!$A$1:$I$89,3,0)*VLOOKUP('Données projet'!$B$14,Paramètres!$A$1:$I$89,5,0)</f>
        <v>223.8911999999998</v>
      </c>
      <c r="DQ101" s="13">
        <f t="shared" si="97"/>
        <v>54.95975389514858</v>
      </c>
      <c r="DR101" s="20">
        <f t="shared" si="70"/>
        <v>485.66541136738346</v>
      </c>
      <c r="DS101" s="59">
        <f t="shared" si="71"/>
        <v>778.99874470071677</v>
      </c>
      <c r="DT101" s="59">
        <f ca="1">AVERAGE(OFFSET($DS$3,0,0,'Données projet'!$E$14+1,1))-AVERAGE(OFFSET($H$3,0,0,'Données projet'!$E$14+1,1))</f>
        <v>203.21935660591021</v>
      </c>
      <c r="DU101" s="59">
        <f t="shared" si="98"/>
        <v>180.54762778843178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0.26077057140878374</v>
      </c>
      <c r="EB101" s="21">
        <f>EXP(-LN(2)/25)*EB100+(1-EXP(-LN(2)/25))/(LN(2)/25)*Calculateur!DW101*Calculateur!DY101*VLOOKUP('Données projet'!$B$14,Paramètres!$A$1:$I$89,3,0)*0.475*44/12</f>
        <v>0.88085300121065724</v>
      </c>
      <c r="EC101" s="21">
        <f>EXP(-LN(2)/2)*EC100+(1-EXP(-LN(2)/2))/(LN(2)/2)*DW101*DZ101*VLOOKUP('Données projet'!$B$14,Paramètres!$A$1:$I$89,3,0)*0.475*44/12</f>
        <v>5.275176675280057E-10</v>
      </c>
      <c r="ED101" s="22">
        <f t="shared" si="72"/>
        <v>1.1416235731469586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-5.1159076974727213E-13</v>
      </c>
      <c r="EK101" s="17">
        <f>EJ101*VLOOKUP('Données projet'!$B$15,Paramètres!$A$1:$I$89,3,0)*VLOOKUP('Données projet'!$B$15,Paramètres!$A$1:$I$89,5,0)</f>
        <v>-3.4317508834647017E-13</v>
      </c>
      <c r="EL101" s="13" t="e">
        <f t="shared" si="99"/>
        <v>#NUM!</v>
      </c>
      <c r="EM101" s="20" t="e">
        <f t="shared" si="73"/>
        <v>#NUM!</v>
      </c>
      <c r="EN101" s="59" t="e">
        <f t="shared" si="74"/>
        <v>#NUM!</v>
      </c>
      <c r="EO101" s="59">
        <f ca="1">AVERAGE(OFFSET($EN$3,0,0,'Données projet'!$E$15+1,1))-AVERAGE(OFFSET($H$3,0,0,'Données projet'!$E$15+1,1))</f>
        <v>207.93042467236967</v>
      </c>
      <c r="EP101" s="59">
        <f t="shared" si="100"/>
        <v>250.70954318710835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0.71557605024155879</v>
      </c>
      <c r="EW101" s="21">
        <f>EXP(-LN(2)/25)*EW100+(1-EXP(-LN(2)/25))/(LN(2)/25)*Calculateur!ER101*Calculateur!ET101*VLOOKUP('Données projet'!$B$15,Paramètres!$A$1:$I$89,3,0)*0.475*44/12</f>
        <v>2.625824157611496</v>
      </c>
      <c r="EX101" s="21">
        <f>EXP(-LN(2)/2)*EX100+(1-EXP(-LN(2)/2))/(LN(2)/2)*ER101*EU101*VLOOKUP('Données projet'!$B$15,Paramètres!$A$1:$I$89,3,0)*0.475*44/12</f>
        <v>1.1797648243585127E-9</v>
      </c>
      <c r="EY101" s="22">
        <f t="shared" si="75"/>
        <v>3.3414002090328196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-2.2737367544323206E-13</v>
      </c>
      <c r="O102" s="13">
        <f>N102*VLOOKUP('Données projet'!$B$9,Paramètres!$A$1:$I$89,3,0)*VLOOKUP('Données projet'!$B$9,Paramètres!$A$1:$I$89,5,0)</f>
        <v>-1.2710188457276673E-13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255.5374979188561</v>
      </c>
      <c r="T102" s="59">
        <f t="shared" si="88"/>
        <v>343.10418468620901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0.78796165916568572</v>
      </c>
      <c r="AA102" s="21">
        <f>EXP(-LN(2)/25)*AA101+(1-EXP(-LN(2)/25))/(LN(2)/25)*Calculateur!V102*Calculateur!X102*VLOOKUP('Données projet'!$B$9,Paramètres!$A$1:$I$89,3,0)*0.475*44/12</f>
        <v>2.3561186134200249</v>
      </c>
      <c r="AB102" s="21">
        <f>EXP(-LN(2)/2)*AB101+(1-EXP(-LN(2)/2))/(LN(2)/2)*V102*Y102*VLOOKUP('Données projet'!$B$9,Paramètres!$A$1:$I$89,3,0)*0.475*44/12</f>
        <v>6.9667920678125282E-11</v>
      </c>
      <c r="AC102" s="22">
        <f t="shared" si="57"/>
        <v>3.1440802726553785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7.5015384615384617</v>
      </c>
      <c r="AI102" s="13">
        <f>IF('Données projet'!$A$62&gt;35,AI101+AH102-AQ101,IF(A102&lt;'Données projet'!$A$62,$AF$205^A102,IF(A102='Données projet'!$A$62,'Données projet'!$B$62,AI101+AH102-AQ101)))</f>
        <v>264.70615384615411</v>
      </c>
      <c r="AJ102" s="13">
        <f>AI102*VLOOKUP('Données projet'!$B$10,Paramètres!$A$1:$I$89,3,0)*VLOOKUP('Données projet'!$B$10,Paramètres!$A$1:$I$89,5,0)</f>
        <v>123.88248000000011</v>
      </c>
      <c r="AK102" s="13">
        <f t="shared" si="89"/>
        <v>32.578839075986679</v>
      </c>
      <c r="AL102" s="20">
        <f t="shared" si="58"/>
        <v>272.50346405734365</v>
      </c>
      <c r="AM102" s="59">
        <f t="shared" si="59"/>
        <v>565.83679739067702</v>
      </c>
      <c r="AN102" s="59">
        <f ca="1">AVERAGE(OFFSET($AM$3,0,0,'Données projet'!$E$10+1,1))-AVERAGE(OFFSET($H$3,0,0,'Données projet'!$E$10+1,1))</f>
        <v>158.58786357608489</v>
      </c>
      <c r="AO102" s="59">
        <f t="shared" si="90"/>
        <v>163.20074068819849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553.99999999999955</v>
      </c>
      <c r="BE102" s="13">
        <f>BD102*VLOOKUP('Données projet'!$B$11,Paramètres!$A$1:$I$89,3,0)*VLOOKUP('Données projet'!$B$11,Paramètres!$A$1:$I$89,5,0)</f>
        <v>331.29199999999975</v>
      </c>
      <c r="BF102" s="13">
        <f t="shared" si="91"/>
        <v>77.698110787752</v>
      </c>
      <c r="BG102" s="20">
        <f t="shared" si="61"/>
        <v>712.32444295533423</v>
      </c>
      <c r="BH102" s="59">
        <f t="shared" si="62"/>
        <v>1005.6577762886675</v>
      </c>
      <c r="BI102" s="59">
        <f ca="1">AVERAGE(OFFSET($BH$3,0,0,'Données projet'!$E$11+1,1))-AVERAGE(OFFSET($H$3,0,0,'Données projet'!$E$11+1,1))</f>
        <v>316.58509520829671</v>
      </c>
      <c r="BJ102" s="59">
        <f t="shared" si="92"/>
        <v>240.71332110643596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0.6463105849114148</v>
      </c>
      <c r="BQ102" s="21">
        <f>EXP(-LN(2)/25)*BQ101+(1-EXP(-LN(2)/25))/(LN(2)/25)*Calculateur!BL102*Calculateur!BN102*VLOOKUP('Données projet'!$B$11,Paramètres!$A$1:$I$89,3,0)*0.475*44/12</f>
        <v>2.2539136765333967</v>
      </c>
      <c r="BR102" s="21">
        <f>EXP(-LN(2)/2)*BR101+(1-EXP(-LN(2)/2))/(LN(2)/2)*BL102*BO102*VLOOKUP('Données projet'!$B$11,Paramètres!$A$1:$I$89,3,0)*0.475*44/12</f>
        <v>9.0300211797437646E-10</v>
      </c>
      <c r="BS102" s="22">
        <f t="shared" si="63"/>
        <v>2.9002242623478134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-5.1159076974727213E-13</v>
      </c>
      <c r="BZ102" s="13">
        <f>BY102*VLOOKUP('Données projet'!$B$12,Paramètres!$A$1:$I$89,3,0)*VLOOKUP('Données projet'!$B$12,Paramètres!$A$1:$I$89,5,0)</f>
        <v>-4.0702161641092972E-13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260.20517190557814</v>
      </c>
      <c r="CE102" s="59">
        <f t="shared" si="94"/>
        <v>307.22009971147133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0.8320638618159405</v>
      </c>
      <c r="CL102" s="21">
        <f>EXP(-LN(2)/25)*CL101+(1-EXP(-LN(2)/25))/(LN(2)/25)*Calculateur!CG102*Calculateur!CI102*VLOOKUP('Données projet'!$B$12,Paramètres!$A$1:$I$89,3,0)*0.475*44/12</f>
        <v>3.0291875291793318</v>
      </c>
      <c r="CM102" s="21">
        <f>EXP(-LN(2)/2)*CM101+(1-EXP(-LN(2)/2))/(LN(2)/2)*CG102*CJ102*VLOOKUP('Données projet'!$B$12,Paramètres!$A$1:$I$89,3,0)*0.475*44/12</f>
        <v>9.8942337402261137E-10</v>
      </c>
      <c r="CN102" s="22">
        <f t="shared" si="66"/>
        <v>3.8612513919846956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>
        <f>VLOOKUP(A102,'Données projet'!$A$139:$I$159,2,0)</f>
        <v>318.25</v>
      </c>
      <c r="CR102" s="12">
        <f>VLOOKUP(A102,'Données projet'!$A$139:$I$159,9,0)</f>
        <v>7.1782051282051267</v>
      </c>
      <c r="CS102" s="12">
        <f t="array" ref="CS102">INDEX(CR:CR,MIN(IF(ISNUMBER(CR102:CR298),ROW(CR102:CR298),"")))</f>
        <v>7.1782051282051267</v>
      </c>
      <c r="CT102" s="12">
        <f>IF('Données projet'!$A$140&gt;35,CT101+CS102-DB101,IF(A102&lt;'Données projet'!$A$140,$CQ$205^A102,IF(A102='Données projet'!$A$140,'Données projet'!$B$140,CT101+CS102-DB101)))</f>
        <v>318.25000000000034</v>
      </c>
      <c r="CU102" s="17">
        <f>CT102*VLOOKUP('Données projet'!$B$13,Paramètres!$A$1:$I$89,3,0)*VLOOKUP('Données projet'!$B$13,Paramètres!$A$1:$I$89,5,0)</f>
        <v>322.70550000000037</v>
      </c>
      <c r="CV102" s="13">
        <f t="shared" si="95"/>
        <v>75.916009423638741</v>
      </c>
      <c r="CW102" s="20">
        <f t="shared" si="67"/>
        <v>694.2657955795047</v>
      </c>
      <c r="CX102" s="59">
        <f t="shared" si="68"/>
        <v>987.59912891283807</v>
      </c>
      <c r="CY102" s="59">
        <f ca="1">AVERAGE(OFFSET($CX$3,0,0,'Données projet'!$E$13+1,1))-AVERAGE(OFFSET($H$3,0,0,'Données projet'!$E$13+1,1))</f>
        <v>263.15518481854753</v>
      </c>
      <c r="CZ102" s="59">
        <f t="shared" si="96"/>
        <v>210.80755370263819</v>
      </c>
      <c r="DA102" s="15">
        <f>IF(ISNA(VLOOKUP(A102,'Données projet'!$A$139:$I$159,3,0)),0,VLOOKUP(A102,'Données projet'!$A$139:$I$159,3,0))</f>
        <v>9</v>
      </c>
      <c r="DB102" s="15">
        <f>IF(ISNA(VLOOKUP(A102,'Données projet'!$A$139:$I$159,4,0)),0,VLOOKUP(A102,'Données projet'!$A$139:$I$159,4,0))</f>
        <v>48.019230769230766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0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275.99999999999972</v>
      </c>
      <c r="DP102" s="17">
        <f>DO102*VLOOKUP('Données projet'!$B$14,Paramètres!$A$1:$I$89,3,0)*VLOOKUP('Données projet'!$B$14,Paramètres!$A$1:$I$89,5,0)</f>
        <v>223.8911999999998</v>
      </c>
      <c r="DQ102" s="13">
        <f t="shared" si="97"/>
        <v>54.95975389514858</v>
      </c>
      <c r="DR102" s="20">
        <f t="shared" si="70"/>
        <v>485.66541136738346</v>
      </c>
      <c r="DS102" s="59">
        <f t="shared" si="71"/>
        <v>778.99874470071677</v>
      </c>
      <c r="DT102" s="59">
        <f ca="1">AVERAGE(OFFSET($DS$3,0,0,'Données projet'!$E$14+1,1))-AVERAGE(OFFSET($H$3,0,0,'Données projet'!$E$14+1,1))</f>
        <v>203.21935660591021</v>
      </c>
      <c r="DU102" s="59">
        <f t="shared" si="98"/>
        <v>180.54762778843178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0.25565701955780074</v>
      </c>
      <c r="EB102" s="21">
        <f>EXP(-LN(2)/25)*EB101+(1-EXP(-LN(2)/25))/(LN(2)/25)*Calculateur!DW102*Calculateur!DY102*VLOOKUP('Données projet'!$B$14,Paramètres!$A$1:$I$89,3,0)*0.475*44/12</f>
        <v>0.85676602957050574</v>
      </c>
      <c r="EC102" s="21">
        <f>EXP(-LN(2)/2)*EC101+(1-EXP(-LN(2)/2))/(LN(2)/2)*DW102*DZ102*VLOOKUP('Données projet'!$B$14,Paramètres!$A$1:$I$89,3,0)*0.475*44/12</f>
        <v>3.7301131990476346E-10</v>
      </c>
      <c r="ED102" s="22">
        <f t="shared" si="72"/>
        <v>1.1124230495013179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-5.1159076974727213E-13</v>
      </c>
      <c r="EK102" s="17">
        <f>EJ102*VLOOKUP('Données projet'!$B$15,Paramètres!$A$1:$I$89,3,0)*VLOOKUP('Données projet'!$B$15,Paramètres!$A$1:$I$89,5,0)</f>
        <v>-3.4317508834647017E-13</v>
      </c>
      <c r="EL102" s="13" t="e">
        <f t="shared" si="99"/>
        <v>#NUM!</v>
      </c>
      <c r="EM102" s="20" t="e">
        <f t="shared" si="73"/>
        <v>#NUM!</v>
      </c>
      <c r="EN102" s="59" t="e">
        <f t="shared" si="74"/>
        <v>#NUM!</v>
      </c>
      <c r="EO102" s="59">
        <f ca="1">AVERAGE(OFFSET($EN$3,0,0,'Données projet'!$E$15+1,1))-AVERAGE(OFFSET($H$3,0,0,'Données projet'!$E$15+1,1))</f>
        <v>207.93042467236967</v>
      </c>
      <c r="EP102" s="59">
        <f t="shared" si="100"/>
        <v>250.70954318710835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0.70154404035461582</v>
      </c>
      <c r="EW102" s="21">
        <f>EXP(-LN(2)/25)*EW101+(1-EXP(-LN(2)/25))/(LN(2)/25)*Calculateur!ER102*Calculateur!ET102*VLOOKUP('Données projet'!$B$15,Paramètres!$A$1:$I$89,3,0)*0.475*44/12</f>
        <v>2.5540208579355186</v>
      </c>
      <c r="EX102" s="21">
        <f>EXP(-LN(2)/2)*EX101+(1-EXP(-LN(2)/2))/(LN(2)/2)*ER102*EU102*VLOOKUP('Données projet'!$B$15,Paramètres!$A$1:$I$89,3,0)*0.475*44/12</f>
        <v>8.3421970750926052E-10</v>
      </c>
      <c r="EY102" s="22">
        <f t="shared" si="75"/>
        <v>3.2555648991243542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-2.2737367544323206E-13</v>
      </c>
      <c r="O103" s="13">
        <f>N103*VLOOKUP('Données projet'!$B$9,Paramètres!$A$1:$I$89,3,0)*VLOOKUP('Données projet'!$B$9,Paramètres!$A$1:$I$89,5,0)</f>
        <v>-1.2710188457276673E-13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255.5374979188561</v>
      </c>
      <c r="T103" s="59">
        <f t="shared" si="88"/>
        <v>343.10418468620901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0.77251021163860245</v>
      </c>
      <c r="AA103" s="21">
        <f>EXP(-LN(2)/25)*AA102+(1-EXP(-LN(2)/25))/(LN(2)/25)*Calculateur!V103*Calculateur!X103*VLOOKUP('Données projet'!$B$9,Paramètres!$A$1:$I$89,3,0)*0.475*44/12</f>
        <v>2.2916904260331616</v>
      </c>
      <c r="AB103" s="21">
        <f>EXP(-LN(2)/2)*AB102+(1-EXP(-LN(2)/2))/(LN(2)/2)*V103*Y103*VLOOKUP('Données projet'!$B$9,Paramètres!$A$1:$I$89,3,0)*0.475*44/12</f>
        <v>4.9262659142668884E-11</v>
      </c>
      <c r="AC103" s="22">
        <f t="shared" si="57"/>
        <v>3.0642006377210267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7.5015384615384617</v>
      </c>
      <c r="AI103" s="13">
        <f>IF('Données projet'!$A$62&gt;35,AI102+AH103-AQ102,IF(A103&lt;'Données projet'!$A$62,$AF$205^A103,IF(A103='Données projet'!$A$62,'Données projet'!$B$62,AI102+AH103-AQ102)))</f>
        <v>272.20769230769258</v>
      </c>
      <c r="AJ103" s="13">
        <f>AI103*VLOOKUP('Données projet'!$B$10,Paramètres!$A$1:$I$89,3,0)*VLOOKUP('Données projet'!$B$10,Paramètres!$A$1:$I$89,5,0)</f>
        <v>127.39320000000012</v>
      </c>
      <c r="AK103" s="13">
        <f t="shared" si="89"/>
        <v>33.393296112922592</v>
      </c>
      <c r="AL103" s="20">
        <f t="shared" si="58"/>
        <v>280.03648073000704</v>
      </c>
      <c r="AM103" s="59">
        <f t="shared" si="59"/>
        <v>573.3698140633403</v>
      </c>
      <c r="AN103" s="59">
        <f ca="1">AVERAGE(OFFSET($AM$3,0,0,'Données projet'!$E$10+1,1))-AVERAGE(OFFSET($H$3,0,0,'Données projet'!$E$10+1,1))</f>
        <v>158.58786357608489</v>
      </c>
      <c r="AO103" s="59">
        <f t="shared" si="90"/>
        <v>163.20074068819849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553.99999999999955</v>
      </c>
      <c r="BE103" s="13">
        <f>BD103*VLOOKUP('Données projet'!$B$11,Paramètres!$A$1:$I$89,3,0)*VLOOKUP('Données projet'!$B$11,Paramètres!$A$1:$I$89,5,0)</f>
        <v>331.29199999999975</v>
      </c>
      <c r="BF103" s="13">
        <f t="shared" si="91"/>
        <v>77.698110787752</v>
      </c>
      <c r="BG103" s="20">
        <f t="shared" si="61"/>
        <v>712.32444295533423</v>
      </c>
      <c r="BH103" s="59">
        <f t="shared" si="62"/>
        <v>1005.6577762886675</v>
      </c>
      <c r="BI103" s="59">
        <f ca="1">AVERAGE(OFFSET($BH$3,0,0,'Données projet'!$E$11+1,1))-AVERAGE(OFFSET($H$3,0,0,'Données projet'!$E$11+1,1))</f>
        <v>316.58509520829671</v>
      </c>
      <c r="BJ103" s="59">
        <f t="shared" si="92"/>
        <v>240.71332110643596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0.63363682855183368</v>
      </c>
      <c r="BQ103" s="21">
        <f>EXP(-LN(2)/25)*BQ102+(1-EXP(-LN(2)/25))/(LN(2)/25)*Calculateur!BL103*Calculateur!BN103*VLOOKUP('Données projet'!$B$11,Paramètres!$A$1:$I$89,3,0)*0.475*44/12</f>
        <v>2.192280288520422</v>
      </c>
      <c r="BR103" s="21">
        <f>EXP(-LN(2)/2)*BR102+(1-EXP(-LN(2)/2))/(LN(2)/2)*BL103*BO103*VLOOKUP('Données projet'!$B$11,Paramètres!$A$1:$I$89,3,0)*0.475*44/12</f>
        <v>6.3851892104549646E-10</v>
      </c>
      <c r="BS103" s="22">
        <f t="shared" si="63"/>
        <v>2.8259171177107745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-5.1159076974727213E-13</v>
      </c>
      <c r="BZ103" s="13">
        <f>BY103*VLOOKUP('Données projet'!$B$12,Paramètres!$A$1:$I$89,3,0)*VLOOKUP('Données projet'!$B$12,Paramètres!$A$1:$I$89,5,0)</f>
        <v>-4.0702161641092972E-13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260.20517190557814</v>
      </c>
      <c r="CE103" s="59">
        <f t="shared" si="94"/>
        <v>307.22009971147133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0.81574759699457322</v>
      </c>
      <c r="CL103" s="21">
        <f>EXP(-LN(2)/25)*CL102+(1-EXP(-LN(2)/25))/(LN(2)/25)*Calculateur!CG103*Calculateur!CI103*VLOOKUP('Données projet'!$B$12,Paramètres!$A$1:$I$89,3,0)*0.475*44/12</f>
        <v>2.9463542368958739</v>
      </c>
      <c r="CM103" s="21">
        <f>EXP(-LN(2)/2)*CM102+(1-EXP(-LN(2)/2))/(LN(2)/2)*CG103*CJ103*VLOOKUP('Données projet'!$B$12,Paramètres!$A$1:$I$89,3,0)*0.475*44/12</f>
        <v>6.9962797723586224E-10</v>
      </c>
      <c r="CN103" s="22">
        <f t="shared" si="66"/>
        <v>3.7621018345900752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6.9935897435897401</v>
      </c>
      <c r="CT103" s="12">
        <f>IF('Données projet'!$A$140&gt;35,CT102+CS103-DB102,IF(A103&lt;'Données projet'!$A$140,$CQ$205^A103,IF(A103='Données projet'!$A$140,'Données projet'!$B$140,CT102+CS103-DB102)))</f>
        <v>277.22435897435929</v>
      </c>
      <c r="CU103" s="17">
        <f>CT103*VLOOKUP('Données projet'!$B$13,Paramètres!$A$1:$I$89,3,0)*VLOOKUP('Données projet'!$B$13,Paramètres!$A$1:$I$89,5,0)</f>
        <v>281.10550000000035</v>
      </c>
      <c r="CV103" s="13">
        <f t="shared" si="95"/>
        <v>67.200579205657675</v>
      </c>
      <c r="CW103" s="20">
        <f t="shared" si="67"/>
        <v>606.63308794985437</v>
      </c>
      <c r="CX103" s="59">
        <f t="shared" si="68"/>
        <v>899.96642128318763</v>
      </c>
      <c r="CY103" s="59">
        <f ca="1">AVERAGE(OFFSET($CX$3,0,0,'Données projet'!$E$13+1,1))-AVERAGE(OFFSET($H$3,0,0,'Données projet'!$E$13+1,1))</f>
        <v>263.15518481854753</v>
      </c>
      <c r="CZ103" s="59">
        <f t="shared" si="96"/>
        <v>210.80755370263819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0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275.99999999999972</v>
      </c>
      <c r="DP103" s="17">
        <f>DO103*VLOOKUP('Données projet'!$B$14,Paramètres!$A$1:$I$89,3,0)*VLOOKUP('Données projet'!$B$14,Paramètres!$A$1:$I$89,5,0)</f>
        <v>223.8911999999998</v>
      </c>
      <c r="DQ103" s="13">
        <f t="shared" si="97"/>
        <v>54.95975389514858</v>
      </c>
      <c r="DR103" s="20">
        <f t="shared" si="70"/>
        <v>485.66541136738346</v>
      </c>
      <c r="DS103" s="59">
        <f t="shared" si="71"/>
        <v>778.99874470071677</v>
      </c>
      <c r="DT103" s="59">
        <f ca="1">AVERAGE(OFFSET($DS$3,0,0,'Données projet'!$E$14+1,1))-AVERAGE(OFFSET($H$3,0,0,'Données projet'!$E$14+1,1))</f>
        <v>203.21935660591021</v>
      </c>
      <c r="DU103" s="59">
        <f t="shared" si="98"/>
        <v>180.54762778843178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0.25064374133965683</v>
      </c>
      <c r="EB103" s="21">
        <f>EXP(-LN(2)/25)*EB102+(1-EXP(-LN(2)/25))/(LN(2)/25)*Calculateur!DW103*Calculateur!DY103*VLOOKUP('Données projet'!$B$14,Paramètres!$A$1:$I$89,3,0)*0.475*44/12</f>
        <v>0.83333771743653295</v>
      </c>
      <c r="EC103" s="21">
        <f>EXP(-LN(2)/2)*EC102+(1-EXP(-LN(2)/2))/(LN(2)/2)*DW103*DZ103*VLOOKUP('Données projet'!$B$14,Paramètres!$A$1:$I$89,3,0)*0.475*44/12</f>
        <v>2.6375883376400285E-10</v>
      </c>
      <c r="ED103" s="22">
        <f t="shared" si="72"/>
        <v>1.0839814590399486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-5.1159076974727213E-13</v>
      </c>
      <c r="EK103" s="17">
        <f>EJ103*VLOOKUP('Données projet'!$B$15,Paramètres!$A$1:$I$89,3,0)*VLOOKUP('Données projet'!$B$15,Paramètres!$A$1:$I$89,5,0)</f>
        <v>-3.4317508834647017E-13</v>
      </c>
      <c r="EL103" s="13" t="e">
        <f t="shared" si="99"/>
        <v>#NUM!</v>
      </c>
      <c r="EM103" s="20" t="e">
        <f t="shared" si="73"/>
        <v>#NUM!</v>
      </c>
      <c r="EN103" s="59" t="e">
        <f t="shared" si="74"/>
        <v>#NUM!</v>
      </c>
      <c r="EO103" s="59">
        <f ca="1">AVERAGE(OFFSET($EN$3,0,0,'Données projet'!$E$15+1,1))-AVERAGE(OFFSET($H$3,0,0,'Données projet'!$E$15+1,1))</f>
        <v>207.93042467236967</v>
      </c>
      <c r="EP103" s="59">
        <f t="shared" si="100"/>
        <v>250.70954318710835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0.68778718962287488</v>
      </c>
      <c r="EW103" s="21">
        <f>EXP(-LN(2)/25)*EW102+(1-EXP(-LN(2)/25))/(LN(2)/25)*Calculateur!ER103*Calculateur!ET103*VLOOKUP('Données projet'!$B$15,Paramètres!$A$1:$I$89,3,0)*0.475*44/12</f>
        <v>2.484181023265152</v>
      </c>
      <c r="EX103" s="21">
        <f>EXP(-LN(2)/2)*EX102+(1-EXP(-LN(2)/2))/(LN(2)/2)*ER103*EU103*VLOOKUP('Données projet'!$B$15,Paramètres!$A$1:$I$89,3,0)*0.475*44/12</f>
        <v>5.8988241217925635E-10</v>
      </c>
      <c r="EY103" s="22">
        <f t="shared" si="75"/>
        <v>3.1719682134779092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-2.2737367544323206E-13</v>
      </c>
      <c r="O104" s="13">
        <f>N104*VLOOKUP('Données projet'!$B$9,Paramètres!$A$1:$I$89,3,0)*VLOOKUP('Données projet'!$B$9,Paramètres!$A$1:$I$89,5,0)</f>
        <v>-1.2710188457276673E-13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255.5374979188561</v>
      </c>
      <c r="T104" s="59">
        <f t="shared" si="88"/>
        <v>343.10418468620901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0.75736175757307289</v>
      </c>
      <c r="AA104" s="21">
        <f>EXP(-LN(2)/25)*AA103+(1-EXP(-LN(2)/25))/(LN(2)/25)*Calculateur!V104*Calculateur!X104*VLOOKUP('Données projet'!$B$9,Paramètres!$A$1:$I$89,3,0)*0.475*44/12</f>
        <v>2.2290240308185232</v>
      </c>
      <c r="AB104" s="21">
        <f>EXP(-LN(2)/2)*AB103+(1-EXP(-LN(2)/2))/(LN(2)/2)*V104*Y104*VLOOKUP('Données projet'!$B$9,Paramètres!$A$1:$I$89,3,0)*0.475*44/12</f>
        <v>3.4833960339062641E-11</v>
      </c>
      <c r="AC104" s="22">
        <f t="shared" si="57"/>
        <v>2.9863857884264298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7.5015384615384617</v>
      </c>
      <c r="AI104" s="13">
        <f>IF('Données projet'!$A$62&gt;35,AI103+AH104-AQ103,IF(A104&lt;'Données projet'!$A$62,$AF$205^A104,IF(A104='Données projet'!$A$62,'Données projet'!$B$62,AI103+AH104-AQ103)))</f>
        <v>279.70923076923106</v>
      </c>
      <c r="AJ104" s="13">
        <f>AI104*VLOOKUP('Données projet'!$B$10,Paramètres!$A$1:$I$89,3,0)*VLOOKUP('Données projet'!$B$10,Paramètres!$A$1:$I$89,5,0)</f>
        <v>130.90392000000014</v>
      </c>
      <c r="AK104" s="13">
        <f t="shared" si="89"/>
        <v>34.205144397668505</v>
      </c>
      <c r="AL104" s="20">
        <f t="shared" si="58"/>
        <v>287.56495382593954</v>
      </c>
      <c r="AM104" s="59">
        <f t="shared" si="59"/>
        <v>580.89828715927285</v>
      </c>
      <c r="AN104" s="59">
        <f ca="1">AVERAGE(OFFSET($AM$3,0,0,'Données projet'!$E$10+1,1))-AVERAGE(OFFSET($H$3,0,0,'Données projet'!$E$10+1,1))</f>
        <v>158.58786357608489</v>
      </c>
      <c r="AO104" s="59">
        <f t="shared" si="90"/>
        <v>163.20074068819849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553.99999999999955</v>
      </c>
      <c r="BE104" s="13">
        <f>BD104*VLOOKUP('Données projet'!$B$11,Paramètres!$A$1:$I$89,3,0)*VLOOKUP('Données projet'!$B$11,Paramètres!$A$1:$I$89,5,0)</f>
        <v>331.29199999999975</v>
      </c>
      <c r="BF104" s="13">
        <f t="shared" si="91"/>
        <v>77.698110787752</v>
      </c>
      <c r="BG104" s="20">
        <f t="shared" si="61"/>
        <v>712.32444295533423</v>
      </c>
      <c r="BH104" s="59">
        <f t="shared" si="62"/>
        <v>1005.6577762886675</v>
      </c>
      <c r="BI104" s="59">
        <f ca="1">AVERAGE(OFFSET($BH$3,0,0,'Données projet'!$E$11+1,1))-AVERAGE(OFFSET($H$3,0,0,'Données projet'!$E$11+1,1))</f>
        <v>316.58509520829671</v>
      </c>
      <c r="BJ104" s="59">
        <f t="shared" si="92"/>
        <v>240.71332110643596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0.62121159682423588</v>
      </c>
      <c r="BQ104" s="21">
        <f>EXP(-LN(2)/25)*BQ103+(1-EXP(-LN(2)/25))/(LN(2)/25)*Calculateur!BL104*Calculateur!BN104*VLOOKUP('Données projet'!$B$11,Paramètres!$A$1:$I$89,3,0)*0.475*44/12</f>
        <v>2.1323322687438213</v>
      </c>
      <c r="BR104" s="21">
        <f>EXP(-LN(2)/2)*BR103+(1-EXP(-LN(2)/2))/(LN(2)/2)*BL104*BO104*VLOOKUP('Données projet'!$B$11,Paramètres!$A$1:$I$89,3,0)*0.475*44/12</f>
        <v>4.5150105898718833E-10</v>
      </c>
      <c r="BS104" s="22">
        <f t="shared" si="63"/>
        <v>2.7535438660195584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-5.1159076974727213E-13</v>
      </c>
      <c r="BZ104" s="13">
        <f>BY104*VLOOKUP('Données projet'!$B$12,Paramètres!$A$1:$I$89,3,0)*VLOOKUP('Données projet'!$B$12,Paramètres!$A$1:$I$89,5,0)</f>
        <v>-4.0702161641092972E-13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260.20517190557814</v>
      </c>
      <c r="CE104" s="59">
        <f t="shared" si="94"/>
        <v>307.22009971147133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0.7997512841744141</v>
      </c>
      <c r="CL104" s="21">
        <f>EXP(-LN(2)/25)*CL103+(1-EXP(-LN(2)/25))/(LN(2)/25)*Calculateur!CG104*Calculateur!CI104*VLOOKUP('Données projet'!$B$12,Paramètres!$A$1:$I$89,3,0)*0.475*44/12</f>
        <v>2.8657860253459209</v>
      </c>
      <c r="CM104" s="21">
        <f>EXP(-LN(2)/2)*CM103+(1-EXP(-LN(2)/2))/(LN(2)/2)*CG104*CJ104*VLOOKUP('Données projet'!$B$12,Paramètres!$A$1:$I$89,3,0)*0.475*44/12</f>
        <v>4.9471168701130569E-10</v>
      </c>
      <c r="CN104" s="22">
        <f t="shared" si="66"/>
        <v>3.665537310015047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6.9935897435897401</v>
      </c>
      <c r="CT104" s="12">
        <f>IF('Données projet'!$A$140&gt;35,CT103+CS104-DB103,IF(A104&lt;'Données projet'!$A$140,$CQ$205^A104,IF(A104='Données projet'!$A$140,'Données projet'!$B$140,CT103+CS104-DB103)))</f>
        <v>284.21794871794901</v>
      </c>
      <c r="CU104" s="17">
        <f>CT104*VLOOKUP('Données projet'!$B$13,Paramètres!$A$1:$I$89,3,0)*VLOOKUP('Données projet'!$B$13,Paramètres!$A$1:$I$89,5,0)</f>
        <v>288.19700000000034</v>
      </c>
      <c r="CV104" s="13">
        <f t="shared" si="95"/>
        <v>68.696350845178046</v>
      </c>
      <c r="CW104" s="20">
        <f t="shared" si="67"/>
        <v>621.58925272201895</v>
      </c>
      <c r="CX104" s="59">
        <f t="shared" si="68"/>
        <v>914.92258605535221</v>
      </c>
      <c r="CY104" s="59">
        <f ca="1">AVERAGE(OFFSET($CX$3,0,0,'Données projet'!$E$13+1,1))-AVERAGE(OFFSET($H$3,0,0,'Données projet'!$E$13+1,1))</f>
        <v>263.15518481854753</v>
      </c>
      <c r="CZ104" s="59">
        <f t="shared" si="96"/>
        <v>210.80755370263819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0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275.99999999999972</v>
      </c>
      <c r="DP104" s="17">
        <f>DO104*VLOOKUP('Données projet'!$B$14,Paramètres!$A$1:$I$89,3,0)*VLOOKUP('Données projet'!$B$14,Paramètres!$A$1:$I$89,5,0)</f>
        <v>223.8911999999998</v>
      </c>
      <c r="DQ104" s="13">
        <f t="shared" si="97"/>
        <v>54.95975389514858</v>
      </c>
      <c r="DR104" s="20">
        <f t="shared" si="70"/>
        <v>485.66541136738346</v>
      </c>
      <c r="DS104" s="59">
        <f t="shared" si="71"/>
        <v>778.99874470071677</v>
      </c>
      <c r="DT104" s="59">
        <f ca="1">AVERAGE(OFFSET($DS$3,0,0,'Données projet'!$E$14+1,1))-AVERAGE(OFFSET($H$3,0,0,'Données projet'!$E$14+1,1))</f>
        <v>203.21935660591021</v>
      </c>
      <c r="DU104" s="59">
        <f t="shared" si="98"/>
        <v>180.54762778843178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0.24572877044957298</v>
      </c>
      <c r="EB104" s="21">
        <f>EXP(-LN(2)/25)*EB103+(1-EXP(-LN(2)/25))/(LN(2)/25)*Calculateur!DW104*Calculateur!DY104*VLOOKUP('Données projet'!$B$14,Paramètres!$A$1:$I$89,3,0)*0.475*44/12</f>
        <v>0.81055005372990507</v>
      </c>
      <c r="EC104" s="21">
        <f>EXP(-LN(2)/2)*EC103+(1-EXP(-LN(2)/2))/(LN(2)/2)*DW104*DZ104*VLOOKUP('Données projet'!$B$14,Paramètres!$A$1:$I$89,3,0)*0.475*44/12</f>
        <v>1.8650565995238173E-10</v>
      </c>
      <c r="ED104" s="22">
        <f t="shared" si="72"/>
        <v>1.0562788243659837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-5.1159076974727213E-13</v>
      </c>
      <c r="EK104" s="17">
        <f>EJ104*VLOOKUP('Données projet'!$B$15,Paramètres!$A$1:$I$89,3,0)*VLOOKUP('Données projet'!$B$15,Paramètres!$A$1:$I$89,5,0)</f>
        <v>-3.4317508834647017E-13</v>
      </c>
      <c r="EL104" s="13" t="e">
        <f t="shared" si="99"/>
        <v>#NUM!</v>
      </c>
      <c r="EM104" s="20" t="e">
        <f t="shared" si="73"/>
        <v>#NUM!</v>
      </c>
      <c r="EN104" s="59" t="e">
        <f t="shared" si="74"/>
        <v>#NUM!</v>
      </c>
      <c r="EO104" s="59">
        <f ca="1">AVERAGE(OFFSET($EN$3,0,0,'Données projet'!$E$15+1,1))-AVERAGE(OFFSET($H$3,0,0,'Données projet'!$E$15+1,1))</f>
        <v>207.93042467236967</v>
      </c>
      <c r="EP104" s="59">
        <f t="shared" si="100"/>
        <v>250.70954318710835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0.67430010234313298</v>
      </c>
      <c r="EW104" s="21">
        <f>EXP(-LN(2)/25)*EW103+(1-EXP(-LN(2)/25))/(LN(2)/25)*Calculateur!ER104*Calculateur!ET104*VLOOKUP('Données projet'!$B$15,Paramètres!$A$1:$I$89,3,0)*0.475*44/12</f>
        <v>2.416250962546564</v>
      </c>
      <c r="EX104" s="21">
        <f>EXP(-LN(2)/2)*EX103+(1-EXP(-LN(2)/2))/(LN(2)/2)*ER104*EU104*VLOOKUP('Données projet'!$B$15,Paramètres!$A$1:$I$89,3,0)*0.475*44/12</f>
        <v>4.1710985375463026E-10</v>
      </c>
      <c r="EY104" s="22">
        <f t="shared" si="75"/>
        <v>3.0905510653068067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-2.2737367544323206E-13</v>
      </c>
      <c r="O105" s="13">
        <f>N105*VLOOKUP('Données projet'!$B$9,Paramètres!$A$1:$I$89,3,0)*VLOOKUP('Données projet'!$B$9,Paramètres!$A$1:$I$89,5,0)</f>
        <v>-1.2710188457276673E-13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255.5374979188561</v>
      </c>
      <c r="T105" s="59">
        <f t="shared" si="88"/>
        <v>343.10418468620901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0.74251035545212374</v>
      </c>
      <c r="AA105" s="21">
        <f>EXP(-LN(2)/25)*AA104+(1-EXP(-LN(2)/25))/(LN(2)/25)*Calculateur!V105*Calculateur!X105*VLOOKUP('Données projet'!$B$9,Paramètres!$A$1:$I$89,3,0)*0.475*44/12</f>
        <v>2.1680712514765115</v>
      </c>
      <c r="AB105" s="21">
        <f>EXP(-LN(2)/2)*AB104+(1-EXP(-LN(2)/2))/(LN(2)/2)*V105*Y105*VLOOKUP('Données projet'!$B$9,Paramètres!$A$1:$I$89,3,0)*0.475*44/12</f>
        <v>2.4631329571334442E-11</v>
      </c>
      <c r="AC105" s="22">
        <f t="shared" si="57"/>
        <v>2.9105816069532664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7.5015384615384617</v>
      </c>
      <c r="AI105" s="13">
        <f>IF('Données projet'!$A$62&gt;35,AI104+AH105-AQ104,IF(A105&lt;'Données projet'!$A$62,$AF$205^A105,IF(A105='Données projet'!$A$62,'Données projet'!$B$62,AI104+AH105-AQ104)))</f>
        <v>287.21076923076953</v>
      </c>
      <c r="AJ105" s="13">
        <f>AI105*VLOOKUP('Données projet'!$B$10,Paramètres!$A$1:$I$89,3,0)*VLOOKUP('Données projet'!$B$10,Paramètres!$A$1:$I$89,5,0)</f>
        <v>134.41464000000013</v>
      </c>
      <c r="AK105" s="13">
        <f t="shared" si="89"/>
        <v>35.014461935490388</v>
      </c>
      <c r="AL105" s="20">
        <f t="shared" si="58"/>
        <v>295.08901920431265</v>
      </c>
      <c r="AM105" s="59">
        <f t="shared" si="59"/>
        <v>588.42235253764602</v>
      </c>
      <c r="AN105" s="59">
        <f ca="1">AVERAGE(OFFSET($AM$3,0,0,'Données projet'!$E$10+1,1))-AVERAGE(OFFSET($H$3,0,0,'Données projet'!$E$10+1,1))</f>
        <v>158.58786357608489</v>
      </c>
      <c r="AO105" s="59">
        <f t="shared" si="90"/>
        <v>163.20074068819849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553.99999999999955</v>
      </c>
      <c r="BE105" s="13">
        <f>BD105*VLOOKUP('Données projet'!$B$11,Paramètres!$A$1:$I$89,3,0)*VLOOKUP('Données projet'!$B$11,Paramètres!$A$1:$I$89,5,0)</f>
        <v>331.29199999999975</v>
      </c>
      <c r="BF105" s="13">
        <f t="shared" si="91"/>
        <v>77.698110787752</v>
      </c>
      <c r="BG105" s="20">
        <f t="shared" si="61"/>
        <v>712.32444295533423</v>
      </c>
      <c r="BH105" s="59">
        <f t="shared" si="62"/>
        <v>1005.6577762886675</v>
      </c>
      <c r="BI105" s="59">
        <f ca="1">AVERAGE(OFFSET($BH$3,0,0,'Données projet'!$E$11+1,1))-AVERAGE(OFFSET($H$3,0,0,'Données projet'!$E$11+1,1))</f>
        <v>316.58509520829671</v>
      </c>
      <c r="BJ105" s="59">
        <f t="shared" si="92"/>
        <v>240.71332110643596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0.60903001631217324</v>
      </c>
      <c r="BQ105" s="21">
        <f>EXP(-LN(2)/25)*BQ104+(1-EXP(-LN(2)/25))/(LN(2)/25)*Calculateur!BL105*Calculateur!BN105*VLOOKUP('Données projet'!$B$11,Paramètres!$A$1:$I$89,3,0)*0.475*44/12</f>
        <v>2.0740235307205408</v>
      </c>
      <c r="BR105" s="21">
        <f>EXP(-LN(2)/2)*BR104+(1-EXP(-LN(2)/2))/(LN(2)/2)*BL105*BO105*VLOOKUP('Données projet'!$B$11,Paramètres!$A$1:$I$89,3,0)*0.475*44/12</f>
        <v>3.1925946052274828E-10</v>
      </c>
      <c r="BS105" s="22">
        <f t="shared" si="63"/>
        <v>2.6830535473519732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-5.1159076974727213E-13</v>
      </c>
      <c r="BZ105" s="13">
        <f>BY105*VLOOKUP('Données projet'!$B$12,Paramètres!$A$1:$I$89,3,0)*VLOOKUP('Données projet'!$B$12,Paramètres!$A$1:$I$89,5,0)</f>
        <v>-4.0702161641092972E-13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260.20517190557814</v>
      </c>
      <c r="CE105" s="59">
        <f t="shared" si="94"/>
        <v>307.22009971147133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0.78406864929187092</v>
      </c>
      <c r="CL105" s="21">
        <f>EXP(-LN(2)/25)*CL104+(1-EXP(-LN(2)/25))/(LN(2)/25)*Calculateur!CG105*Calculateur!CI105*VLOOKUP('Données projet'!$B$12,Paramètres!$A$1:$I$89,3,0)*0.475*44/12</f>
        <v>2.7874209557776992</v>
      </c>
      <c r="CM105" s="21">
        <f>EXP(-LN(2)/2)*CM104+(1-EXP(-LN(2)/2))/(LN(2)/2)*CG105*CJ105*VLOOKUP('Données projet'!$B$12,Paramètres!$A$1:$I$89,3,0)*0.475*44/12</f>
        <v>3.4981398861793112E-10</v>
      </c>
      <c r="CN105" s="22">
        <f t="shared" si="66"/>
        <v>3.5714896054193841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6.9935897435897401</v>
      </c>
      <c r="CT105" s="12">
        <f>IF('Données projet'!$A$140&gt;35,CT104+CS105-DB104,IF(A105&lt;'Données projet'!$A$140,$CQ$205^A105,IF(A105='Données projet'!$A$140,'Données projet'!$B$140,CT104+CS105-DB104)))</f>
        <v>291.21153846153874</v>
      </c>
      <c r="CU105" s="17">
        <f>CT105*VLOOKUP('Données projet'!$B$13,Paramètres!$A$1:$I$89,3,0)*VLOOKUP('Données projet'!$B$13,Paramètres!$A$1:$I$89,5,0)</f>
        <v>295.28850000000028</v>
      </c>
      <c r="CV105" s="13">
        <f t="shared" si="95"/>
        <v>70.187843985612062</v>
      </c>
      <c r="CW105" s="20">
        <f t="shared" si="67"/>
        <v>636.53796577494143</v>
      </c>
      <c r="CX105" s="59">
        <f t="shared" si="68"/>
        <v>929.8712991082748</v>
      </c>
      <c r="CY105" s="59">
        <f ca="1">AVERAGE(OFFSET($CX$3,0,0,'Données projet'!$E$13+1,1))-AVERAGE(OFFSET($H$3,0,0,'Données projet'!$E$13+1,1))</f>
        <v>263.15518481854753</v>
      </c>
      <c r="CZ105" s="59">
        <f t="shared" si="96"/>
        <v>210.80755370263819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0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275.99999999999972</v>
      </c>
      <c r="DP105" s="17">
        <f>DO105*VLOOKUP('Données projet'!$B$14,Paramètres!$A$1:$I$89,3,0)*VLOOKUP('Données projet'!$B$14,Paramètres!$A$1:$I$89,5,0)</f>
        <v>223.8911999999998</v>
      </c>
      <c r="DQ105" s="13">
        <f t="shared" si="97"/>
        <v>54.95975389514858</v>
      </c>
      <c r="DR105" s="20">
        <f t="shared" si="70"/>
        <v>485.66541136738346</v>
      </c>
      <c r="DS105" s="59">
        <f t="shared" si="71"/>
        <v>778.99874470071677</v>
      </c>
      <c r="DT105" s="59">
        <f ca="1">AVERAGE(OFFSET($DS$3,0,0,'Données projet'!$E$14+1,1))-AVERAGE(OFFSET($H$3,0,0,'Données projet'!$E$14+1,1))</f>
        <v>203.21935660591021</v>
      </c>
      <c r="DU105" s="59">
        <f t="shared" si="98"/>
        <v>180.54762778843178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0.24091017914080742</v>
      </c>
      <c r="EB105" s="21">
        <f>EXP(-LN(2)/25)*EB104+(1-EXP(-LN(2)/25))/(LN(2)/25)*Calculateur!DW105*Calculateur!DY105*VLOOKUP('Données projet'!$B$14,Paramètres!$A$1:$I$89,3,0)*0.475*44/12</f>
        <v>0.78838551988568606</v>
      </c>
      <c r="EC105" s="21">
        <f>EXP(-LN(2)/2)*EC104+(1-EXP(-LN(2)/2))/(LN(2)/2)*DW105*DZ105*VLOOKUP('Données projet'!$B$14,Paramètres!$A$1:$I$89,3,0)*0.475*44/12</f>
        <v>1.3187941688200143E-10</v>
      </c>
      <c r="ED105" s="22">
        <f t="shared" si="72"/>
        <v>1.0292956991583728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-5.1159076974727213E-13</v>
      </c>
      <c r="EK105" s="17">
        <f>EJ105*VLOOKUP('Données projet'!$B$15,Paramètres!$A$1:$I$89,3,0)*VLOOKUP('Données projet'!$B$15,Paramètres!$A$1:$I$89,5,0)</f>
        <v>-3.4317508834647017E-13</v>
      </c>
      <c r="EL105" s="13" t="e">
        <f t="shared" si="99"/>
        <v>#NUM!</v>
      </c>
      <c r="EM105" s="20" t="e">
        <f t="shared" si="73"/>
        <v>#NUM!</v>
      </c>
      <c r="EN105" s="59" t="e">
        <f t="shared" si="74"/>
        <v>#NUM!</v>
      </c>
      <c r="EO105" s="59">
        <f ca="1">AVERAGE(OFFSET($EN$3,0,0,'Données projet'!$E$15+1,1))-AVERAGE(OFFSET($H$3,0,0,'Données projet'!$E$15+1,1))</f>
        <v>207.93042467236967</v>
      </c>
      <c r="EP105" s="59">
        <f t="shared" si="100"/>
        <v>250.70954318710835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0.6610774886186358</v>
      </c>
      <c r="EW105" s="21">
        <f>EXP(-LN(2)/25)*EW104+(1-EXP(-LN(2)/25))/(LN(2)/25)*Calculateur!ER105*Calculateur!ET105*VLOOKUP('Données projet'!$B$15,Paramètres!$A$1:$I$89,3,0)*0.475*44/12</f>
        <v>2.3501784529106127</v>
      </c>
      <c r="EX105" s="21">
        <f>EXP(-LN(2)/2)*EX104+(1-EXP(-LN(2)/2))/(LN(2)/2)*ER105*EU105*VLOOKUP('Données projet'!$B$15,Paramètres!$A$1:$I$89,3,0)*0.475*44/12</f>
        <v>2.9494120608962818E-10</v>
      </c>
      <c r="EY105" s="22">
        <f t="shared" si="75"/>
        <v>3.01125594182419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-2.2737367544323206E-13</v>
      </c>
      <c r="O106" s="13">
        <f>N106*VLOOKUP('Données projet'!$B$9,Paramètres!$A$1:$I$89,3,0)*VLOOKUP('Données projet'!$B$9,Paramètres!$A$1:$I$89,5,0)</f>
        <v>-1.2710188457276673E-13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255.5374979188561</v>
      </c>
      <c r="T106" s="59">
        <f t="shared" si="88"/>
        <v>343.10418468620901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0.7279501802683056</v>
      </c>
      <c r="AA106" s="21">
        <f>EXP(-LN(2)/25)*AA105+(1-EXP(-LN(2)/25))/(LN(2)/25)*Calculateur!V106*Calculateur!X106*VLOOKUP('Données projet'!$B$9,Paramètres!$A$1:$I$89,3,0)*0.475*44/12</f>
        <v>2.1087852290909743</v>
      </c>
      <c r="AB106" s="21">
        <f>EXP(-LN(2)/2)*AB105+(1-EXP(-LN(2)/2))/(LN(2)/2)*V106*Y106*VLOOKUP('Données projet'!$B$9,Paramètres!$A$1:$I$89,3,0)*0.475*44/12</f>
        <v>1.741698016953132E-11</v>
      </c>
      <c r="AC106" s="22">
        <f t="shared" si="57"/>
        <v>2.836735409376697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7.5015384615384617</v>
      </c>
      <c r="AI106" s="13">
        <f>IF('Données projet'!$A$62&gt;35,AI105+AH106-AQ105,IF(A106&lt;'Données projet'!$A$62,$AF$205^A106,IF(A106='Données projet'!$A$62,'Données projet'!$B$62,AI105+AH106-AQ105)))</f>
        <v>294.712307692308</v>
      </c>
      <c r="AJ106" s="13">
        <f>AI106*VLOOKUP('Données projet'!$B$10,Paramètres!$A$1:$I$89,3,0)*VLOOKUP('Données projet'!$B$10,Paramètres!$A$1:$I$89,5,0)</f>
        <v>137.92536000000015</v>
      </c>
      <c r="AK106" s="13">
        <f t="shared" si="89"/>
        <v>35.82132242479814</v>
      </c>
      <c r="AL106" s="20">
        <f t="shared" si="58"/>
        <v>302.6088052231903</v>
      </c>
      <c r="AM106" s="59">
        <f t="shared" si="59"/>
        <v>595.94213855652356</v>
      </c>
      <c r="AN106" s="59">
        <f ca="1">AVERAGE(OFFSET($AM$3,0,0,'Données projet'!$E$10+1,1))-AVERAGE(OFFSET($H$3,0,0,'Données projet'!$E$10+1,1))</f>
        <v>158.58786357608489</v>
      </c>
      <c r="AO106" s="59">
        <f t="shared" si="90"/>
        <v>163.20074068819849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553.99999999999955</v>
      </c>
      <c r="BE106" s="13">
        <f>BD106*VLOOKUP('Données projet'!$B$11,Paramètres!$A$1:$I$89,3,0)*VLOOKUP('Données projet'!$B$11,Paramètres!$A$1:$I$89,5,0)</f>
        <v>331.29199999999975</v>
      </c>
      <c r="BF106" s="13">
        <f t="shared" si="91"/>
        <v>77.698110787752</v>
      </c>
      <c r="BG106" s="20">
        <f t="shared" si="61"/>
        <v>712.32444295533423</v>
      </c>
      <c r="BH106" s="59">
        <f t="shared" si="62"/>
        <v>1005.6577762886675</v>
      </c>
      <c r="BI106" s="59">
        <f ca="1">AVERAGE(OFFSET($BH$3,0,0,'Données projet'!$E$11+1,1))-AVERAGE(OFFSET($H$3,0,0,'Données projet'!$E$11+1,1))</f>
        <v>316.58509520829671</v>
      </c>
      <c r="BJ106" s="59">
        <f t="shared" si="92"/>
        <v>240.71332110643596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0.59708730916392172</v>
      </c>
      <c r="BQ106" s="21">
        <f>EXP(-LN(2)/25)*BQ105+(1-EXP(-LN(2)/25))/(LN(2)/25)*Calculateur!BL106*Calculateur!BN106*VLOOKUP('Données projet'!$B$11,Paramètres!$A$1:$I$89,3,0)*0.475*44/12</f>
        <v>2.0173092482048305</v>
      </c>
      <c r="BR106" s="21">
        <f>EXP(-LN(2)/2)*BR105+(1-EXP(-LN(2)/2))/(LN(2)/2)*BL106*BO106*VLOOKUP('Données projet'!$B$11,Paramètres!$A$1:$I$89,3,0)*0.475*44/12</f>
        <v>2.2575052949359419E-10</v>
      </c>
      <c r="BS106" s="22">
        <f t="shared" si="63"/>
        <v>2.6143965575945027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-5.1159076974727213E-13</v>
      </c>
      <c r="BZ106" s="13">
        <f>BY106*VLOOKUP('Données projet'!$B$12,Paramètres!$A$1:$I$89,3,0)*VLOOKUP('Données projet'!$B$12,Paramètres!$A$1:$I$89,5,0)</f>
        <v>-4.0702161641092972E-13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260.20517190557814</v>
      </c>
      <c r="CE106" s="59">
        <f t="shared" si="94"/>
        <v>307.22009971147133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0.76869354131391165</v>
      </c>
      <c r="CL106" s="21">
        <f>EXP(-LN(2)/25)*CL105+(1-EXP(-LN(2)/25))/(LN(2)/25)*Calculateur!CG106*Calculateur!CI106*VLOOKUP('Données projet'!$B$12,Paramètres!$A$1:$I$89,3,0)*0.475*44/12</f>
        <v>2.7111987831578608</v>
      </c>
      <c r="CM106" s="21">
        <f>EXP(-LN(2)/2)*CM105+(1-EXP(-LN(2)/2))/(LN(2)/2)*CG106*CJ106*VLOOKUP('Données projet'!$B$12,Paramètres!$A$1:$I$89,3,0)*0.475*44/12</f>
        <v>2.4735584350565284E-10</v>
      </c>
      <c r="CN106" s="22">
        <f t="shared" si="66"/>
        <v>3.4798923247191285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6.9935897435897401</v>
      </c>
      <c r="CT106" s="12">
        <f>IF('Données projet'!$A$140&gt;35,CT105+CS106-DB105,IF(A106&lt;'Données projet'!$A$140,$CQ$205^A106,IF(A106='Données projet'!$A$140,'Données projet'!$B$140,CT105+CS106-DB105)))</f>
        <v>298.20512820512846</v>
      </c>
      <c r="CU106" s="17">
        <f>CT106*VLOOKUP('Données projet'!$B$13,Paramètres!$A$1:$I$89,3,0)*VLOOKUP('Données projet'!$B$13,Paramètres!$A$1:$I$89,5,0)</f>
        <v>302.38000000000028</v>
      </c>
      <c r="CV106" s="13">
        <f t="shared" si="95"/>
        <v>71.675173199461099</v>
      </c>
      <c r="CW106" s="20">
        <f t="shared" si="67"/>
        <v>651.4794266557285</v>
      </c>
      <c r="CX106" s="59">
        <f t="shared" si="68"/>
        <v>944.81275998906176</v>
      </c>
      <c r="CY106" s="59">
        <f ca="1">AVERAGE(OFFSET($CX$3,0,0,'Données projet'!$E$13+1,1))-AVERAGE(OFFSET($H$3,0,0,'Données projet'!$E$13+1,1))</f>
        <v>263.15518481854753</v>
      </c>
      <c r="CZ106" s="59">
        <f t="shared" si="96"/>
        <v>210.80755370263819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0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275.99999999999972</v>
      </c>
      <c r="DP106" s="17">
        <f>DO106*VLOOKUP('Données projet'!$B$14,Paramètres!$A$1:$I$89,3,0)*VLOOKUP('Données projet'!$B$14,Paramètres!$A$1:$I$89,5,0)</f>
        <v>223.8911999999998</v>
      </c>
      <c r="DQ106" s="13">
        <f t="shared" si="97"/>
        <v>54.95975389514858</v>
      </c>
      <c r="DR106" s="20">
        <f t="shared" si="70"/>
        <v>485.66541136738346</v>
      </c>
      <c r="DS106" s="59">
        <f t="shared" si="71"/>
        <v>778.99874470071677</v>
      </c>
      <c r="DT106" s="59">
        <f ca="1">AVERAGE(OFFSET($DS$3,0,0,'Données projet'!$E$14+1,1))-AVERAGE(OFFSET($H$3,0,0,'Données projet'!$E$14+1,1))</f>
        <v>203.21935660591021</v>
      </c>
      <c r="DU106" s="59">
        <f t="shared" si="98"/>
        <v>180.54762778843178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0.23618607746855627</v>
      </c>
      <c r="EB106" s="21">
        <f>EXP(-LN(2)/25)*EB105+(1-EXP(-LN(2)/25))/(LN(2)/25)*Calculateur!DW106*Calculateur!DY106*VLOOKUP('Données projet'!$B$14,Paramètres!$A$1:$I$89,3,0)*0.475*44/12</f>
        <v>0.76682707638501935</v>
      </c>
      <c r="EC106" s="21">
        <f>EXP(-LN(2)/2)*EC105+(1-EXP(-LN(2)/2))/(LN(2)/2)*DW106*DZ106*VLOOKUP('Données projet'!$B$14,Paramètres!$A$1:$I$89,3,0)*0.475*44/12</f>
        <v>9.3252829976190866E-11</v>
      </c>
      <c r="ED106" s="22">
        <f t="shared" si="72"/>
        <v>1.0030131539468283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-5.1159076974727213E-13</v>
      </c>
      <c r="EK106" s="17">
        <f>EJ106*VLOOKUP('Données projet'!$B$15,Paramètres!$A$1:$I$89,3,0)*VLOOKUP('Données projet'!$B$15,Paramètres!$A$1:$I$89,5,0)</f>
        <v>-3.4317508834647017E-13</v>
      </c>
      <c r="EL106" s="13" t="e">
        <f t="shared" si="99"/>
        <v>#NUM!</v>
      </c>
      <c r="EM106" s="20" t="e">
        <f t="shared" si="73"/>
        <v>#NUM!</v>
      </c>
      <c r="EN106" s="59" t="e">
        <f t="shared" si="74"/>
        <v>#NUM!</v>
      </c>
      <c r="EO106" s="59">
        <f ca="1">AVERAGE(OFFSET($EN$3,0,0,'Données projet'!$E$15+1,1))-AVERAGE(OFFSET($H$3,0,0,'Données projet'!$E$15+1,1))</f>
        <v>207.93042467236967</v>
      </c>
      <c r="EP106" s="59">
        <f t="shared" si="100"/>
        <v>250.70954318710835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0.64811416228427798</v>
      </c>
      <c r="EW106" s="21">
        <f>EXP(-LN(2)/25)*EW105+(1-EXP(-LN(2)/25))/(LN(2)/25)*Calculateur!ER106*Calculateur!ET106*VLOOKUP('Données projet'!$B$15,Paramètres!$A$1:$I$89,3,0)*0.475*44/12</f>
        <v>2.2859126995252583</v>
      </c>
      <c r="EX106" s="21">
        <f>EXP(-LN(2)/2)*EX105+(1-EXP(-LN(2)/2))/(LN(2)/2)*ER106*EU106*VLOOKUP('Données projet'!$B$15,Paramètres!$A$1:$I$89,3,0)*0.475*44/12</f>
        <v>2.0855492687731513E-10</v>
      </c>
      <c r="EY106" s="22">
        <f t="shared" si="75"/>
        <v>2.9340268620180914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-2.2737367544323206E-13</v>
      </c>
      <c r="O107" s="13">
        <f>N107*VLOOKUP('Données projet'!$B$9,Paramètres!$A$1:$I$89,3,0)*VLOOKUP('Données projet'!$B$9,Paramètres!$A$1:$I$89,5,0)</f>
        <v>-1.2710188457276673E-13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255.5374979188561</v>
      </c>
      <c r="T107" s="59">
        <f t="shared" si="88"/>
        <v>343.10418468620901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0.71367552123901212</v>
      </c>
      <c r="AA107" s="21">
        <f>EXP(-LN(2)/25)*AA106+(1-EXP(-LN(2)/25))/(LN(2)/25)*Calculateur!V107*Calculateur!X107*VLOOKUP('Données projet'!$B$9,Paramètres!$A$1:$I$89,3,0)*0.475*44/12</f>
        <v>2.051120386105286</v>
      </c>
      <c r="AB107" s="21">
        <f>EXP(-LN(2)/2)*AB106+(1-EXP(-LN(2)/2))/(LN(2)/2)*V107*Y107*VLOOKUP('Données projet'!$B$9,Paramètres!$A$1:$I$89,3,0)*0.475*44/12</f>
        <v>1.2315664785667221E-11</v>
      </c>
      <c r="AC107" s="22">
        <f t="shared" si="57"/>
        <v>2.7647959073566137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7.5015384615384617</v>
      </c>
      <c r="AI107" s="13">
        <f>IF('Données projet'!$A$62&gt;35,AI106+AH107-AQ106,IF(A107&lt;'Données projet'!$A$62,$AF$205^A107,IF(A107='Données projet'!$A$62,'Données projet'!$B$62,AI106+AH107-AQ106)))</f>
        <v>302.21384615384648</v>
      </c>
      <c r="AJ107" s="13">
        <f>AI107*VLOOKUP('Données projet'!$B$10,Paramètres!$A$1:$I$89,3,0)*VLOOKUP('Données projet'!$B$10,Paramètres!$A$1:$I$89,5,0)</f>
        <v>141.43608000000015</v>
      </c>
      <c r="AK107" s="13">
        <f t="shared" si="89"/>
        <v>36.625795598426585</v>
      </c>
      <c r="AL107" s="20">
        <f t="shared" si="58"/>
        <v>310.12443333392656</v>
      </c>
      <c r="AM107" s="59">
        <f t="shared" si="59"/>
        <v>603.45776666725988</v>
      </c>
      <c r="AN107" s="59">
        <f ca="1">AVERAGE(OFFSET($AM$3,0,0,'Données projet'!$E$10+1,1))-AVERAGE(OFFSET($H$3,0,0,'Données projet'!$E$10+1,1))</f>
        <v>158.58786357608489</v>
      </c>
      <c r="AO107" s="59">
        <f t="shared" si="90"/>
        <v>163.20074068819849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553.99999999999955</v>
      </c>
      <c r="BE107" s="13">
        <f>BD107*VLOOKUP('Données projet'!$B$11,Paramètres!$A$1:$I$89,3,0)*VLOOKUP('Données projet'!$B$11,Paramètres!$A$1:$I$89,5,0)</f>
        <v>331.29199999999975</v>
      </c>
      <c r="BF107" s="13">
        <f t="shared" si="91"/>
        <v>77.698110787752</v>
      </c>
      <c r="BG107" s="20">
        <f t="shared" si="61"/>
        <v>712.32444295533423</v>
      </c>
      <c r="BH107" s="59">
        <f t="shared" si="62"/>
        <v>1005.6577762886675</v>
      </c>
      <c r="BI107" s="59">
        <f ca="1">AVERAGE(OFFSET($BH$3,0,0,'Données projet'!$E$11+1,1))-AVERAGE(OFFSET($H$3,0,0,'Données projet'!$E$11+1,1))</f>
        <v>316.58509520829671</v>
      </c>
      <c r="BJ107" s="59">
        <f t="shared" si="92"/>
        <v>240.71332110643596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0.58537879121851533</v>
      </c>
      <c r="BQ107" s="21">
        <f>EXP(-LN(2)/25)*BQ106+(1-EXP(-LN(2)/25))/(LN(2)/25)*Calculateur!BL107*Calculateur!BN107*VLOOKUP('Données projet'!$B$11,Paramètres!$A$1:$I$89,3,0)*0.475*44/12</f>
        <v>1.9621458207269866</v>
      </c>
      <c r="BR107" s="21">
        <f>EXP(-LN(2)/2)*BR106+(1-EXP(-LN(2)/2))/(LN(2)/2)*BL107*BO107*VLOOKUP('Données projet'!$B$11,Paramètres!$A$1:$I$89,3,0)*0.475*44/12</f>
        <v>1.5962973026137417E-10</v>
      </c>
      <c r="BS107" s="22">
        <f t="shared" si="63"/>
        <v>2.5475246121051316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-5.1159076974727213E-13</v>
      </c>
      <c r="BZ107" s="13">
        <f>BY107*VLOOKUP('Données projet'!$B$12,Paramètres!$A$1:$I$89,3,0)*VLOOKUP('Données projet'!$B$12,Paramètres!$A$1:$I$89,5,0)</f>
        <v>-4.0702161641092972E-13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260.20517190557814</v>
      </c>
      <c r="CE107" s="59">
        <f t="shared" si="94"/>
        <v>307.22009971147133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0.75361992982551029</v>
      </c>
      <c r="CL107" s="21">
        <f>EXP(-LN(2)/25)*CL106+(1-EXP(-LN(2)/25))/(LN(2)/25)*Calculateur!CG107*Calculateur!CI107*VLOOKUP('Données projet'!$B$12,Paramètres!$A$1:$I$89,3,0)*0.475*44/12</f>
        <v>2.6370609098566615</v>
      </c>
      <c r="CM107" s="21">
        <f>EXP(-LN(2)/2)*CM106+(1-EXP(-LN(2)/2))/(LN(2)/2)*CG107*CJ107*VLOOKUP('Données projet'!$B$12,Paramètres!$A$1:$I$89,3,0)*0.475*44/12</f>
        <v>1.7490699430896556E-10</v>
      </c>
      <c r="CN107" s="22">
        <f t="shared" si="66"/>
        <v>3.3906808398570791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6.9935897435897401</v>
      </c>
      <c r="CT107" s="12">
        <f>IF('Données projet'!$A$140&gt;35,CT106+CS107-DB106,IF(A107&lt;'Données projet'!$A$140,$CQ$205^A107,IF(A107='Données projet'!$A$140,'Données projet'!$B$140,CT106+CS107-DB106)))</f>
        <v>305.19871794871818</v>
      </c>
      <c r="CU107" s="17">
        <f>CT107*VLOOKUP('Données projet'!$B$13,Paramètres!$A$1:$I$89,3,0)*VLOOKUP('Données projet'!$B$13,Paramètres!$A$1:$I$89,5,0)</f>
        <v>309.47150000000028</v>
      </c>
      <c r="CV107" s="13">
        <f t="shared" si="95"/>
        <v>73.15844737867603</v>
      </c>
      <c r="CW107" s="20">
        <f t="shared" si="67"/>
        <v>666.41382501786131</v>
      </c>
      <c r="CX107" s="59">
        <f t="shared" si="68"/>
        <v>959.74715835119468</v>
      </c>
      <c r="CY107" s="59">
        <f ca="1">AVERAGE(OFFSET($CX$3,0,0,'Données projet'!$E$13+1,1))-AVERAGE(OFFSET($H$3,0,0,'Données projet'!$E$13+1,1))</f>
        <v>263.15518481854753</v>
      </c>
      <c r="CZ107" s="59">
        <f t="shared" si="96"/>
        <v>210.80755370263819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0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275.99999999999972</v>
      </c>
      <c r="DP107" s="17">
        <f>DO107*VLOOKUP('Données projet'!$B$14,Paramètres!$A$1:$I$89,3,0)*VLOOKUP('Données projet'!$B$14,Paramètres!$A$1:$I$89,5,0)</f>
        <v>223.8911999999998</v>
      </c>
      <c r="DQ107" s="13">
        <f t="shared" si="97"/>
        <v>54.95975389514858</v>
      </c>
      <c r="DR107" s="20">
        <f t="shared" si="70"/>
        <v>485.66541136738346</v>
      </c>
      <c r="DS107" s="59">
        <f t="shared" si="71"/>
        <v>778.99874470071677</v>
      </c>
      <c r="DT107" s="59">
        <f ca="1">AVERAGE(OFFSET($DS$3,0,0,'Données projet'!$E$14+1,1))-AVERAGE(OFFSET($H$3,0,0,'Données projet'!$E$14+1,1))</f>
        <v>203.21935660591021</v>
      </c>
      <c r="DU107" s="59">
        <f t="shared" si="98"/>
        <v>180.54762778843178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0.23155461254868046</v>
      </c>
      <c r="EB107" s="21">
        <f>EXP(-LN(2)/25)*EB106+(1-EXP(-LN(2)/25))/(LN(2)/25)*Calculateur!DW107*Calculateur!DY107*VLOOKUP('Données projet'!$B$14,Paramètres!$A$1:$I$89,3,0)*0.475*44/12</f>
        <v>0.74585814965558761</v>
      </c>
      <c r="EC107" s="21">
        <f>EXP(-LN(2)/2)*EC106+(1-EXP(-LN(2)/2))/(LN(2)/2)*DW107*DZ107*VLOOKUP('Données projet'!$B$14,Paramètres!$A$1:$I$89,3,0)*0.475*44/12</f>
        <v>6.5939708441000713E-11</v>
      </c>
      <c r="ED107" s="22">
        <f t="shared" si="72"/>
        <v>0.97741276227020779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-5.1159076974727213E-13</v>
      </c>
      <c r="EK107" s="17">
        <f>EJ107*VLOOKUP('Données projet'!$B$15,Paramètres!$A$1:$I$89,3,0)*VLOOKUP('Données projet'!$B$15,Paramètres!$A$1:$I$89,5,0)</f>
        <v>-3.4317508834647017E-13</v>
      </c>
      <c r="EL107" s="13" t="e">
        <f t="shared" si="99"/>
        <v>#NUM!</v>
      </c>
      <c r="EM107" s="20" t="e">
        <f t="shared" si="73"/>
        <v>#NUM!</v>
      </c>
      <c r="EN107" s="59" t="e">
        <f t="shared" si="74"/>
        <v>#NUM!</v>
      </c>
      <c r="EO107" s="59">
        <f ca="1">AVERAGE(OFFSET($EN$3,0,0,'Données projet'!$E$15+1,1))-AVERAGE(OFFSET($H$3,0,0,'Données projet'!$E$15+1,1))</f>
        <v>207.93042467236967</v>
      </c>
      <c r="EP107" s="59">
        <f t="shared" si="100"/>
        <v>250.70954318710835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0.63540503887248856</v>
      </c>
      <c r="EW107" s="21">
        <f>EXP(-LN(2)/25)*EW106+(1-EXP(-LN(2)/25))/(LN(2)/25)*Calculateur!ER107*Calculateur!ET107*VLOOKUP('Données projet'!$B$15,Paramètres!$A$1:$I$89,3,0)*0.475*44/12</f>
        <v>2.2234042965458158</v>
      </c>
      <c r="EX107" s="21">
        <f>EXP(-LN(2)/2)*EX106+(1-EXP(-LN(2)/2))/(LN(2)/2)*ER107*EU107*VLOOKUP('Données projet'!$B$15,Paramètres!$A$1:$I$89,3,0)*0.475*44/12</f>
        <v>1.4747060304481409E-10</v>
      </c>
      <c r="EY107" s="22">
        <f t="shared" si="75"/>
        <v>2.8588093355657751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-2.2737367544323206E-13</v>
      </c>
      <c r="O108" s="13">
        <f>N108*VLOOKUP('Données projet'!$B$9,Paramètres!$A$1:$I$89,3,0)*VLOOKUP('Données projet'!$B$9,Paramètres!$A$1:$I$89,5,0)</f>
        <v>-1.2710188457276673E-13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255.5374979188561</v>
      </c>
      <c r="T108" s="59">
        <f t="shared" si="88"/>
        <v>343.10418468620901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0.6996807795666008</v>
      </c>
      <c r="AA108" s="21">
        <f>EXP(-LN(2)/25)*AA107+(1-EXP(-LN(2)/25))/(LN(2)/25)*Calculateur!V108*Calculateur!X108*VLOOKUP('Données projet'!$B$9,Paramètres!$A$1:$I$89,3,0)*0.475*44/12</f>
        <v>1.9950323912835037</v>
      </c>
      <c r="AB108" s="21">
        <f>EXP(-LN(2)/2)*AB107+(1-EXP(-LN(2)/2))/(LN(2)/2)*V108*Y108*VLOOKUP('Données projet'!$B$9,Paramètres!$A$1:$I$89,3,0)*0.475*44/12</f>
        <v>8.7084900847656602E-12</v>
      </c>
      <c r="AC108" s="22">
        <f t="shared" si="57"/>
        <v>2.694713170858813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>
        <f>VLOOKUP(A108,'Données projet'!$A$61:$I$81,2,0)</f>
        <v>309.71538461538461</v>
      </c>
      <c r="AG108" s="12">
        <f>VLOOKUP(A108,'Données projet'!$A$61:$I$81,9,0)</f>
        <v>7.5015384615384617</v>
      </c>
      <c r="AH108" s="12">
        <f t="array" ref="AH108">INDEX(AG:AG,MIN(IF(ISNUMBER(AG108:AG304),ROW(AG108:AG304),"")))</f>
        <v>7.5015384615384617</v>
      </c>
      <c r="AI108" s="13">
        <f>IF('Données projet'!$A$62&gt;35,AI107+AH108-AQ107,IF(A108&lt;'Données projet'!$A$62,$AF$205^A108,IF(A108='Données projet'!$A$62,'Données projet'!$B$62,AI107+AH108-AQ107)))</f>
        <v>309.71538461538495</v>
      </c>
      <c r="AJ108" s="13">
        <f>AI108*VLOOKUP('Données projet'!$B$10,Paramètres!$A$1:$I$89,3,0)*VLOOKUP('Données projet'!$B$10,Paramètres!$A$1:$I$89,5,0)</f>
        <v>144.94680000000017</v>
      </c>
      <c r="AK108" s="13">
        <f t="shared" si="89"/>
        <v>37.427947530076956</v>
      </c>
      <c r="AL108" s="20">
        <f t="shared" si="58"/>
        <v>317.63601861488428</v>
      </c>
      <c r="AM108" s="59">
        <f t="shared" si="59"/>
        <v>610.96935194821754</v>
      </c>
      <c r="AN108" s="59">
        <f ca="1">AVERAGE(OFFSET($AM$3,0,0,'Données projet'!$E$10+1,1))-AVERAGE(OFFSET($H$3,0,0,'Données projet'!$E$10+1,1))</f>
        <v>158.58786357608489</v>
      </c>
      <c r="AO108" s="59">
        <f t="shared" si="90"/>
        <v>163.20074068819849</v>
      </c>
      <c r="AP108" s="15">
        <f>IF(ISNA(VLOOKUP(A108,'Données projet'!$A$61:$I$81,3,0)),0,VLOOKUP(A108,'Données projet'!$A$61:$I$81,3,0))</f>
        <v>9</v>
      </c>
      <c r="AQ108" s="15">
        <f>IF(ISNA(VLOOKUP(A108,'Données projet'!$A$61:$I$81,4,0)),0,VLOOKUP(A108,'Données projet'!$A$61:$I$81,4,0))</f>
        <v>309.71538461538461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553.99999999999955</v>
      </c>
      <c r="BE108" s="13">
        <f>BD108*VLOOKUP('Données projet'!$B$11,Paramètres!$A$1:$I$89,3,0)*VLOOKUP('Données projet'!$B$11,Paramètres!$A$1:$I$89,5,0)</f>
        <v>331.29199999999975</v>
      </c>
      <c r="BF108" s="13">
        <f t="shared" si="91"/>
        <v>77.698110787752</v>
      </c>
      <c r="BG108" s="20">
        <f t="shared" si="61"/>
        <v>712.32444295533423</v>
      </c>
      <c r="BH108" s="59">
        <f t="shared" si="62"/>
        <v>1005.6577762886675</v>
      </c>
      <c r="BI108" s="59">
        <f ca="1">AVERAGE(OFFSET($BH$3,0,0,'Données projet'!$E$11+1,1))-AVERAGE(OFFSET($H$3,0,0,'Données projet'!$E$11+1,1))</f>
        <v>316.58509520829671</v>
      </c>
      <c r="BJ108" s="59">
        <f t="shared" si="92"/>
        <v>240.71332110643596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0.5738998701685275</v>
      </c>
      <c r="BQ108" s="21">
        <f>EXP(-LN(2)/25)*BQ107+(1-EXP(-LN(2)/25))/(LN(2)/25)*Calculateur!BL108*Calculateur!BN108*VLOOKUP('Données projet'!$B$11,Paramètres!$A$1:$I$89,3,0)*0.475*44/12</f>
        <v>1.9084908400744429</v>
      </c>
      <c r="BR108" s="21">
        <f>EXP(-LN(2)/2)*BR107+(1-EXP(-LN(2)/2))/(LN(2)/2)*BL108*BO108*VLOOKUP('Données projet'!$B$11,Paramètres!$A$1:$I$89,3,0)*0.475*44/12</f>
        <v>1.1287526474679711E-10</v>
      </c>
      <c r="BS108" s="22">
        <f t="shared" si="63"/>
        <v>2.4823907103558458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-5.1159076974727213E-13</v>
      </c>
      <c r="BZ108" s="13">
        <f>BY108*VLOOKUP('Données projet'!$B$12,Paramètres!$A$1:$I$89,3,0)*VLOOKUP('Données projet'!$B$12,Paramètres!$A$1:$I$89,5,0)</f>
        <v>-4.0702161641092972E-13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260.20517190557814</v>
      </c>
      <c r="CE108" s="59">
        <f t="shared" si="94"/>
        <v>307.22009971147133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0.73884190266440131</v>
      </c>
      <c r="CL108" s="21">
        <f>EXP(-LN(2)/25)*CL107+(1-EXP(-LN(2)/25))/(LN(2)/25)*Calculateur!CG108*Calculateur!CI108*VLOOKUP('Données projet'!$B$12,Paramètres!$A$1:$I$89,3,0)*0.475*44/12</f>
        <v>2.564950340599625</v>
      </c>
      <c r="CM108" s="21">
        <f>EXP(-LN(2)/2)*CM107+(1-EXP(-LN(2)/2))/(LN(2)/2)*CG108*CJ108*VLOOKUP('Données projet'!$B$12,Paramètres!$A$1:$I$89,3,0)*0.475*44/12</f>
        <v>1.2367792175282642E-10</v>
      </c>
      <c r="CN108" s="22">
        <f t="shared" si="66"/>
        <v>3.3037922433877043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6.9935897435897401</v>
      </c>
      <c r="CT108" s="12">
        <f>IF('Données projet'!$A$140&gt;35,CT107+CS108-DB107,IF(A108&lt;'Données projet'!$A$140,$CQ$205^A108,IF(A108='Données projet'!$A$140,'Données projet'!$B$140,CT107+CS108-DB107)))</f>
        <v>312.19230769230791</v>
      </c>
      <c r="CU108" s="17">
        <f>CT108*VLOOKUP('Données projet'!$B$13,Paramètres!$A$1:$I$89,3,0)*VLOOKUP('Données projet'!$B$13,Paramètres!$A$1:$I$89,5,0)</f>
        <v>316.56300000000027</v>
      </c>
      <c r="CV108" s="13">
        <f t="shared" si="95"/>
        <v>74.637770139918857</v>
      </c>
      <c r="CW108" s="20">
        <f t="shared" si="67"/>
        <v>681.34134132702582</v>
      </c>
      <c r="CX108" s="59">
        <f t="shared" si="68"/>
        <v>974.67467466035919</v>
      </c>
      <c r="CY108" s="59">
        <f ca="1">AVERAGE(OFFSET($CX$3,0,0,'Données projet'!$E$13+1,1))-AVERAGE(OFFSET($H$3,0,0,'Données projet'!$E$13+1,1))</f>
        <v>263.15518481854753</v>
      </c>
      <c r="CZ108" s="59">
        <f t="shared" si="96"/>
        <v>210.80755370263819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0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275.99999999999972</v>
      </c>
      <c r="DP108" s="17">
        <f>DO108*VLOOKUP('Données projet'!$B$14,Paramètres!$A$1:$I$89,3,0)*VLOOKUP('Données projet'!$B$14,Paramètres!$A$1:$I$89,5,0)</f>
        <v>223.8911999999998</v>
      </c>
      <c r="DQ108" s="13">
        <f t="shared" si="97"/>
        <v>54.95975389514858</v>
      </c>
      <c r="DR108" s="20">
        <f t="shared" si="70"/>
        <v>485.66541136738346</v>
      </c>
      <c r="DS108" s="59">
        <f t="shared" si="71"/>
        <v>778.99874470071677</v>
      </c>
      <c r="DT108" s="59">
        <f ca="1">AVERAGE(OFFSET($DS$3,0,0,'Données projet'!$E$14+1,1))-AVERAGE(OFFSET($H$3,0,0,'Données projet'!$E$14+1,1))</f>
        <v>203.21935660591021</v>
      </c>
      <c r="DU108" s="59">
        <f t="shared" si="98"/>
        <v>180.54762778843178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0.22701396783096875</v>
      </c>
      <c r="EB108" s="21">
        <f>EXP(-LN(2)/25)*EB107+(1-EXP(-LN(2)/25))/(LN(2)/25)*Calculateur!DW108*Calculateur!DY108*VLOOKUP('Données projet'!$B$14,Paramètres!$A$1:$I$89,3,0)*0.475*44/12</f>
        <v>0.72546261933028011</v>
      </c>
      <c r="EC108" s="21">
        <f>EXP(-LN(2)/2)*EC107+(1-EXP(-LN(2)/2))/(LN(2)/2)*DW108*DZ108*VLOOKUP('Données projet'!$B$14,Paramètres!$A$1:$I$89,3,0)*0.475*44/12</f>
        <v>4.6626414988095433E-11</v>
      </c>
      <c r="ED108" s="22">
        <f t="shared" si="72"/>
        <v>0.9524765872078752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-5.1159076974727213E-13</v>
      </c>
      <c r="EK108" s="17">
        <f>EJ108*VLOOKUP('Données projet'!$B$15,Paramètres!$A$1:$I$89,3,0)*VLOOKUP('Données projet'!$B$15,Paramètres!$A$1:$I$89,5,0)</f>
        <v>-3.4317508834647017E-13</v>
      </c>
      <c r="EL108" s="13" t="e">
        <f t="shared" si="99"/>
        <v>#NUM!</v>
      </c>
      <c r="EM108" s="20" t="e">
        <f t="shared" si="73"/>
        <v>#NUM!</v>
      </c>
      <c r="EN108" s="59" t="e">
        <f t="shared" si="74"/>
        <v>#NUM!</v>
      </c>
      <c r="EO108" s="59">
        <f ca="1">AVERAGE(OFFSET($EN$3,0,0,'Données projet'!$E$15+1,1))-AVERAGE(OFFSET($H$3,0,0,'Données projet'!$E$15+1,1))</f>
        <v>207.93042467236967</v>
      </c>
      <c r="EP108" s="59">
        <f t="shared" si="100"/>
        <v>250.70954318710835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0.6229451336190045</v>
      </c>
      <c r="EW108" s="21">
        <f>EXP(-LN(2)/25)*EW107+(1-EXP(-LN(2)/25))/(LN(2)/25)*Calculateur!ER108*Calculateur!ET108*VLOOKUP('Données projet'!$B$15,Paramètres!$A$1:$I$89,3,0)*0.475*44/12</f>
        <v>2.16260518913302</v>
      </c>
      <c r="EX108" s="21">
        <f>EXP(-LN(2)/2)*EX107+(1-EXP(-LN(2)/2))/(LN(2)/2)*ER108*EU108*VLOOKUP('Données projet'!$B$15,Paramètres!$A$1:$I$89,3,0)*0.475*44/12</f>
        <v>1.0427746343865757E-10</v>
      </c>
      <c r="EY108" s="22">
        <f t="shared" si="75"/>
        <v>2.7855503228563019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-2.2737367544323206E-13</v>
      </c>
      <c r="O109" s="13">
        <f>N109*VLOOKUP('Données projet'!$B$9,Paramètres!$A$1:$I$89,3,0)*VLOOKUP('Données projet'!$B$9,Paramètres!$A$1:$I$89,5,0)</f>
        <v>-1.2710188457276673E-13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255.5374979188561</v>
      </c>
      <c r="T109" s="59">
        <f t="shared" si="88"/>
        <v>343.10418468620901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0.6859604662424359</v>
      </c>
      <c r="AA109" s="21">
        <f>EXP(-LN(2)/25)*AA108+(1-EXP(-LN(2)/25))/(LN(2)/25)*Calculateur!V109*Calculateur!X109*VLOOKUP('Données projet'!$B$9,Paramètres!$A$1:$I$89,3,0)*0.475*44/12</f>
        <v>1.9404781256296626</v>
      </c>
      <c r="AB109" s="21">
        <f>EXP(-LN(2)/2)*AB108+(1-EXP(-LN(2)/2))/(LN(2)/2)*V109*Y109*VLOOKUP('Données projet'!$B$9,Paramètres!$A$1:$I$89,3,0)*0.475*44/12</f>
        <v>6.1578323928336105E-12</v>
      </c>
      <c r="AC109" s="22">
        <f t="shared" si="57"/>
        <v>2.626438591878256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3.4106051316484809E-13</v>
      </c>
      <c r="AJ109" s="13">
        <f>AI109*VLOOKUP('Données projet'!$B$10,Paramètres!$A$1:$I$89,3,0)*VLOOKUP('Données projet'!$B$10,Paramètres!$A$1:$I$89,5,0)</f>
        <v>1.5961632016114892E-13</v>
      </c>
      <c r="AK109" s="13">
        <f t="shared" si="89"/>
        <v>2.2708641912150958E-12</v>
      </c>
      <c r="AL109" s="20">
        <f t="shared" si="58"/>
        <v>4.2330868906469593E-12</v>
      </c>
      <c r="AM109" s="59">
        <f t="shared" si="59"/>
        <v>293.33333333333752</v>
      </c>
      <c r="AN109" s="59">
        <f ca="1">AVERAGE(OFFSET($AM$3,0,0,'Données projet'!$E$10+1,1))-AVERAGE(OFFSET($H$3,0,0,'Données projet'!$E$10+1,1))</f>
        <v>158.58786357608489</v>
      </c>
      <c r="AO109" s="59">
        <f t="shared" si="90"/>
        <v>163.20074068819849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553.99999999999955</v>
      </c>
      <c r="BE109" s="13">
        <f>BD109*VLOOKUP('Données projet'!$B$11,Paramètres!$A$1:$I$89,3,0)*VLOOKUP('Données projet'!$B$11,Paramètres!$A$1:$I$89,5,0)</f>
        <v>331.29199999999975</v>
      </c>
      <c r="BF109" s="13">
        <f t="shared" si="91"/>
        <v>77.698110787752</v>
      </c>
      <c r="BG109" s="20">
        <f t="shared" si="61"/>
        <v>712.32444295533423</v>
      </c>
      <c r="BH109" s="59">
        <f t="shared" si="62"/>
        <v>1005.6577762886675</v>
      </c>
      <c r="BI109" s="59">
        <f ca="1">AVERAGE(OFFSET($BH$3,0,0,'Données projet'!$E$11+1,1))-AVERAGE(OFFSET($H$3,0,0,'Données projet'!$E$11+1,1))</f>
        <v>316.58509520829671</v>
      </c>
      <c r="BJ109" s="59">
        <f t="shared" si="92"/>
        <v>240.71332110643596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0.5626460437588795</v>
      </c>
      <c r="BQ109" s="21">
        <f>EXP(-LN(2)/25)*BQ108+(1-EXP(-LN(2)/25))/(LN(2)/25)*Calculateur!BL109*Calculateur!BN109*VLOOKUP('Données projet'!$B$11,Paramètres!$A$1:$I$89,3,0)*0.475*44/12</f>
        <v>1.8563030576894359</v>
      </c>
      <c r="BR109" s="21">
        <f>EXP(-LN(2)/2)*BR108+(1-EXP(-LN(2)/2))/(LN(2)/2)*BL109*BO109*VLOOKUP('Données projet'!$B$11,Paramètres!$A$1:$I$89,3,0)*0.475*44/12</f>
        <v>7.9814865130687096E-11</v>
      </c>
      <c r="BS109" s="22">
        <f t="shared" si="63"/>
        <v>2.4189491015281304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-5.1159076974727213E-13</v>
      </c>
      <c r="BZ109" s="13">
        <f>BY109*VLOOKUP('Données projet'!$B$12,Paramètres!$A$1:$I$89,3,0)*VLOOKUP('Données projet'!$B$12,Paramètres!$A$1:$I$89,5,0)</f>
        <v>-4.0702161641092972E-13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260.20517190557814</v>
      </c>
      <c r="CE109" s="59">
        <f t="shared" si="94"/>
        <v>307.22009971147133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0.72435366360221509</v>
      </c>
      <c r="CL109" s="21">
        <f>EXP(-LN(2)/25)*CL108+(1-EXP(-LN(2)/25))/(LN(2)/25)*Calculateur!CG109*Calculateur!CI109*VLOOKUP('Données projet'!$B$12,Paramètres!$A$1:$I$89,3,0)*0.475*44/12</f>
        <v>2.4948116386510519</v>
      </c>
      <c r="CM109" s="21">
        <f>EXP(-LN(2)/2)*CM108+(1-EXP(-LN(2)/2))/(LN(2)/2)*CG109*CJ109*VLOOKUP('Données projet'!$B$12,Paramètres!$A$1:$I$89,3,0)*0.475*44/12</f>
        <v>8.7453497154482779E-11</v>
      </c>
      <c r="CN109" s="22">
        <f t="shared" si="66"/>
        <v>3.2191653023407207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6.9935897435897401</v>
      </c>
      <c r="CT109" s="12">
        <f>IF('Données projet'!$A$140&gt;35,CT108+CS109-DB108,IF(A109&lt;'Données projet'!$A$140,$CQ$205^A109,IF(A109='Données projet'!$A$140,'Données projet'!$B$140,CT108+CS109-DB108)))</f>
        <v>319.18589743589763</v>
      </c>
      <c r="CU109" s="17">
        <f>CT109*VLOOKUP('Données projet'!$B$13,Paramètres!$A$1:$I$89,3,0)*VLOOKUP('Données projet'!$B$13,Paramètres!$A$1:$I$89,5,0)</f>
        <v>323.65450000000021</v>
      </c>
      <c r="CV109" s="13">
        <f t="shared" si="95"/>
        <v>76.113240192485705</v>
      </c>
      <c r="CW109" s="20">
        <f t="shared" si="67"/>
        <v>696.26214750191286</v>
      </c>
      <c r="CX109" s="59">
        <f t="shared" si="68"/>
        <v>989.59548083524624</v>
      </c>
      <c r="CY109" s="59">
        <f ca="1">AVERAGE(OFFSET($CX$3,0,0,'Données projet'!$E$13+1,1))-AVERAGE(OFFSET($H$3,0,0,'Données projet'!$E$13+1,1))</f>
        <v>263.15518481854753</v>
      </c>
      <c r="CZ109" s="59">
        <f t="shared" si="96"/>
        <v>210.80755370263819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0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275.99999999999972</v>
      </c>
      <c r="DP109" s="17">
        <f>DO109*VLOOKUP('Données projet'!$B$14,Paramètres!$A$1:$I$89,3,0)*VLOOKUP('Données projet'!$B$14,Paramètres!$A$1:$I$89,5,0)</f>
        <v>223.8911999999998</v>
      </c>
      <c r="DQ109" s="13">
        <f t="shared" si="97"/>
        <v>54.95975389514858</v>
      </c>
      <c r="DR109" s="20">
        <f t="shared" si="70"/>
        <v>485.66541136738346</v>
      </c>
      <c r="DS109" s="59">
        <f t="shared" si="71"/>
        <v>778.99874470071677</v>
      </c>
      <c r="DT109" s="59">
        <f ca="1">AVERAGE(OFFSET($DS$3,0,0,'Données projet'!$E$14+1,1))-AVERAGE(OFFSET($H$3,0,0,'Données projet'!$E$14+1,1))</f>
        <v>203.21935660591021</v>
      </c>
      <c r="DU109" s="59">
        <f t="shared" si="98"/>
        <v>180.54762778843178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0.22256236238665156</v>
      </c>
      <c r="EB109" s="21">
        <f>EXP(-LN(2)/25)*EB108+(1-EXP(-LN(2)/25))/(LN(2)/25)*Calculateur!DW109*Calculateur!DY109*VLOOKUP('Données projet'!$B$14,Paramètres!$A$1:$I$89,3,0)*0.475*44/12</f>
        <v>0.70562480585427256</v>
      </c>
      <c r="EC109" s="21">
        <f>EXP(-LN(2)/2)*EC108+(1-EXP(-LN(2)/2))/(LN(2)/2)*DW109*DZ109*VLOOKUP('Données projet'!$B$14,Paramètres!$A$1:$I$89,3,0)*0.475*44/12</f>
        <v>3.2969854220500357E-11</v>
      </c>
      <c r="ED109" s="22">
        <f t="shared" si="72"/>
        <v>0.92818716827389403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-5.1159076974727213E-13</v>
      </c>
      <c r="EK109" s="17">
        <f>EJ109*VLOOKUP('Données projet'!$B$15,Paramètres!$A$1:$I$89,3,0)*VLOOKUP('Données projet'!$B$15,Paramètres!$A$1:$I$89,5,0)</f>
        <v>-3.4317508834647017E-13</v>
      </c>
      <c r="EL109" s="13" t="e">
        <f t="shared" si="99"/>
        <v>#NUM!</v>
      </c>
      <c r="EM109" s="20" t="e">
        <f t="shared" si="73"/>
        <v>#NUM!</v>
      </c>
      <c r="EN109" s="59" t="e">
        <f t="shared" si="74"/>
        <v>#NUM!</v>
      </c>
      <c r="EO109" s="59">
        <f ca="1">AVERAGE(OFFSET($EN$3,0,0,'Données projet'!$E$15+1,1))-AVERAGE(OFFSET($H$3,0,0,'Données projet'!$E$15+1,1))</f>
        <v>207.93042467236967</v>
      </c>
      <c r="EP109" s="59">
        <f t="shared" si="100"/>
        <v>250.70954318710835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0.61072955950774954</v>
      </c>
      <c r="EW109" s="21">
        <f>EXP(-LN(2)/25)*EW108+(1-EXP(-LN(2)/25))/(LN(2)/25)*Calculateur!ER109*Calculateur!ET109*VLOOKUP('Données projet'!$B$15,Paramètres!$A$1:$I$89,3,0)*0.475*44/12</f>
        <v>2.1034686365097133</v>
      </c>
      <c r="EX109" s="21">
        <f>EXP(-LN(2)/2)*EX108+(1-EXP(-LN(2)/2))/(LN(2)/2)*ER109*EU109*VLOOKUP('Données projet'!$B$15,Paramètres!$A$1:$I$89,3,0)*0.475*44/12</f>
        <v>7.3735301522407044E-11</v>
      </c>
      <c r="EY109" s="22">
        <f t="shared" si="75"/>
        <v>2.7141981960911981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-2.2737367544323206E-13</v>
      </c>
      <c r="O110" s="13">
        <f>N110*VLOOKUP('Données projet'!$B$9,Paramètres!$A$1:$I$89,3,0)*VLOOKUP('Données projet'!$B$9,Paramètres!$A$1:$I$89,5,0)</f>
        <v>-1.2710188457276673E-13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255.5374979188561</v>
      </c>
      <c r="T110" s="59">
        <f t="shared" si="88"/>
        <v>343.10418468620901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0.67250919989399305</v>
      </c>
      <c r="AA110" s="21">
        <f>EXP(-LN(2)/25)*AA109+(1-EXP(-LN(2)/25))/(LN(2)/25)*Calculateur!V110*Calculateur!X110*VLOOKUP('Données projet'!$B$9,Paramètres!$A$1:$I$89,3,0)*0.475*44/12</f>
        <v>1.88741564923901</v>
      </c>
      <c r="AB110" s="21">
        <f>EXP(-LN(2)/2)*AB109+(1-EXP(-LN(2)/2))/(LN(2)/2)*V110*Y110*VLOOKUP('Données projet'!$B$9,Paramètres!$A$1:$I$89,3,0)*0.475*44/12</f>
        <v>4.3542450423828301E-12</v>
      </c>
      <c r="AC110" s="22">
        <f t="shared" si="57"/>
        <v>2.5599248491373574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3.4106051316484809E-13</v>
      </c>
      <c r="AJ110" s="13">
        <f>AI110*VLOOKUP('Données projet'!$B$10,Paramètres!$A$1:$I$89,3,0)*VLOOKUP('Données projet'!$B$10,Paramètres!$A$1:$I$89,5,0)</f>
        <v>1.5961632016114892E-13</v>
      </c>
      <c r="AK110" s="13">
        <f t="shared" si="89"/>
        <v>2.2708641912150958E-12</v>
      </c>
      <c r="AL110" s="20">
        <f t="shared" si="58"/>
        <v>4.2330868906469593E-12</v>
      </c>
      <c r="AM110" s="59">
        <f t="shared" si="59"/>
        <v>293.33333333333752</v>
      </c>
      <c r="AN110" s="59">
        <f ca="1">AVERAGE(OFFSET($AM$3,0,0,'Données projet'!$E$10+1,1))-AVERAGE(OFFSET($H$3,0,0,'Données projet'!$E$10+1,1))</f>
        <v>158.58786357608489</v>
      </c>
      <c r="AO110" s="59">
        <f t="shared" si="90"/>
        <v>163.20074068819849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553.99999999999955</v>
      </c>
      <c r="BE110" s="13">
        <f>BD110*VLOOKUP('Données projet'!$B$11,Paramètres!$A$1:$I$89,3,0)*VLOOKUP('Données projet'!$B$11,Paramètres!$A$1:$I$89,5,0)</f>
        <v>331.29199999999975</v>
      </c>
      <c r="BF110" s="13">
        <f t="shared" si="91"/>
        <v>77.698110787752</v>
      </c>
      <c r="BG110" s="20">
        <f t="shared" si="61"/>
        <v>712.32444295533423</v>
      </c>
      <c r="BH110" s="59">
        <f t="shared" si="62"/>
        <v>1005.6577762886675</v>
      </c>
      <c r="BI110" s="59">
        <f ca="1">AVERAGE(OFFSET($BH$3,0,0,'Données projet'!$E$11+1,1))-AVERAGE(OFFSET($H$3,0,0,'Données projet'!$E$11+1,1))</f>
        <v>316.58509520829671</v>
      </c>
      <c r="BJ110" s="59">
        <f t="shared" si="92"/>
        <v>240.71332110643596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0.55161289802096836</v>
      </c>
      <c r="BQ110" s="21">
        <f>EXP(-LN(2)/25)*BQ109+(1-EXP(-LN(2)/25))/(LN(2)/25)*Calculateur!BL110*Calculateur!BN110*VLOOKUP('Données projet'!$B$11,Paramètres!$A$1:$I$89,3,0)*0.475*44/12</f>
        <v>1.8055423529581831</v>
      </c>
      <c r="BR110" s="21">
        <f>EXP(-LN(2)/2)*BR109+(1-EXP(-LN(2)/2))/(LN(2)/2)*BL110*BO110*VLOOKUP('Données projet'!$B$11,Paramètres!$A$1:$I$89,3,0)*0.475*44/12</f>
        <v>5.6437632373398567E-11</v>
      </c>
      <c r="BS110" s="22">
        <f t="shared" si="63"/>
        <v>2.3571552510355889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-5.1159076974727213E-13</v>
      </c>
      <c r="BZ110" s="13">
        <f>BY110*VLOOKUP('Données projet'!$B$12,Paramètres!$A$1:$I$89,3,0)*VLOOKUP('Données projet'!$B$12,Paramètres!$A$1:$I$89,5,0)</f>
        <v>-4.0702161641092972E-13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260.20517190557814</v>
      </c>
      <c r="CE110" s="59">
        <f t="shared" si="94"/>
        <v>307.22009971147133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0.71014953007108517</v>
      </c>
      <c r="CL110" s="21">
        <f>EXP(-LN(2)/25)*CL109+(1-EXP(-LN(2)/25))/(LN(2)/25)*Calculateur!CG110*Calculateur!CI110*VLOOKUP('Données projet'!$B$12,Paramètres!$A$1:$I$89,3,0)*0.475*44/12</f>
        <v>2.4265908831956966</v>
      </c>
      <c r="CM110" s="21">
        <f>EXP(-LN(2)/2)*CM109+(1-EXP(-LN(2)/2))/(LN(2)/2)*CG110*CJ110*VLOOKUP('Données projet'!$B$12,Paramètres!$A$1:$I$89,3,0)*0.475*44/12</f>
        <v>6.1838960876413211E-11</v>
      </c>
      <c r="CN110" s="22">
        <f t="shared" si="66"/>
        <v>3.1367404133286207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6.9935897435897401</v>
      </c>
      <c r="CT110" s="12">
        <f>IF('Données projet'!$A$140&gt;35,CT109+CS110-DB109,IF(A110&lt;'Données projet'!$A$140,$CQ$205^A110,IF(A110='Données projet'!$A$140,'Données projet'!$B$140,CT109+CS110-DB109)))</f>
        <v>326.17948717948735</v>
      </c>
      <c r="CU110" s="17">
        <f>CT110*VLOOKUP('Données projet'!$B$13,Paramètres!$A$1:$I$89,3,0)*VLOOKUP('Données projet'!$B$13,Paramètres!$A$1:$I$89,5,0)</f>
        <v>330.74600000000021</v>
      </c>
      <c r="CV110" s="13">
        <f t="shared" si="95"/>
        <v>77.584951673074755</v>
      </c>
      <c r="CW110" s="20">
        <f t="shared" si="67"/>
        <v>711.17640749727218</v>
      </c>
      <c r="CX110" s="59">
        <f t="shared" si="68"/>
        <v>1004.5097408306056</v>
      </c>
      <c r="CY110" s="59">
        <f ca="1">AVERAGE(OFFSET($CX$3,0,0,'Données projet'!$E$13+1,1))-AVERAGE(OFFSET($H$3,0,0,'Données projet'!$E$13+1,1))</f>
        <v>263.15518481854753</v>
      </c>
      <c r="CZ110" s="59">
        <f t="shared" si="96"/>
        <v>210.80755370263819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0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275.99999999999972</v>
      </c>
      <c r="DP110" s="17">
        <f>DO110*VLOOKUP('Données projet'!$B$14,Paramètres!$A$1:$I$89,3,0)*VLOOKUP('Données projet'!$B$14,Paramètres!$A$1:$I$89,5,0)</f>
        <v>223.8911999999998</v>
      </c>
      <c r="DQ110" s="13">
        <f t="shared" si="97"/>
        <v>54.95975389514858</v>
      </c>
      <c r="DR110" s="20">
        <f t="shared" si="70"/>
        <v>485.66541136738346</v>
      </c>
      <c r="DS110" s="59">
        <f t="shared" si="71"/>
        <v>778.99874470071677</v>
      </c>
      <c r="DT110" s="59">
        <f ca="1">AVERAGE(OFFSET($DS$3,0,0,'Données projet'!$E$14+1,1))-AVERAGE(OFFSET($H$3,0,0,'Données projet'!$E$14+1,1))</f>
        <v>203.21935660591021</v>
      </c>
      <c r="DU110" s="59">
        <f t="shared" si="98"/>
        <v>180.54762778843178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0.21819805020988622</v>
      </c>
      <c r="EB110" s="21">
        <f>EXP(-LN(2)/25)*EB109+(1-EXP(-LN(2)/25))/(LN(2)/25)*Calculateur!DW110*Calculateur!DY110*VLOOKUP('Données projet'!$B$14,Paramètres!$A$1:$I$89,3,0)*0.475*44/12</f>
        <v>0.68632945843099169</v>
      </c>
      <c r="EC110" s="21">
        <f>EXP(-LN(2)/2)*EC109+(1-EXP(-LN(2)/2))/(LN(2)/2)*DW110*DZ110*VLOOKUP('Données projet'!$B$14,Paramètres!$A$1:$I$89,3,0)*0.475*44/12</f>
        <v>2.3313207494047717E-11</v>
      </c>
      <c r="ED110" s="22">
        <f t="shared" si="72"/>
        <v>0.90452750866419118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-5.1159076974727213E-13</v>
      </c>
      <c r="EK110" s="17">
        <f>EJ110*VLOOKUP('Données projet'!$B$15,Paramètres!$A$1:$I$89,3,0)*VLOOKUP('Données projet'!$B$15,Paramètres!$A$1:$I$89,5,0)</f>
        <v>-3.4317508834647017E-13</v>
      </c>
      <c r="EL110" s="13" t="e">
        <f t="shared" si="99"/>
        <v>#NUM!</v>
      </c>
      <c r="EM110" s="20" t="e">
        <f t="shared" si="73"/>
        <v>#NUM!</v>
      </c>
      <c r="EN110" s="59" t="e">
        <f t="shared" si="74"/>
        <v>#NUM!</v>
      </c>
      <c r="EO110" s="59">
        <f ca="1">AVERAGE(OFFSET($EN$3,0,0,'Données projet'!$E$15+1,1))-AVERAGE(OFFSET($H$3,0,0,'Données projet'!$E$15+1,1))</f>
        <v>207.93042467236967</v>
      </c>
      <c r="EP110" s="59">
        <f t="shared" si="100"/>
        <v>250.70954318710835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0.59875352535405169</v>
      </c>
      <c r="EW110" s="21">
        <f>EXP(-LN(2)/25)*EW109+(1-EXP(-LN(2)/25))/(LN(2)/25)*Calculateur!ER110*Calculateur!ET110*VLOOKUP('Données projet'!$B$15,Paramètres!$A$1:$I$89,3,0)*0.475*44/12</f>
        <v>2.0459491760277473</v>
      </c>
      <c r="EX110" s="21">
        <f>EXP(-LN(2)/2)*EX109+(1-EXP(-LN(2)/2))/(LN(2)/2)*ER110*EU110*VLOOKUP('Données projet'!$B$15,Paramètres!$A$1:$I$89,3,0)*0.475*44/12</f>
        <v>5.2138731719328783E-11</v>
      </c>
      <c r="EY110" s="22">
        <f t="shared" si="75"/>
        <v>2.6447027014339377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-2.2737367544323206E-13</v>
      </c>
      <c r="O111" s="13">
        <f>N111*VLOOKUP('Données projet'!$B$9,Paramètres!$A$1:$I$89,3,0)*VLOOKUP('Données projet'!$B$9,Paramètres!$A$1:$I$89,5,0)</f>
        <v>-1.2710188457276673E-13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255.5374979188561</v>
      </c>
      <c r="T111" s="59">
        <f t="shared" si="88"/>
        <v>343.10418468620901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0.65932170467418083</v>
      </c>
      <c r="AA111" s="21">
        <f>EXP(-LN(2)/25)*AA110+(1-EXP(-LN(2)/25))/(LN(2)/25)*Calculateur!V111*Calculateur!X111*VLOOKUP('Données projet'!$B$9,Paramètres!$A$1:$I$89,3,0)*0.475*44/12</f>
        <v>1.8358041690556939</v>
      </c>
      <c r="AB111" s="21">
        <f>EXP(-LN(2)/2)*AB110+(1-EXP(-LN(2)/2))/(LN(2)/2)*V111*Y111*VLOOKUP('Données projet'!$B$9,Paramètres!$A$1:$I$89,3,0)*0.475*44/12</f>
        <v>3.0789161964168052E-12</v>
      </c>
      <c r="AC111" s="22">
        <f t="shared" si="57"/>
        <v>2.4951258737329538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3.4106051316484809E-13</v>
      </c>
      <c r="AJ111" s="13">
        <f>AI111*VLOOKUP('Données projet'!$B$10,Paramètres!$A$1:$I$89,3,0)*VLOOKUP('Données projet'!$B$10,Paramètres!$A$1:$I$89,5,0)</f>
        <v>1.5961632016114892E-13</v>
      </c>
      <c r="AK111" s="13">
        <f t="shared" si="89"/>
        <v>2.2708641912150958E-12</v>
      </c>
      <c r="AL111" s="20">
        <f t="shared" si="58"/>
        <v>4.2330868906469593E-12</v>
      </c>
      <c r="AM111" s="59">
        <f t="shared" si="59"/>
        <v>293.33333333333752</v>
      </c>
      <c r="AN111" s="59">
        <f ca="1">AVERAGE(OFFSET($AM$3,0,0,'Données projet'!$E$10+1,1))-AVERAGE(OFFSET($H$3,0,0,'Données projet'!$E$10+1,1))</f>
        <v>158.58786357608489</v>
      </c>
      <c r="AO111" s="59">
        <f t="shared" si="90"/>
        <v>163.20074068819849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553.99999999999955</v>
      </c>
      <c r="BE111" s="13">
        <f>BD111*VLOOKUP('Données projet'!$B$11,Paramètres!$A$1:$I$89,3,0)*VLOOKUP('Données projet'!$B$11,Paramètres!$A$1:$I$89,5,0)</f>
        <v>331.29199999999975</v>
      </c>
      <c r="BF111" s="13">
        <f t="shared" si="91"/>
        <v>77.698110787752</v>
      </c>
      <c r="BG111" s="20">
        <f t="shared" si="61"/>
        <v>712.32444295533423</v>
      </c>
      <c r="BH111" s="59">
        <f t="shared" si="62"/>
        <v>1005.6577762886675</v>
      </c>
      <c r="BI111" s="59">
        <f ca="1">AVERAGE(OFFSET($BH$3,0,0,'Données projet'!$E$11+1,1))-AVERAGE(OFFSET($H$3,0,0,'Données projet'!$E$11+1,1))</f>
        <v>316.58509520829671</v>
      </c>
      <c r="BJ111" s="59">
        <f t="shared" si="92"/>
        <v>240.71332110643596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0.54079610554142321</v>
      </c>
      <c r="BQ111" s="21">
        <f>EXP(-LN(2)/25)*BQ110+(1-EXP(-LN(2)/25))/(LN(2)/25)*Calculateur!BL111*Calculateur!BN111*VLOOKUP('Données projet'!$B$11,Paramètres!$A$1:$I$89,3,0)*0.475*44/12</f>
        <v>1.7561697023671958</v>
      </c>
      <c r="BR111" s="21">
        <f>EXP(-LN(2)/2)*BR110+(1-EXP(-LN(2)/2))/(LN(2)/2)*BL111*BO111*VLOOKUP('Données projet'!$B$11,Paramètres!$A$1:$I$89,3,0)*0.475*44/12</f>
        <v>3.9907432565343555E-11</v>
      </c>
      <c r="BS111" s="22">
        <f t="shared" si="63"/>
        <v>2.2969658079485269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-5.1159076974727213E-13</v>
      </c>
      <c r="BZ111" s="13">
        <f>BY111*VLOOKUP('Données projet'!$B$12,Paramètres!$A$1:$I$89,3,0)*VLOOKUP('Données projet'!$B$12,Paramètres!$A$1:$I$89,5,0)</f>
        <v>-4.0702161641092972E-13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260.20517190557814</v>
      </c>
      <c r="CE111" s="59">
        <f t="shared" si="94"/>
        <v>307.22009971147133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0.6962239309348347</v>
      </c>
      <c r="CL111" s="21">
        <f>EXP(-LN(2)/25)*CL110+(1-EXP(-LN(2)/25))/(LN(2)/25)*Calculateur!CG111*Calculateur!CI111*VLOOKUP('Données projet'!$B$12,Paramètres!$A$1:$I$89,3,0)*0.475*44/12</f>
        <v>2.3602356278858418</v>
      </c>
      <c r="CM111" s="21">
        <f>EXP(-LN(2)/2)*CM110+(1-EXP(-LN(2)/2))/(LN(2)/2)*CG111*CJ111*VLOOKUP('Données projet'!$B$12,Paramètres!$A$1:$I$89,3,0)*0.475*44/12</f>
        <v>4.372674857724139E-11</v>
      </c>
      <c r="CN111" s="22">
        <f t="shared" si="66"/>
        <v>3.0564595588644035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6.9935897435897401</v>
      </c>
      <c r="CT111" s="12">
        <f>IF('Données projet'!$A$140&gt;35,CT110+CS111-DB110,IF(A111&lt;'Données projet'!$A$140,$CQ$205^A111,IF(A111='Données projet'!$A$140,'Données projet'!$B$140,CT110+CS111-DB110)))</f>
        <v>333.17307692307708</v>
      </c>
      <c r="CU111" s="17">
        <f>CT111*VLOOKUP('Données projet'!$B$13,Paramètres!$A$1:$I$89,3,0)*VLOOKUP('Données projet'!$B$13,Paramètres!$A$1:$I$89,5,0)</f>
        <v>337.8375000000002</v>
      </c>
      <c r="CV111" s="13">
        <f t="shared" si="95"/>
        <v>79.052994451033257</v>
      </c>
      <c r="CW111" s="20">
        <f t="shared" si="67"/>
        <v>726.08427783554998</v>
      </c>
      <c r="CX111" s="59">
        <f t="shared" si="68"/>
        <v>1019.4176111688832</v>
      </c>
      <c r="CY111" s="59">
        <f ca="1">AVERAGE(OFFSET($CX$3,0,0,'Données projet'!$E$13+1,1))-AVERAGE(OFFSET($H$3,0,0,'Données projet'!$E$13+1,1))</f>
        <v>263.15518481854753</v>
      </c>
      <c r="CZ111" s="59">
        <f t="shared" si="96"/>
        <v>210.80755370263819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0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275.99999999999972</v>
      </c>
      <c r="DP111" s="17">
        <f>DO111*VLOOKUP('Données projet'!$B$14,Paramètres!$A$1:$I$89,3,0)*VLOOKUP('Données projet'!$B$14,Paramètres!$A$1:$I$89,5,0)</f>
        <v>223.8911999999998</v>
      </c>
      <c r="DQ111" s="13">
        <f t="shared" si="97"/>
        <v>54.95975389514858</v>
      </c>
      <c r="DR111" s="20">
        <f t="shared" si="70"/>
        <v>485.66541136738346</v>
      </c>
      <c r="DS111" s="59">
        <f t="shared" si="71"/>
        <v>778.99874470071677</v>
      </c>
      <c r="DT111" s="59">
        <f ca="1">AVERAGE(OFFSET($DS$3,0,0,'Données projet'!$E$14+1,1))-AVERAGE(OFFSET($H$3,0,0,'Données projet'!$E$14+1,1))</f>
        <v>203.21935660591021</v>
      </c>
      <c r="DU111" s="59">
        <f t="shared" si="98"/>
        <v>180.54762778843178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0.21391931953293966</v>
      </c>
      <c r="EB111" s="21">
        <f>EXP(-LN(2)/25)*EB110+(1-EXP(-LN(2)/25))/(LN(2)/25)*Calculateur!DW111*Calculateur!DY111*VLOOKUP('Données projet'!$B$14,Paramètres!$A$1:$I$89,3,0)*0.475*44/12</f>
        <v>0.66756174329769868</v>
      </c>
      <c r="EC111" s="21">
        <f>EXP(-LN(2)/2)*EC110+(1-EXP(-LN(2)/2))/(LN(2)/2)*DW111*DZ111*VLOOKUP('Données projet'!$B$14,Paramètres!$A$1:$I$89,3,0)*0.475*44/12</f>
        <v>1.6484927110250178E-11</v>
      </c>
      <c r="ED111" s="22">
        <f t="shared" si="72"/>
        <v>0.88148106284712324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-5.1159076974727213E-13</v>
      </c>
      <c r="EK111" s="17">
        <f>EJ111*VLOOKUP('Données projet'!$B$15,Paramètres!$A$1:$I$89,3,0)*VLOOKUP('Données projet'!$B$15,Paramètres!$A$1:$I$89,5,0)</f>
        <v>-3.4317508834647017E-13</v>
      </c>
      <c r="EL111" s="13" t="e">
        <f t="shared" si="99"/>
        <v>#NUM!</v>
      </c>
      <c r="EM111" s="20" t="e">
        <f t="shared" si="73"/>
        <v>#NUM!</v>
      </c>
      <c r="EN111" s="59" t="e">
        <f t="shared" si="74"/>
        <v>#NUM!</v>
      </c>
      <c r="EO111" s="59">
        <f ca="1">AVERAGE(OFFSET($EN$3,0,0,'Données projet'!$E$15+1,1))-AVERAGE(OFFSET($H$3,0,0,'Données projet'!$E$15+1,1))</f>
        <v>207.93042467236967</v>
      </c>
      <c r="EP111" s="59">
        <f t="shared" si="100"/>
        <v>250.70954318710835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0.58701233392544838</v>
      </c>
      <c r="EW111" s="21">
        <f>EXP(-LN(2)/25)*EW110+(1-EXP(-LN(2)/25))/(LN(2)/25)*Calculateur!ER111*Calculateur!ET111*VLOOKUP('Données projet'!$B$15,Paramètres!$A$1:$I$89,3,0)*0.475*44/12</f>
        <v>1.9900025882174774</v>
      </c>
      <c r="EX111" s="21">
        <f>EXP(-LN(2)/2)*EX110+(1-EXP(-LN(2)/2))/(LN(2)/2)*ER111*EU111*VLOOKUP('Données projet'!$B$15,Paramètres!$A$1:$I$89,3,0)*0.475*44/12</f>
        <v>3.6867650761203522E-11</v>
      </c>
      <c r="EY111" s="22">
        <f t="shared" si="75"/>
        <v>2.5770149221797936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-2.2737367544323206E-13</v>
      </c>
      <c r="O112" s="13">
        <f>N112*VLOOKUP('Données projet'!$B$9,Paramètres!$A$1:$I$89,3,0)*VLOOKUP('Données projet'!$B$9,Paramètres!$A$1:$I$89,5,0)</f>
        <v>-1.2710188457276673E-13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255.5374979188561</v>
      </c>
      <c r="T112" s="59">
        <f t="shared" si="88"/>
        <v>343.10418468620901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0.64639280819205136</v>
      </c>
      <c r="AA112" s="21">
        <f>EXP(-LN(2)/25)*AA111+(1-EXP(-LN(2)/25))/(LN(2)/25)*Calculateur!V112*Calculateur!X112*VLOOKUP('Données projet'!$B$9,Paramètres!$A$1:$I$89,3,0)*0.475*44/12</f>
        <v>1.7856040075121205</v>
      </c>
      <c r="AB112" s="21">
        <f>EXP(-LN(2)/2)*AB111+(1-EXP(-LN(2)/2))/(LN(2)/2)*V112*Y112*VLOOKUP('Données projet'!$B$9,Paramètres!$A$1:$I$89,3,0)*0.475*44/12</f>
        <v>2.1771225211914151E-12</v>
      </c>
      <c r="AC112" s="22">
        <f t="shared" si="57"/>
        <v>2.4319968157063485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3.4106051316484809E-13</v>
      </c>
      <c r="AJ112" s="13">
        <f>AI112*VLOOKUP('Données projet'!$B$10,Paramètres!$A$1:$I$89,3,0)*VLOOKUP('Données projet'!$B$10,Paramètres!$A$1:$I$89,5,0)</f>
        <v>1.5961632016114892E-13</v>
      </c>
      <c r="AK112" s="13">
        <f t="shared" si="89"/>
        <v>2.2708641912150958E-12</v>
      </c>
      <c r="AL112" s="20">
        <f t="shared" si="58"/>
        <v>4.2330868906469593E-12</v>
      </c>
      <c r="AM112" s="59">
        <f t="shared" si="59"/>
        <v>293.33333333333752</v>
      </c>
      <c r="AN112" s="59">
        <f ca="1">AVERAGE(OFFSET($AM$3,0,0,'Données projet'!$E$10+1,1))-AVERAGE(OFFSET($H$3,0,0,'Données projet'!$E$10+1,1))</f>
        <v>158.58786357608489</v>
      </c>
      <c r="AO112" s="59">
        <f t="shared" si="90"/>
        <v>163.20074068819849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553.99999999999955</v>
      </c>
      <c r="BE112" s="13">
        <f>BD112*VLOOKUP('Données projet'!$B$11,Paramètres!$A$1:$I$89,3,0)*VLOOKUP('Données projet'!$B$11,Paramètres!$A$1:$I$89,5,0)</f>
        <v>331.29199999999975</v>
      </c>
      <c r="BF112" s="13">
        <f t="shared" si="91"/>
        <v>77.698110787752</v>
      </c>
      <c r="BG112" s="20">
        <f t="shared" si="61"/>
        <v>712.32444295533423</v>
      </c>
      <c r="BH112" s="59">
        <f t="shared" si="62"/>
        <v>1005.6577762886675</v>
      </c>
      <c r="BI112" s="59">
        <f ca="1">AVERAGE(OFFSET($BH$3,0,0,'Données projet'!$E$11+1,1))-AVERAGE(OFFSET($H$3,0,0,'Données projet'!$E$11+1,1))</f>
        <v>316.58509520829671</v>
      </c>
      <c r="BJ112" s="59">
        <f t="shared" si="92"/>
        <v>240.71332110643596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0.53019142376480999</v>
      </c>
      <c r="BQ112" s="21">
        <f>EXP(-LN(2)/25)*BQ111+(1-EXP(-LN(2)/25))/(LN(2)/25)*Calculateur!BL112*Calculateur!BN112*VLOOKUP('Données projet'!$B$11,Paramètres!$A$1:$I$89,3,0)*0.475*44/12</f>
        <v>1.7081471495030141</v>
      </c>
      <c r="BR112" s="21">
        <f>EXP(-LN(2)/2)*BR111+(1-EXP(-LN(2)/2))/(LN(2)/2)*BL112*BO112*VLOOKUP('Données projet'!$B$11,Paramètres!$A$1:$I$89,3,0)*0.475*44/12</f>
        <v>2.8218816186699287E-11</v>
      </c>
      <c r="BS112" s="22">
        <f t="shared" si="63"/>
        <v>2.2383385732960428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-5.1159076974727213E-13</v>
      </c>
      <c r="BZ112" s="13">
        <f>BY112*VLOOKUP('Données projet'!$B$12,Paramètres!$A$1:$I$89,3,0)*VLOOKUP('Données projet'!$B$12,Paramètres!$A$1:$I$89,5,0)</f>
        <v>-4.0702161641092972E-13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260.20517190557814</v>
      </c>
      <c r="CE112" s="59">
        <f t="shared" si="94"/>
        <v>307.22009971147133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0.68257140430386931</v>
      </c>
      <c r="CL112" s="21">
        <f>EXP(-LN(2)/25)*CL111+(1-EXP(-LN(2)/25))/(LN(2)/25)*Calculateur!CG112*Calculateur!CI112*VLOOKUP('Données projet'!$B$12,Paramètres!$A$1:$I$89,3,0)*0.475*44/12</f>
        <v>2.2956948605219063</v>
      </c>
      <c r="CM112" s="21">
        <f>EXP(-LN(2)/2)*CM111+(1-EXP(-LN(2)/2))/(LN(2)/2)*CG112*CJ112*VLOOKUP('Données projet'!$B$12,Paramètres!$A$1:$I$89,3,0)*0.475*44/12</f>
        <v>3.0919480438206605E-11</v>
      </c>
      <c r="CN112" s="22">
        <f t="shared" si="66"/>
        <v>2.9782662648566949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>
        <f>VLOOKUP(A112,'Données projet'!$A$139:$I$159,2,0)</f>
        <v>340.16666666666663</v>
      </c>
      <c r="CR112" s="12">
        <f>VLOOKUP(A112,'Données projet'!$A$139:$I$159,9,0)</f>
        <v>6.9935897435897401</v>
      </c>
      <c r="CS112" s="12">
        <f t="array" ref="CS112">INDEX(CR:CR,MIN(IF(ISNUMBER(CR112:CR308),ROW(CR112:CR308),"")))</f>
        <v>6.9935897435897401</v>
      </c>
      <c r="CT112" s="12">
        <f>IF('Données projet'!$A$140&gt;35,CT111+CS112-DB111,IF(A112&lt;'Données projet'!$A$140,$CQ$205^A112,IF(A112='Données projet'!$A$140,'Données projet'!$B$140,CT111+CS112-DB111)))</f>
        <v>340.1666666666668</v>
      </c>
      <c r="CU112" s="17">
        <f>CT112*VLOOKUP('Données projet'!$B$13,Paramètres!$A$1:$I$89,3,0)*VLOOKUP('Données projet'!$B$13,Paramètres!$A$1:$I$89,5,0)</f>
        <v>344.92900000000014</v>
      </c>
      <c r="CV112" s="13">
        <f t="shared" si="95"/>
        <v>80.517454407251549</v>
      </c>
      <c r="CW112" s="20">
        <f t="shared" si="67"/>
        <v>740.98590809262998</v>
      </c>
      <c r="CX112" s="59">
        <f t="shared" si="68"/>
        <v>1034.3192414259634</v>
      </c>
      <c r="CY112" s="59">
        <f ca="1">AVERAGE(OFFSET($CX$3,0,0,'Données projet'!$E$13+1,1))-AVERAGE(OFFSET($H$3,0,0,'Données projet'!$E$13+1,1))</f>
        <v>263.15518481854753</v>
      </c>
      <c r="CZ112" s="59">
        <f t="shared" si="96"/>
        <v>210.80755370263819</v>
      </c>
      <c r="DA112" s="15">
        <f>IF(ISNA(VLOOKUP(A112,'Données projet'!$A$139:$I$159,3,0)),0,VLOOKUP(A112,'Données projet'!$A$139:$I$159,3,0))</f>
        <v>10</v>
      </c>
      <c r="DB112" s="15">
        <f>IF(ISNA(VLOOKUP(A112,'Données projet'!$A$139:$I$159,4,0)),0,VLOOKUP(A112,'Données projet'!$A$139:$I$159,4,0))</f>
        <v>51.28846153846154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0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275.99999999999972</v>
      </c>
      <c r="DP112" s="17">
        <f>DO112*VLOOKUP('Données projet'!$B$14,Paramètres!$A$1:$I$89,3,0)*VLOOKUP('Données projet'!$B$14,Paramètres!$A$1:$I$89,5,0)</f>
        <v>223.8911999999998</v>
      </c>
      <c r="DQ112" s="13">
        <f t="shared" si="97"/>
        <v>54.95975389514858</v>
      </c>
      <c r="DR112" s="20">
        <f t="shared" si="70"/>
        <v>485.66541136738346</v>
      </c>
      <c r="DS112" s="59">
        <f t="shared" si="71"/>
        <v>778.99874470071677</v>
      </c>
      <c r="DT112" s="59">
        <f ca="1">AVERAGE(OFFSET($DS$3,0,0,'Données projet'!$E$14+1,1))-AVERAGE(OFFSET($H$3,0,0,'Données projet'!$E$14+1,1))</f>
        <v>203.21935660591021</v>
      </c>
      <c r="DU112" s="59">
        <f t="shared" si="98"/>
        <v>180.54762778843178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0.20972449215480002</v>
      </c>
      <c r="EB112" s="21">
        <f>EXP(-LN(2)/25)*EB111+(1-EXP(-LN(2)/25))/(LN(2)/25)*Calculateur!DW112*Calculateur!DY112*VLOOKUP('Données projet'!$B$14,Paramètres!$A$1:$I$89,3,0)*0.475*44/12</f>
        <v>0.64930723232167675</v>
      </c>
      <c r="EC112" s="21">
        <f>EXP(-LN(2)/2)*EC111+(1-EXP(-LN(2)/2))/(LN(2)/2)*DW112*DZ112*VLOOKUP('Données projet'!$B$14,Paramètres!$A$1:$I$89,3,0)*0.475*44/12</f>
        <v>1.1656603747023858E-11</v>
      </c>
      <c r="ED112" s="22">
        <f t="shared" si="72"/>
        <v>0.85903172448813336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-5.1159076974727213E-13</v>
      </c>
      <c r="EK112" s="17">
        <f>EJ112*VLOOKUP('Données projet'!$B$15,Paramètres!$A$1:$I$89,3,0)*VLOOKUP('Données projet'!$B$15,Paramètres!$A$1:$I$89,5,0)</f>
        <v>-3.4317508834647017E-13</v>
      </c>
      <c r="EL112" s="13" t="e">
        <f t="shared" si="99"/>
        <v>#NUM!</v>
      </c>
      <c r="EM112" s="20" t="e">
        <f t="shared" si="73"/>
        <v>#NUM!</v>
      </c>
      <c r="EN112" s="59" t="e">
        <f t="shared" si="74"/>
        <v>#NUM!</v>
      </c>
      <c r="EO112" s="59">
        <f ca="1">AVERAGE(OFFSET($EN$3,0,0,'Données projet'!$E$15+1,1))-AVERAGE(OFFSET($H$3,0,0,'Données projet'!$E$15+1,1))</f>
        <v>207.93042467236967</v>
      </c>
      <c r="EP112" s="59">
        <f t="shared" si="100"/>
        <v>250.70954318710835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0.57550138009934027</v>
      </c>
      <c r="EW112" s="21">
        <f>EXP(-LN(2)/25)*EW111+(1-EXP(-LN(2)/25))/(LN(2)/25)*Calculateur!ER112*Calculateur!ET112*VLOOKUP('Données projet'!$B$15,Paramètres!$A$1:$I$89,3,0)*0.475*44/12</f>
        <v>1.9355858627929827</v>
      </c>
      <c r="EX112" s="21">
        <f>EXP(-LN(2)/2)*EX111+(1-EXP(-LN(2)/2))/(LN(2)/2)*ER112*EU112*VLOOKUP('Données projet'!$B$15,Paramètres!$A$1:$I$89,3,0)*0.475*44/12</f>
        <v>2.6069365859664391E-11</v>
      </c>
      <c r="EY112" s="22">
        <f t="shared" si="75"/>
        <v>2.5110872429183924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-2.2737367544323206E-13</v>
      </c>
      <c r="O113" s="13">
        <f>N113*VLOOKUP('Données projet'!$B$9,Paramètres!$A$1:$I$89,3,0)*VLOOKUP('Données projet'!$B$9,Paramètres!$A$1:$I$89,5,0)</f>
        <v>-1.2710188457276673E-13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255.5374979188561</v>
      </c>
      <c r="T113" s="59">
        <f t="shared" si="88"/>
        <v>343.10418468620901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0.63371743948408821</v>
      </c>
      <c r="AA113" s="21">
        <f>EXP(-LN(2)/25)*AA112+(1-EXP(-LN(2)/25))/(LN(2)/25)*Calculateur!V113*Calculateur!X113*VLOOKUP('Données projet'!$B$9,Paramètres!$A$1:$I$89,3,0)*0.475*44/12</f>
        <v>1.7367765720258679</v>
      </c>
      <c r="AB113" s="21">
        <f>EXP(-LN(2)/2)*AB112+(1-EXP(-LN(2)/2))/(LN(2)/2)*V113*Y113*VLOOKUP('Données projet'!$B$9,Paramètres!$A$1:$I$89,3,0)*0.475*44/12</f>
        <v>1.5394580982084026E-12</v>
      </c>
      <c r="AC113" s="22">
        <f t="shared" si="57"/>
        <v>2.3704940115114956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1.5961632016114892E-13</v>
      </c>
      <c r="AK113" s="13">
        <f t="shared" si="89"/>
        <v>2.2708641912150958E-12</v>
      </c>
      <c r="AL113" s="20">
        <f t="shared" si="58"/>
        <v>4.2330868906469593E-12</v>
      </c>
      <c r="AM113" s="59">
        <f t="shared" si="59"/>
        <v>293.33333333333752</v>
      </c>
      <c r="AN113" s="59">
        <f ca="1">AVERAGE(OFFSET($AM$3,0,0,'Données projet'!$E$10+1,1))-AVERAGE(OFFSET($H$3,0,0,'Données projet'!$E$10+1,1))</f>
        <v>158.58786357608489</v>
      </c>
      <c r="AO113" s="59">
        <f t="shared" si="90"/>
        <v>163.20074068819849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553.99999999999955</v>
      </c>
      <c r="BE113" s="13">
        <f>BD113*VLOOKUP('Données projet'!$B$11,Paramètres!$A$1:$I$89,3,0)*VLOOKUP('Données projet'!$B$11,Paramètres!$A$1:$I$89,5,0)</f>
        <v>331.29199999999975</v>
      </c>
      <c r="BF113" s="13">
        <f t="shared" si="91"/>
        <v>77.698110787752</v>
      </c>
      <c r="BG113" s="20">
        <f t="shared" si="61"/>
        <v>712.32444295533423</v>
      </c>
      <c r="BH113" s="59">
        <f t="shared" si="62"/>
        <v>1005.6577762886675</v>
      </c>
      <c r="BI113" s="59">
        <f ca="1">AVERAGE(OFFSET($BH$3,0,0,'Données projet'!$E$11+1,1))-AVERAGE(OFFSET($H$3,0,0,'Données projet'!$E$11+1,1))</f>
        <v>316.58509520829671</v>
      </c>
      <c r="BJ113" s="59">
        <f t="shared" si="92"/>
        <v>240.71332110643596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0.51979469332961892</v>
      </c>
      <c r="BQ113" s="21">
        <f>EXP(-LN(2)/25)*BQ112+(1-EXP(-LN(2)/25))/(LN(2)/25)*Calculateur!BL113*Calculateur!BN113*VLOOKUP('Données projet'!$B$11,Paramètres!$A$1:$I$89,3,0)*0.475*44/12</f>
        <v>1.6614377758722996</v>
      </c>
      <c r="BR113" s="21">
        <f>EXP(-LN(2)/2)*BR112+(1-EXP(-LN(2)/2))/(LN(2)/2)*BL113*BO113*VLOOKUP('Données projet'!$B$11,Paramètres!$A$1:$I$89,3,0)*0.475*44/12</f>
        <v>1.995371628267178E-11</v>
      </c>
      <c r="BS113" s="22">
        <f t="shared" si="63"/>
        <v>2.1812324692218725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-5.1159076974727213E-13</v>
      </c>
      <c r="BZ113" s="13">
        <f>BY113*VLOOKUP('Données projet'!$B$12,Paramètres!$A$1:$I$89,3,0)*VLOOKUP('Données projet'!$B$12,Paramètres!$A$1:$I$89,5,0)</f>
        <v>-4.0702161641092972E-13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260.20517190557814</v>
      </c>
      <c r="CE113" s="59">
        <f t="shared" si="94"/>
        <v>307.22009971147133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0.66918659539291814</v>
      </c>
      <c r="CL113" s="21">
        <f>EXP(-LN(2)/25)*CL112+(1-EXP(-LN(2)/25))/(LN(2)/25)*Calculateur!CG113*Calculateur!CI113*VLOOKUP('Données projet'!$B$12,Paramètres!$A$1:$I$89,3,0)*0.475*44/12</f>
        <v>2.2329189638355889</v>
      </c>
      <c r="CM113" s="21">
        <f>EXP(-LN(2)/2)*CM112+(1-EXP(-LN(2)/2))/(LN(2)/2)*CG113*CJ113*VLOOKUP('Données projet'!$B$12,Paramètres!$A$1:$I$89,3,0)*0.475*44/12</f>
        <v>2.1863374288620695E-11</v>
      </c>
      <c r="CN113" s="22">
        <f t="shared" si="66"/>
        <v>2.9021055592503702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6.8461538461538511</v>
      </c>
      <c r="CT113" s="12">
        <f>IF('Données projet'!$A$140&gt;35,CT112+CS113-DB112,IF(A113&lt;'Données projet'!$A$140,$CQ$205^A113,IF(A113='Données projet'!$A$140,'Données projet'!$B$140,CT112+CS113-DB112)))</f>
        <v>295.72435897435912</v>
      </c>
      <c r="CU113" s="17">
        <f>CT113*VLOOKUP('Données projet'!$B$13,Paramètres!$A$1:$I$89,3,0)*VLOOKUP('Données projet'!$B$13,Paramètres!$A$1:$I$89,5,0)</f>
        <v>299.86450000000019</v>
      </c>
      <c r="CV113" s="13">
        <f t="shared" si="95"/>
        <v>71.148056724241698</v>
      </c>
      <c r="CW113" s="20">
        <f t="shared" si="67"/>
        <v>646.18020296138786</v>
      </c>
      <c r="CX113" s="59">
        <f t="shared" si="68"/>
        <v>939.51353629472123</v>
      </c>
      <c r="CY113" s="59">
        <f ca="1">AVERAGE(OFFSET($CX$3,0,0,'Données projet'!$E$13+1,1))-AVERAGE(OFFSET($H$3,0,0,'Données projet'!$E$13+1,1))</f>
        <v>263.15518481854753</v>
      </c>
      <c r="CZ113" s="59">
        <f t="shared" si="96"/>
        <v>210.80755370263819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0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275.99999999999972</v>
      </c>
      <c r="DP113" s="17">
        <f>DO113*VLOOKUP('Données projet'!$B$14,Paramètres!$A$1:$I$89,3,0)*VLOOKUP('Données projet'!$B$14,Paramètres!$A$1:$I$89,5,0)</f>
        <v>223.8911999999998</v>
      </c>
      <c r="DQ113" s="13">
        <f t="shared" si="97"/>
        <v>54.95975389514858</v>
      </c>
      <c r="DR113" s="20">
        <f t="shared" si="70"/>
        <v>485.66541136738346</v>
      </c>
      <c r="DS113" s="59">
        <f t="shared" si="71"/>
        <v>778.99874470071677</v>
      </c>
      <c r="DT113" s="59">
        <f ca="1">AVERAGE(OFFSET($DS$3,0,0,'Données projet'!$E$14+1,1))-AVERAGE(OFFSET($H$3,0,0,'Données projet'!$E$14+1,1))</f>
        <v>203.21935660591021</v>
      </c>
      <c r="DU113" s="59">
        <f t="shared" si="98"/>
        <v>180.54762778843178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0.20561192278295362</v>
      </c>
      <c r="EB113" s="21">
        <f>EXP(-LN(2)/25)*EB112+(1-EXP(-LN(2)/25))/(LN(2)/25)*Calculateur!DW113*Calculateur!DY113*VLOOKUP('Données projet'!$B$14,Paramètres!$A$1:$I$89,3,0)*0.475*44/12</f>
        <v>0.63155189190825711</v>
      </c>
      <c r="EC113" s="21">
        <f>EXP(-LN(2)/2)*EC112+(1-EXP(-LN(2)/2))/(LN(2)/2)*DW113*DZ113*VLOOKUP('Données projet'!$B$14,Paramètres!$A$1:$I$89,3,0)*0.475*44/12</f>
        <v>8.2424635551250891E-12</v>
      </c>
      <c r="ED113" s="22">
        <f t="shared" si="72"/>
        <v>0.83716381469945322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-5.1159076974727213E-13</v>
      </c>
      <c r="EK113" s="17">
        <f>EJ113*VLOOKUP('Données projet'!$B$15,Paramètres!$A$1:$I$89,3,0)*VLOOKUP('Données projet'!$B$15,Paramètres!$A$1:$I$89,5,0)</f>
        <v>-3.4317508834647017E-13</v>
      </c>
      <c r="EL113" s="13" t="e">
        <f t="shared" si="99"/>
        <v>#NUM!</v>
      </c>
      <c r="EM113" s="20" t="e">
        <f t="shared" si="73"/>
        <v>#NUM!</v>
      </c>
      <c r="EN113" s="59" t="e">
        <f t="shared" si="74"/>
        <v>#NUM!</v>
      </c>
      <c r="EO113" s="59">
        <f ca="1">AVERAGE(OFFSET($EN$3,0,0,'Données projet'!$E$15+1,1))-AVERAGE(OFFSET($H$3,0,0,'Données projet'!$E$15+1,1))</f>
        <v>207.93042467236967</v>
      </c>
      <c r="EP113" s="59">
        <f t="shared" si="100"/>
        <v>250.70954318710835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0.56421614905677364</v>
      </c>
      <c r="EW113" s="21">
        <f>EXP(-LN(2)/25)*EW112+(1-EXP(-LN(2)/25))/(LN(2)/25)*Calculateur!ER113*Calculateur!ET113*VLOOKUP('Données projet'!$B$15,Paramètres!$A$1:$I$89,3,0)*0.475*44/12</f>
        <v>1.882657165586872</v>
      </c>
      <c r="EX113" s="21">
        <f>EXP(-LN(2)/2)*EX112+(1-EXP(-LN(2)/2))/(LN(2)/2)*ER113*EU113*VLOOKUP('Données projet'!$B$15,Paramètres!$A$1:$I$89,3,0)*0.475*44/12</f>
        <v>1.8433825380601761E-11</v>
      </c>
      <c r="EY113" s="22">
        <f t="shared" si="75"/>
        <v>2.4468733146620791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-2.2737367544323206E-13</v>
      </c>
      <c r="O114" s="13">
        <f>N114*VLOOKUP('Données projet'!$B$9,Paramètres!$A$1:$I$89,3,0)*VLOOKUP('Données projet'!$B$9,Paramètres!$A$1:$I$89,5,0)</f>
        <v>-1.2710188457276673E-13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255.5374979188561</v>
      </c>
      <c r="T114" s="59">
        <f t="shared" si="88"/>
        <v>343.10418468620901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0.62129062702527671</v>
      </c>
      <c r="AA114" s="21">
        <f>EXP(-LN(2)/25)*AA113+(1-EXP(-LN(2)/25))/(LN(2)/25)*Calculateur!V114*Calculateur!X114*VLOOKUP('Données projet'!$B$9,Paramètres!$A$1:$I$89,3,0)*0.475*44/12</f>
        <v>1.6892843253307102</v>
      </c>
      <c r="AB114" s="21">
        <f>EXP(-LN(2)/2)*AB113+(1-EXP(-LN(2)/2))/(LN(2)/2)*V114*Y114*VLOOKUP('Données projet'!$B$9,Paramètres!$A$1:$I$89,3,0)*0.475*44/12</f>
        <v>1.0885612605957075E-12</v>
      </c>
      <c r="AC114" s="22">
        <f t="shared" si="57"/>
        <v>2.3105749523570753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1.5961632016114892E-13</v>
      </c>
      <c r="AK114" s="13">
        <f t="shared" si="89"/>
        <v>2.2708641912150958E-12</v>
      </c>
      <c r="AL114" s="20">
        <f t="shared" si="58"/>
        <v>4.2330868906469593E-12</v>
      </c>
      <c r="AM114" s="59">
        <f t="shared" si="59"/>
        <v>293.33333333333752</v>
      </c>
      <c r="AN114" s="59">
        <f ca="1">AVERAGE(OFFSET($AM$3,0,0,'Données projet'!$E$10+1,1))-AVERAGE(OFFSET($H$3,0,0,'Données projet'!$E$10+1,1))</f>
        <v>158.58786357608489</v>
      </c>
      <c r="AO114" s="59">
        <f t="shared" si="90"/>
        <v>163.20074068819849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553.99999999999955</v>
      </c>
      <c r="BE114" s="13">
        <f>BD114*VLOOKUP('Données projet'!$B$11,Paramètres!$A$1:$I$89,3,0)*VLOOKUP('Données projet'!$B$11,Paramètres!$A$1:$I$89,5,0)</f>
        <v>331.29199999999975</v>
      </c>
      <c r="BF114" s="13">
        <f t="shared" si="91"/>
        <v>77.698110787752</v>
      </c>
      <c r="BG114" s="20">
        <f t="shared" si="61"/>
        <v>712.32444295533423</v>
      </c>
      <c r="BH114" s="59">
        <f t="shared" si="62"/>
        <v>1005.6577762886675</v>
      </c>
      <c r="BI114" s="59">
        <f ca="1">AVERAGE(OFFSET($BH$3,0,0,'Données projet'!$E$11+1,1))-AVERAGE(OFFSET($H$3,0,0,'Données projet'!$E$11+1,1))</f>
        <v>316.58509520829671</v>
      </c>
      <c r="BJ114" s="59">
        <f t="shared" si="92"/>
        <v>240.71332110643596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0.50960183643688262</v>
      </c>
      <c r="BQ114" s="21">
        <f>EXP(-LN(2)/25)*BQ113+(1-EXP(-LN(2)/25))/(LN(2)/25)*Calculateur!BL114*Calculateur!BN114*VLOOKUP('Données projet'!$B$11,Paramètres!$A$1:$I$89,3,0)*0.475*44/12</f>
        <v>1.6160056725198562</v>
      </c>
      <c r="BR114" s="21">
        <f>EXP(-LN(2)/2)*BR113+(1-EXP(-LN(2)/2))/(LN(2)/2)*BL114*BO114*VLOOKUP('Données projet'!$B$11,Paramètres!$A$1:$I$89,3,0)*0.475*44/12</f>
        <v>1.4109408093349647E-11</v>
      </c>
      <c r="BS114" s="22">
        <f t="shared" si="63"/>
        <v>2.1256075089708482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-5.1159076974727213E-13</v>
      </c>
      <c r="BZ114" s="13">
        <f>BY114*VLOOKUP('Données projet'!$B$12,Paramètres!$A$1:$I$89,3,0)*VLOOKUP('Données projet'!$B$12,Paramètres!$A$1:$I$89,5,0)</f>
        <v>-4.0702161641092972E-13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260.20517190557814</v>
      </c>
      <c r="CE114" s="59">
        <f t="shared" si="94"/>
        <v>307.22009971147133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0.65606425442078342</v>
      </c>
      <c r="CL114" s="21">
        <f>EXP(-LN(2)/25)*CL113+(1-EXP(-LN(2)/25))/(LN(2)/25)*Calculateur!CG114*Calculateur!CI114*VLOOKUP('Données projet'!$B$12,Paramètres!$A$1:$I$89,3,0)*0.475*44/12</f>
        <v>2.1718596773453998</v>
      </c>
      <c r="CM114" s="21">
        <f>EXP(-LN(2)/2)*CM113+(1-EXP(-LN(2)/2))/(LN(2)/2)*CG114*CJ114*VLOOKUP('Données projet'!$B$12,Paramètres!$A$1:$I$89,3,0)*0.475*44/12</f>
        <v>1.5459740219103303E-11</v>
      </c>
      <c r="CN114" s="22">
        <f t="shared" si="66"/>
        <v>2.8279239317816427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6.8461538461538511</v>
      </c>
      <c r="CT114" s="12">
        <f>IF('Données projet'!$A$140&gt;35,CT113+CS114-DB113,IF(A114&lt;'Données projet'!$A$140,$CQ$205^A114,IF(A114='Données projet'!$A$140,'Données projet'!$B$140,CT113+CS114-DB113)))</f>
        <v>302.57051282051299</v>
      </c>
      <c r="CU114" s="17">
        <f>CT114*VLOOKUP('Données projet'!$B$13,Paramètres!$A$1:$I$89,3,0)*VLOOKUP('Données projet'!$B$13,Paramètres!$A$1:$I$89,5,0)</f>
        <v>306.8065000000002</v>
      </c>
      <c r="CV114" s="13">
        <f t="shared" si="95"/>
        <v>72.601498865270955</v>
      </c>
      <c r="CW114" s="20">
        <f t="shared" si="67"/>
        <v>660.80226469034722</v>
      </c>
      <c r="CX114" s="59">
        <f t="shared" si="68"/>
        <v>954.13559802368059</v>
      </c>
      <c r="CY114" s="59">
        <f ca="1">AVERAGE(OFFSET($CX$3,0,0,'Données projet'!$E$13+1,1))-AVERAGE(OFFSET($H$3,0,0,'Données projet'!$E$13+1,1))</f>
        <v>263.15518481854753</v>
      </c>
      <c r="CZ114" s="59">
        <f t="shared" si="96"/>
        <v>210.80755370263819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0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275.99999999999972</v>
      </c>
      <c r="DP114" s="17">
        <f>DO114*VLOOKUP('Données projet'!$B$14,Paramètres!$A$1:$I$89,3,0)*VLOOKUP('Données projet'!$B$14,Paramètres!$A$1:$I$89,5,0)</f>
        <v>223.8911999999998</v>
      </c>
      <c r="DQ114" s="13">
        <f t="shared" si="97"/>
        <v>54.95975389514858</v>
      </c>
      <c r="DR114" s="20">
        <f t="shared" si="70"/>
        <v>485.66541136738346</v>
      </c>
      <c r="DS114" s="59">
        <f t="shared" si="71"/>
        <v>778.99874470071677</v>
      </c>
      <c r="DT114" s="59">
        <f ca="1">AVERAGE(OFFSET($DS$3,0,0,'Données projet'!$E$14+1,1))-AVERAGE(OFFSET($H$3,0,0,'Données projet'!$E$14+1,1))</f>
        <v>203.21935660591021</v>
      </c>
      <c r="DU114" s="59">
        <f t="shared" si="98"/>
        <v>180.54762778843178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0.2015799983880695</v>
      </c>
      <c r="EB114" s="21">
        <f>EXP(-LN(2)/25)*EB113+(1-EXP(-LN(2)/25))/(LN(2)/25)*Calculateur!DW114*Calculateur!DY114*VLOOKUP('Données projet'!$B$14,Paramètres!$A$1:$I$89,3,0)*0.475*44/12</f>
        <v>0.61428207221215525</v>
      </c>
      <c r="EC114" s="21">
        <f>EXP(-LN(2)/2)*EC113+(1-EXP(-LN(2)/2))/(LN(2)/2)*DW114*DZ114*VLOOKUP('Données projet'!$B$14,Paramètres!$A$1:$I$89,3,0)*0.475*44/12</f>
        <v>5.8283018735119291E-12</v>
      </c>
      <c r="ED114" s="22">
        <f t="shared" si="72"/>
        <v>0.81586207060605309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-5.1159076974727213E-13</v>
      </c>
      <c r="EK114" s="17">
        <f>EJ114*VLOOKUP('Données projet'!$B$15,Paramètres!$A$1:$I$89,3,0)*VLOOKUP('Données projet'!$B$15,Paramètres!$A$1:$I$89,5,0)</f>
        <v>-3.4317508834647017E-13</v>
      </c>
      <c r="EL114" s="13" t="e">
        <f t="shared" si="99"/>
        <v>#NUM!</v>
      </c>
      <c r="EM114" s="20" t="e">
        <f t="shared" si="73"/>
        <v>#NUM!</v>
      </c>
      <c r="EN114" s="59" t="e">
        <f t="shared" si="74"/>
        <v>#NUM!</v>
      </c>
      <c r="EO114" s="59">
        <f ca="1">AVERAGE(OFFSET($EN$3,0,0,'Données projet'!$E$15+1,1))-AVERAGE(OFFSET($H$3,0,0,'Données projet'!$E$15+1,1))</f>
        <v>207.93042467236967</v>
      </c>
      <c r="EP114" s="59">
        <f t="shared" si="100"/>
        <v>250.70954318710835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0.55315221451164043</v>
      </c>
      <c r="EW114" s="21">
        <f>EXP(-LN(2)/25)*EW113+(1-EXP(-LN(2)/25))/(LN(2)/25)*Calculateur!ER114*Calculateur!ET114*VLOOKUP('Données projet'!$B$15,Paramètres!$A$1:$I$89,3,0)*0.475*44/12</f>
        <v>1.8311758063892616</v>
      </c>
      <c r="EX114" s="21">
        <f>EXP(-LN(2)/2)*EX113+(1-EXP(-LN(2)/2))/(LN(2)/2)*ER114*EU114*VLOOKUP('Données projet'!$B$15,Paramètres!$A$1:$I$89,3,0)*0.475*44/12</f>
        <v>1.3034682929832196E-11</v>
      </c>
      <c r="EY114" s="22">
        <f t="shared" si="75"/>
        <v>2.3843280209139364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-2.2737367544323206E-13</v>
      </c>
      <c r="O115" s="13">
        <f>N115*VLOOKUP('Données projet'!$B$9,Paramètres!$A$1:$I$89,3,0)*VLOOKUP('Données projet'!$B$9,Paramètres!$A$1:$I$89,5,0)</f>
        <v>-1.2710188457276673E-13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255.5374979188561</v>
      </c>
      <c r="T115" s="59">
        <f t="shared" si="88"/>
        <v>343.10418468620901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0.60910749677917531</v>
      </c>
      <c r="AA115" s="21">
        <f>EXP(-LN(2)/25)*AA114+(1-EXP(-LN(2)/25))/(LN(2)/25)*Calculateur!V115*Calculateur!X115*VLOOKUP('Données projet'!$B$9,Paramètres!$A$1:$I$89,3,0)*0.475*44/12</f>
        <v>1.6430907566189401</v>
      </c>
      <c r="AB115" s="21">
        <f>EXP(-LN(2)/2)*AB114+(1-EXP(-LN(2)/2))/(LN(2)/2)*V115*Y115*VLOOKUP('Données projet'!$B$9,Paramètres!$A$1:$I$89,3,0)*0.475*44/12</f>
        <v>7.6972904910420131E-13</v>
      </c>
      <c r="AC115" s="22">
        <f t="shared" si="57"/>
        <v>2.2521982533988849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1.5961632016114892E-13</v>
      </c>
      <c r="AK115" s="13">
        <f t="shared" si="89"/>
        <v>2.2708641912150958E-12</v>
      </c>
      <c r="AL115" s="20">
        <f t="shared" si="58"/>
        <v>4.2330868906469593E-12</v>
      </c>
      <c r="AM115" s="59">
        <f t="shared" si="59"/>
        <v>293.33333333333752</v>
      </c>
      <c r="AN115" s="59">
        <f ca="1">AVERAGE(OFFSET($AM$3,0,0,'Données projet'!$E$10+1,1))-AVERAGE(OFFSET($H$3,0,0,'Données projet'!$E$10+1,1))</f>
        <v>158.58786357608489</v>
      </c>
      <c r="AO115" s="59">
        <f t="shared" si="90"/>
        <v>163.20074068819849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553.99999999999955</v>
      </c>
      <c r="BE115" s="13">
        <f>BD115*VLOOKUP('Données projet'!$B$11,Paramètres!$A$1:$I$89,3,0)*VLOOKUP('Données projet'!$B$11,Paramètres!$A$1:$I$89,5,0)</f>
        <v>331.29199999999975</v>
      </c>
      <c r="BF115" s="13">
        <f t="shared" si="91"/>
        <v>77.698110787752</v>
      </c>
      <c r="BG115" s="20">
        <f t="shared" si="61"/>
        <v>712.32444295533423</v>
      </c>
      <c r="BH115" s="59">
        <f t="shared" si="62"/>
        <v>1005.6577762886675</v>
      </c>
      <c r="BI115" s="59">
        <f ca="1">AVERAGE(OFFSET($BH$3,0,0,'Données projet'!$E$11+1,1))-AVERAGE(OFFSET($H$3,0,0,'Données projet'!$E$11+1,1))</f>
        <v>316.58509520829671</v>
      </c>
      <c r="BJ115" s="59">
        <f t="shared" si="92"/>
        <v>240.71332110643596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0.49960885525078402</v>
      </c>
      <c r="BQ115" s="21">
        <f>EXP(-LN(2)/25)*BQ114+(1-EXP(-LN(2)/25))/(LN(2)/25)*Calculateur!BL115*Calculateur!BN115*VLOOKUP('Données projet'!$B$11,Paramètres!$A$1:$I$89,3,0)*0.475*44/12</f>
        <v>1.5718159124227558</v>
      </c>
      <c r="BR115" s="21">
        <f>EXP(-LN(2)/2)*BR114+(1-EXP(-LN(2)/2))/(LN(2)/2)*BL115*BO115*VLOOKUP('Données projet'!$B$11,Paramètres!$A$1:$I$89,3,0)*0.475*44/12</f>
        <v>9.9768581413358919E-12</v>
      </c>
      <c r="BS115" s="22">
        <f t="shared" si="63"/>
        <v>2.0714247676835167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-5.1159076974727213E-13</v>
      </c>
      <c r="BZ115" s="13">
        <f>BY115*VLOOKUP('Données projet'!$B$12,Paramètres!$A$1:$I$89,3,0)*VLOOKUP('Données projet'!$B$12,Paramètres!$A$1:$I$89,5,0)</f>
        <v>-4.0702161641092972E-13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260.20517190557814</v>
      </c>
      <c r="CE115" s="59">
        <f t="shared" si="94"/>
        <v>307.22009971147133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0.64319923455127459</v>
      </c>
      <c r="CL115" s="21">
        <f>EXP(-LN(2)/25)*CL114+(1-EXP(-LN(2)/25))/(LN(2)/25)*Calculateur!CG115*Calculateur!CI115*VLOOKUP('Données projet'!$B$12,Paramètres!$A$1:$I$89,3,0)*0.475*44/12</f>
        <v>2.1124700602552533</v>
      </c>
      <c r="CM115" s="21">
        <f>EXP(-LN(2)/2)*CM114+(1-EXP(-LN(2)/2))/(LN(2)/2)*CG115*CJ115*VLOOKUP('Données projet'!$B$12,Paramètres!$A$1:$I$89,3,0)*0.475*44/12</f>
        <v>1.0931687144310347E-11</v>
      </c>
      <c r="CN115" s="22">
        <f t="shared" si="66"/>
        <v>2.7556692948174595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6.8461538461538511</v>
      </c>
      <c r="CT115" s="12">
        <f>IF('Données projet'!$A$140&gt;35,CT114+CS115-DB114,IF(A115&lt;'Données projet'!$A$140,$CQ$205^A115,IF(A115='Données projet'!$A$140,'Données projet'!$B$140,CT114+CS115-DB114)))</f>
        <v>309.41666666666686</v>
      </c>
      <c r="CU115" s="17">
        <f>CT115*VLOOKUP('Données projet'!$B$13,Paramètres!$A$1:$I$89,3,0)*VLOOKUP('Données projet'!$B$13,Paramètres!$A$1:$I$89,5,0)</f>
        <v>313.74850000000021</v>
      </c>
      <c r="CV115" s="13">
        <f t="shared" si="95"/>
        <v>74.051117708153953</v>
      </c>
      <c r="CW115" s="20">
        <f t="shared" si="67"/>
        <v>675.41766750836848</v>
      </c>
      <c r="CX115" s="59">
        <f t="shared" si="68"/>
        <v>968.75100084170185</v>
      </c>
      <c r="CY115" s="59">
        <f ca="1">AVERAGE(OFFSET($CX$3,0,0,'Données projet'!$E$13+1,1))-AVERAGE(OFFSET($H$3,0,0,'Données projet'!$E$13+1,1))</f>
        <v>263.15518481854753</v>
      </c>
      <c r="CZ115" s="59">
        <f t="shared" si="96"/>
        <v>210.80755370263819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0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275.99999999999972</v>
      </c>
      <c r="DP115" s="17">
        <f>DO115*VLOOKUP('Données projet'!$B$14,Paramètres!$A$1:$I$89,3,0)*VLOOKUP('Données projet'!$B$14,Paramètres!$A$1:$I$89,5,0)</f>
        <v>223.8911999999998</v>
      </c>
      <c r="DQ115" s="13">
        <f t="shared" si="97"/>
        <v>54.95975389514858</v>
      </c>
      <c r="DR115" s="20">
        <f t="shared" si="70"/>
        <v>485.66541136738346</v>
      </c>
      <c r="DS115" s="59">
        <f t="shared" si="71"/>
        <v>778.99874470071677</v>
      </c>
      <c r="DT115" s="59">
        <f ca="1">AVERAGE(OFFSET($DS$3,0,0,'Données projet'!$E$14+1,1))-AVERAGE(OFFSET($H$3,0,0,'Données projet'!$E$14+1,1))</f>
        <v>203.21935660591021</v>
      </c>
      <c r="DU115" s="59">
        <f t="shared" si="98"/>
        <v>180.54762778843178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0.19762713757133801</v>
      </c>
      <c r="EB115" s="21">
        <f>EXP(-LN(2)/25)*EB114+(1-EXP(-LN(2)/25))/(LN(2)/25)*Calculateur!DW115*Calculateur!DY115*VLOOKUP('Données projet'!$B$14,Paramètres!$A$1:$I$89,3,0)*0.475*44/12</f>
        <v>0.59748449664382364</v>
      </c>
      <c r="EC115" s="21">
        <f>EXP(-LN(2)/2)*EC114+(1-EXP(-LN(2)/2))/(LN(2)/2)*DW115*DZ115*VLOOKUP('Données projet'!$B$14,Paramètres!$A$1:$I$89,3,0)*0.475*44/12</f>
        <v>4.1212317775625446E-12</v>
      </c>
      <c r="ED115" s="22">
        <f t="shared" si="72"/>
        <v>0.79511163421928288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-5.1159076974727213E-13</v>
      </c>
      <c r="EK115" s="17">
        <f>EJ115*VLOOKUP('Données projet'!$B$15,Paramètres!$A$1:$I$89,3,0)*VLOOKUP('Données projet'!$B$15,Paramètres!$A$1:$I$89,5,0)</f>
        <v>-3.4317508834647017E-13</v>
      </c>
      <c r="EL115" s="13" t="e">
        <f t="shared" si="99"/>
        <v>#NUM!</v>
      </c>
      <c r="EM115" s="20" t="e">
        <f t="shared" si="73"/>
        <v>#NUM!</v>
      </c>
      <c r="EN115" s="59" t="e">
        <f t="shared" si="74"/>
        <v>#NUM!</v>
      </c>
      <c r="EO115" s="59">
        <f ca="1">AVERAGE(OFFSET($EN$3,0,0,'Données projet'!$E$15+1,1))-AVERAGE(OFFSET($H$3,0,0,'Données projet'!$E$15+1,1))</f>
        <v>207.93042467236967</v>
      </c>
      <c r="EP115" s="59">
        <f t="shared" si="100"/>
        <v>250.70954318710835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0.54230523697460353</v>
      </c>
      <c r="EW115" s="21">
        <f>EXP(-LN(2)/25)*EW114+(1-EXP(-LN(2)/25))/(LN(2)/25)*Calculateur!ER115*Calculateur!ET115*VLOOKUP('Données projet'!$B$15,Paramètres!$A$1:$I$89,3,0)*0.475*44/12</f>
        <v>1.7811022076661969</v>
      </c>
      <c r="EX115" s="21">
        <f>EXP(-LN(2)/2)*EX114+(1-EXP(-LN(2)/2))/(LN(2)/2)*ER115*EU115*VLOOKUP('Données projet'!$B$15,Paramètres!$A$1:$I$89,3,0)*0.475*44/12</f>
        <v>9.2169126903008805E-12</v>
      </c>
      <c r="EY115" s="22">
        <f t="shared" si="75"/>
        <v>2.3234074446500173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-2.2737367544323206E-13</v>
      </c>
      <c r="O116" s="13">
        <f>N116*VLOOKUP('Données projet'!$B$9,Paramètres!$A$1:$I$89,3,0)*VLOOKUP('Données projet'!$B$9,Paramètres!$A$1:$I$89,5,0)</f>
        <v>-1.2710188457276673E-13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255.5374979188561</v>
      </c>
      <c r="T116" s="59">
        <f t="shared" si="88"/>
        <v>343.10418468620901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0.59716327028622429</v>
      </c>
      <c r="AA116" s="21">
        <f>EXP(-LN(2)/25)*AA115+(1-EXP(-LN(2)/25))/(LN(2)/25)*Calculateur!V116*Calculateur!X116*VLOOKUP('Données projet'!$B$9,Paramètres!$A$1:$I$89,3,0)*0.475*44/12</f>
        <v>1.5981603534728077</v>
      </c>
      <c r="AB116" s="21">
        <f>EXP(-LN(2)/2)*AB115+(1-EXP(-LN(2)/2))/(LN(2)/2)*V116*Y116*VLOOKUP('Données projet'!$B$9,Paramètres!$A$1:$I$89,3,0)*0.475*44/12</f>
        <v>5.4428063029785376E-13</v>
      </c>
      <c r="AC116" s="22">
        <f t="shared" si="57"/>
        <v>2.1953236237595766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1.5961632016114892E-13</v>
      </c>
      <c r="AK116" s="13">
        <f t="shared" si="89"/>
        <v>2.2708641912150958E-12</v>
      </c>
      <c r="AL116" s="20">
        <f t="shared" si="58"/>
        <v>4.2330868906469593E-12</v>
      </c>
      <c r="AM116" s="59">
        <f t="shared" si="59"/>
        <v>293.33333333333752</v>
      </c>
      <c r="AN116" s="59">
        <f ca="1">AVERAGE(OFFSET($AM$3,0,0,'Données projet'!$E$10+1,1))-AVERAGE(OFFSET($H$3,0,0,'Données projet'!$E$10+1,1))</f>
        <v>158.58786357608489</v>
      </c>
      <c r="AO116" s="59">
        <f t="shared" si="90"/>
        <v>163.20074068819849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553.99999999999955</v>
      </c>
      <c r="BE116" s="13">
        <f>BD116*VLOOKUP('Données projet'!$B$11,Paramètres!$A$1:$I$89,3,0)*VLOOKUP('Données projet'!$B$11,Paramètres!$A$1:$I$89,5,0)</f>
        <v>331.29199999999975</v>
      </c>
      <c r="BF116" s="13">
        <f t="shared" si="91"/>
        <v>77.698110787752</v>
      </c>
      <c r="BG116" s="20">
        <f t="shared" si="61"/>
        <v>712.32444295533423</v>
      </c>
      <c r="BH116" s="59">
        <f t="shared" si="62"/>
        <v>1005.6577762886675</v>
      </c>
      <c r="BI116" s="59">
        <f ca="1">AVERAGE(OFFSET($BH$3,0,0,'Données projet'!$E$11+1,1))-AVERAGE(OFFSET($H$3,0,0,'Données projet'!$E$11+1,1))</f>
        <v>316.58509520829671</v>
      </c>
      <c r="BJ116" s="59">
        <f t="shared" si="92"/>
        <v>240.71332110643596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0.48981183033062814</v>
      </c>
      <c r="BQ116" s="21">
        <f>EXP(-LN(2)/25)*BQ115+(1-EXP(-LN(2)/25))/(LN(2)/25)*Calculateur!BL116*Calculateur!BN116*VLOOKUP('Données projet'!$B$11,Paramètres!$A$1:$I$89,3,0)*0.475*44/12</f>
        <v>1.528834523639349</v>
      </c>
      <c r="BR116" s="21">
        <f>EXP(-LN(2)/2)*BR115+(1-EXP(-LN(2)/2))/(LN(2)/2)*BL116*BO116*VLOOKUP('Données projet'!$B$11,Paramètres!$A$1:$I$89,3,0)*0.475*44/12</f>
        <v>7.0547040466748241E-12</v>
      </c>
      <c r="BS116" s="22">
        <f t="shared" si="63"/>
        <v>2.0186463539770321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-5.1159076974727213E-13</v>
      </c>
      <c r="BZ116" s="13">
        <f>BY116*VLOOKUP('Données projet'!$B$12,Paramètres!$A$1:$I$89,3,0)*VLOOKUP('Données projet'!$B$12,Paramètres!$A$1:$I$89,5,0)</f>
        <v>-4.0702161641092972E-13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260.20517190557814</v>
      </c>
      <c r="CE116" s="59">
        <f t="shared" si="94"/>
        <v>307.22009971147133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0.63058648987451948</v>
      </c>
      <c r="CL116" s="21">
        <f>EXP(-LN(2)/25)*CL115+(1-EXP(-LN(2)/25))/(LN(2)/25)*Calculateur!CG116*Calculateur!CI116*VLOOKUP('Données projet'!$B$12,Paramètres!$A$1:$I$89,3,0)*0.475*44/12</f>
        <v>2.054704455367601</v>
      </c>
      <c r="CM116" s="21">
        <f>EXP(-LN(2)/2)*CM115+(1-EXP(-LN(2)/2))/(LN(2)/2)*CG116*CJ116*VLOOKUP('Données projet'!$B$12,Paramètres!$A$1:$I$89,3,0)*0.475*44/12</f>
        <v>7.7298701095516513E-12</v>
      </c>
      <c r="CN116" s="22">
        <f t="shared" si="66"/>
        <v>2.6852909452498501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6.8461538461538511</v>
      </c>
      <c r="CT116" s="12">
        <f>IF('Données projet'!$A$140&gt;35,CT115+CS116-DB115,IF(A116&lt;'Données projet'!$A$140,$CQ$205^A116,IF(A116='Données projet'!$A$140,'Données projet'!$B$140,CT115+CS116-DB115)))</f>
        <v>316.26282051282072</v>
      </c>
      <c r="CU116" s="17">
        <f>CT116*VLOOKUP('Données projet'!$B$13,Paramètres!$A$1:$I$89,3,0)*VLOOKUP('Données projet'!$B$13,Paramètres!$A$1:$I$89,5,0)</f>
        <v>320.69050000000021</v>
      </c>
      <c r="CV116" s="13">
        <f t="shared" si="95"/>
        <v>75.49700758801059</v>
      </c>
      <c r="CW116" s="20">
        <f t="shared" si="67"/>
        <v>690.0265757157855</v>
      </c>
      <c r="CX116" s="59">
        <f t="shared" si="68"/>
        <v>983.35990904911887</v>
      </c>
      <c r="CY116" s="59">
        <f ca="1">AVERAGE(OFFSET($CX$3,0,0,'Données projet'!$E$13+1,1))-AVERAGE(OFFSET($H$3,0,0,'Données projet'!$E$13+1,1))</f>
        <v>263.15518481854753</v>
      </c>
      <c r="CZ116" s="59">
        <f t="shared" si="96"/>
        <v>210.80755370263819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0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275.99999999999972</v>
      </c>
      <c r="DP116" s="17">
        <f>DO116*VLOOKUP('Données projet'!$B$14,Paramètres!$A$1:$I$89,3,0)*VLOOKUP('Données projet'!$B$14,Paramètres!$A$1:$I$89,5,0)</f>
        <v>223.8911999999998</v>
      </c>
      <c r="DQ116" s="13">
        <f t="shared" si="97"/>
        <v>54.95975389514858</v>
      </c>
      <c r="DR116" s="20">
        <f t="shared" si="70"/>
        <v>485.66541136738346</v>
      </c>
      <c r="DS116" s="59">
        <f t="shared" si="71"/>
        <v>778.99874470071677</v>
      </c>
      <c r="DT116" s="59">
        <f ca="1">AVERAGE(OFFSET($DS$3,0,0,'Données projet'!$E$14+1,1))-AVERAGE(OFFSET($H$3,0,0,'Données projet'!$E$14+1,1))</f>
        <v>203.21935660591021</v>
      </c>
      <c r="DU116" s="59">
        <f t="shared" si="98"/>
        <v>180.54762778843178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0.1937517899442156</v>
      </c>
      <c r="EB116" s="21">
        <f>EXP(-LN(2)/25)*EB115+(1-EXP(-LN(2)/25))/(LN(2)/25)*Calculateur!DW116*Calculateur!DY116*VLOOKUP('Données projet'!$B$14,Paramètres!$A$1:$I$89,3,0)*0.475*44/12</f>
        <v>0.58114625166275413</v>
      </c>
      <c r="EC116" s="21">
        <f>EXP(-LN(2)/2)*EC115+(1-EXP(-LN(2)/2))/(LN(2)/2)*DW116*DZ116*VLOOKUP('Données projet'!$B$14,Paramètres!$A$1:$I$89,3,0)*0.475*44/12</f>
        <v>2.9141509367559646E-12</v>
      </c>
      <c r="ED116" s="22">
        <f t="shared" si="72"/>
        <v>0.77489804160988385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-5.1159076974727213E-13</v>
      </c>
      <c r="EK116" s="17">
        <f>EJ116*VLOOKUP('Données projet'!$B$15,Paramètres!$A$1:$I$89,3,0)*VLOOKUP('Données projet'!$B$15,Paramètres!$A$1:$I$89,5,0)</f>
        <v>-3.4317508834647017E-13</v>
      </c>
      <c r="EL116" s="13" t="e">
        <f t="shared" si="99"/>
        <v>#NUM!</v>
      </c>
      <c r="EM116" s="20" t="e">
        <f t="shared" si="73"/>
        <v>#NUM!</v>
      </c>
      <c r="EN116" s="59" t="e">
        <f t="shared" si="74"/>
        <v>#NUM!</v>
      </c>
      <c r="EO116" s="59">
        <f ca="1">AVERAGE(OFFSET($EN$3,0,0,'Données projet'!$E$15+1,1))-AVERAGE(OFFSET($H$3,0,0,'Données projet'!$E$15+1,1))</f>
        <v>207.93042467236967</v>
      </c>
      <c r="EP116" s="59">
        <f t="shared" si="100"/>
        <v>250.70954318710835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0.5316709620510649</v>
      </c>
      <c r="EW116" s="21">
        <f>EXP(-LN(2)/25)*EW115+(1-EXP(-LN(2)/25))/(LN(2)/25)*Calculateur!ER116*Calculateur!ET116*VLOOKUP('Données projet'!$B$15,Paramètres!$A$1:$I$89,3,0)*0.475*44/12</f>
        <v>1.7323978741334705</v>
      </c>
      <c r="EX116" s="21">
        <f>EXP(-LN(2)/2)*EX115+(1-EXP(-LN(2)/2))/(LN(2)/2)*ER116*EU116*VLOOKUP('Données projet'!$B$15,Paramètres!$A$1:$I$89,3,0)*0.475*44/12</f>
        <v>6.5173414649160978E-12</v>
      </c>
      <c r="EY116" s="22">
        <f t="shared" si="75"/>
        <v>2.2640688361910528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-2.2737367544323206E-13</v>
      </c>
      <c r="O117" s="13">
        <f>N117*VLOOKUP('Données projet'!$B$9,Paramètres!$A$1:$I$89,3,0)*VLOOKUP('Données projet'!$B$9,Paramètres!$A$1:$I$89,5,0)</f>
        <v>-1.2710188457276673E-13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255.5374979188561</v>
      </c>
      <c r="T117" s="59">
        <f t="shared" si="88"/>
        <v>343.10418468620901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0.58545326278954124</v>
      </c>
      <c r="AA117" s="21">
        <f>EXP(-LN(2)/25)*AA116+(1-EXP(-LN(2)/25))/(LN(2)/25)*Calculateur!V117*Calculateur!X117*VLOOKUP('Données projet'!$B$9,Paramètres!$A$1:$I$89,3,0)*0.475*44/12</f>
        <v>1.5544585745634933</v>
      </c>
      <c r="AB117" s="21">
        <f>EXP(-LN(2)/2)*AB116+(1-EXP(-LN(2)/2))/(LN(2)/2)*V117*Y117*VLOOKUP('Données projet'!$B$9,Paramètres!$A$1:$I$89,3,0)*0.475*44/12</f>
        <v>3.8486452455210066E-13</v>
      </c>
      <c r="AC117" s="22">
        <f t="shared" si="57"/>
        <v>2.1399118373534196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1.5961632016114892E-13</v>
      </c>
      <c r="AK117" s="13">
        <f t="shared" si="89"/>
        <v>2.2708641912150958E-12</v>
      </c>
      <c r="AL117" s="20">
        <f t="shared" si="58"/>
        <v>4.2330868906469593E-12</v>
      </c>
      <c r="AM117" s="59">
        <f t="shared" si="59"/>
        <v>293.33333333333752</v>
      </c>
      <c r="AN117" s="59">
        <f ca="1">AVERAGE(OFFSET($AM$3,0,0,'Données projet'!$E$10+1,1))-AVERAGE(OFFSET($H$3,0,0,'Données projet'!$E$10+1,1))</f>
        <v>158.58786357608489</v>
      </c>
      <c r="AO117" s="59">
        <f t="shared" si="90"/>
        <v>163.20074068819849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553.99999999999955</v>
      </c>
      <c r="BE117" s="13">
        <f>BD117*VLOOKUP('Données projet'!$B$11,Paramètres!$A$1:$I$89,3,0)*VLOOKUP('Données projet'!$B$11,Paramètres!$A$1:$I$89,5,0)</f>
        <v>331.29199999999975</v>
      </c>
      <c r="BF117" s="13">
        <f t="shared" si="91"/>
        <v>77.698110787752</v>
      </c>
      <c r="BG117" s="20">
        <f t="shared" si="61"/>
        <v>712.32444295533423</v>
      </c>
      <c r="BH117" s="59">
        <f t="shared" si="62"/>
        <v>1005.6577762886675</v>
      </c>
      <c r="BI117" s="59">
        <f ca="1">AVERAGE(OFFSET($BH$3,0,0,'Données projet'!$E$11+1,1))-AVERAGE(OFFSET($H$3,0,0,'Données projet'!$E$11+1,1))</f>
        <v>316.58509520829671</v>
      </c>
      <c r="BJ117" s="59">
        <f t="shared" si="92"/>
        <v>240.71332110643596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0.48020691909356134</v>
      </c>
      <c r="BQ117" s="21">
        <f>EXP(-LN(2)/25)*BQ116+(1-EXP(-LN(2)/25))/(LN(2)/25)*Calculateur!BL117*Calculateur!BN117*VLOOKUP('Données projet'!$B$11,Paramètres!$A$1:$I$89,3,0)*0.475*44/12</f>
        <v>1.4870284631925177</v>
      </c>
      <c r="BR117" s="21">
        <f>EXP(-LN(2)/2)*BR116+(1-EXP(-LN(2)/2))/(LN(2)/2)*BL117*BO117*VLOOKUP('Données projet'!$B$11,Paramètres!$A$1:$I$89,3,0)*0.475*44/12</f>
        <v>4.9884290706679467E-12</v>
      </c>
      <c r="BS117" s="22">
        <f t="shared" si="63"/>
        <v>1.9672353822910675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-5.1159076974727213E-13</v>
      </c>
      <c r="BZ117" s="13">
        <f>BY117*VLOOKUP('Données projet'!$B$12,Paramètres!$A$1:$I$89,3,0)*VLOOKUP('Données projet'!$B$12,Paramètres!$A$1:$I$89,5,0)</f>
        <v>-4.0702161641092972E-13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260.20517190557814</v>
      </c>
      <c r="CE117" s="59">
        <f t="shared" si="94"/>
        <v>307.22009971147133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0.61822107342786092</v>
      </c>
      <c r="CL117" s="21">
        <f>EXP(-LN(2)/25)*CL116+(1-EXP(-LN(2)/25))/(LN(2)/25)*Calculateur!CG117*Calculateur!CI117*VLOOKUP('Données projet'!$B$12,Paramètres!$A$1:$I$89,3,0)*0.475*44/12</f>
        <v>1.9985184539833627</v>
      </c>
      <c r="CM117" s="21">
        <f>EXP(-LN(2)/2)*CM116+(1-EXP(-LN(2)/2))/(LN(2)/2)*CG117*CJ117*VLOOKUP('Données projet'!$B$12,Paramètres!$A$1:$I$89,3,0)*0.475*44/12</f>
        <v>5.4658435721551737E-12</v>
      </c>
      <c r="CN117" s="22">
        <f t="shared" si="66"/>
        <v>2.6167395274166894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6.8461538461538511</v>
      </c>
      <c r="CT117" s="12">
        <f>IF('Données projet'!$A$140&gt;35,CT116+CS117-DB116,IF(A117&lt;'Données projet'!$A$140,$CQ$205^A117,IF(A117='Données projet'!$A$140,'Données projet'!$B$140,CT116+CS117-DB116)))</f>
        <v>323.10897435897459</v>
      </c>
      <c r="CU117" s="17">
        <f>CT117*VLOOKUP('Données projet'!$B$13,Paramètres!$A$1:$I$89,3,0)*VLOOKUP('Données projet'!$B$13,Paramètres!$A$1:$I$89,5,0)</f>
        <v>327.63250000000022</v>
      </c>
      <c r="CV117" s="13">
        <f t="shared" si="95"/>
        <v>76.939258522537912</v>
      </c>
      <c r="CW117" s="20">
        <f t="shared" si="67"/>
        <v>704.62914609342045</v>
      </c>
      <c r="CX117" s="59">
        <f t="shared" si="68"/>
        <v>997.96247942675382</v>
      </c>
      <c r="CY117" s="59">
        <f ca="1">AVERAGE(OFFSET($CX$3,0,0,'Données projet'!$E$13+1,1))-AVERAGE(OFFSET($H$3,0,0,'Données projet'!$E$13+1,1))</f>
        <v>263.15518481854753</v>
      </c>
      <c r="CZ117" s="59">
        <f t="shared" si="96"/>
        <v>210.80755370263819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0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275.99999999999972</v>
      </c>
      <c r="DP117" s="17">
        <f>DO117*VLOOKUP('Données projet'!$B$14,Paramètres!$A$1:$I$89,3,0)*VLOOKUP('Données projet'!$B$14,Paramètres!$A$1:$I$89,5,0)</f>
        <v>223.8911999999998</v>
      </c>
      <c r="DQ117" s="13">
        <f t="shared" si="97"/>
        <v>54.95975389514858</v>
      </c>
      <c r="DR117" s="20">
        <f t="shared" si="70"/>
        <v>485.66541136738346</v>
      </c>
      <c r="DS117" s="59">
        <f t="shared" si="71"/>
        <v>778.99874470071677</v>
      </c>
      <c r="DT117" s="59">
        <f ca="1">AVERAGE(OFFSET($DS$3,0,0,'Données projet'!$E$14+1,1))-AVERAGE(OFFSET($H$3,0,0,'Données projet'!$E$14+1,1))</f>
        <v>203.21935660591021</v>
      </c>
      <c r="DU117" s="59">
        <f t="shared" si="98"/>
        <v>180.54762778843178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0.18995243552033239</v>
      </c>
      <c r="EB117" s="21">
        <f>EXP(-LN(2)/25)*EB116+(1-EXP(-LN(2)/25))/(LN(2)/25)*Calculateur!DW117*Calculateur!DY117*VLOOKUP('Données projet'!$B$14,Paramètres!$A$1:$I$89,3,0)*0.475*44/12</f>
        <v>0.56525477684988301</v>
      </c>
      <c r="EC117" s="21">
        <f>EXP(-LN(2)/2)*EC116+(1-EXP(-LN(2)/2))/(LN(2)/2)*DW117*DZ117*VLOOKUP('Données projet'!$B$14,Paramètres!$A$1:$I$89,3,0)*0.475*44/12</f>
        <v>2.0606158887812723E-12</v>
      </c>
      <c r="ED117" s="22">
        <f t="shared" si="72"/>
        <v>0.75520721237227595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-5.1159076974727213E-13</v>
      </c>
      <c r="EK117" s="17">
        <f>EJ117*VLOOKUP('Données projet'!$B$15,Paramètres!$A$1:$I$89,3,0)*VLOOKUP('Données projet'!$B$15,Paramètres!$A$1:$I$89,5,0)</f>
        <v>-3.4317508834647017E-13</v>
      </c>
      <c r="EL117" s="13" t="e">
        <f t="shared" si="99"/>
        <v>#NUM!</v>
      </c>
      <c r="EM117" s="20" t="e">
        <f t="shared" si="73"/>
        <v>#NUM!</v>
      </c>
      <c r="EN117" s="59" t="e">
        <f t="shared" si="74"/>
        <v>#NUM!</v>
      </c>
      <c r="EO117" s="59">
        <f ca="1">AVERAGE(OFFSET($EN$3,0,0,'Données projet'!$E$15+1,1))-AVERAGE(OFFSET($H$3,0,0,'Données projet'!$E$15+1,1))</f>
        <v>207.93042467236967</v>
      </c>
      <c r="EP117" s="59">
        <f t="shared" si="100"/>
        <v>250.70954318710835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0.52124521877250962</v>
      </c>
      <c r="EW117" s="21">
        <f>EXP(-LN(2)/25)*EW116+(1-EXP(-LN(2)/25))/(LN(2)/25)*Calculateur!ER117*Calculateur!ET117*VLOOKUP('Données projet'!$B$15,Paramètres!$A$1:$I$89,3,0)*0.475*44/12</f>
        <v>1.6850253631624459</v>
      </c>
      <c r="EX117" s="21">
        <f>EXP(-LN(2)/2)*EX116+(1-EXP(-LN(2)/2))/(LN(2)/2)*ER117*EU117*VLOOKUP('Données projet'!$B$15,Paramètres!$A$1:$I$89,3,0)*0.475*44/12</f>
        <v>4.6084563451504402E-12</v>
      </c>
      <c r="EY117" s="22">
        <f t="shared" si="75"/>
        <v>2.2062705819395636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-2.2737367544323206E-13</v>
      </c>
      <c r="O118" s="13">
        <f>N118*VLOOKUP('Données projet'!$B$9,Paramètres!$A$1:$I$89,3,0)*VLOOKUP('Données projet'!$B$9,Paramètres!$A$1:$I$89,5,0)</f>
        <v>-1.2710188457276673E-13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255.5374979188561</v>
      </c>
      <c r="T118" s="59">
        <f t="shared" si="88"/>
        <v>343.10418468620901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0.57397288139746883</v>
      </c>
      <c r="AA118" s="21">
        <f>EXP(-LN(2)/25)*AA117+(1-EXP(-LN(2)/25))/(LN(2)/25)*Calculateur!V118*Calculateur!X118*VLOOKUP('Données projet'!$B$9,Paramètres!$A$1:$I$89,3,0)*0.475*44/12</f>
        <v>1.5119518230966309</v>
      </c>
      <c r="AB118" s="21">
        <f>EXP(-LN(2)/2)*AB117+(1-EXP(-LN(2)/2))/(LN(2)/2)*V118*Y118*VLOOKUP('Données projet'!$B$9,Paramètres!$A$1:$I$89,3,0)*0.475*44/12</f>
        <v>2.7214031514892688E-13</v>
      </c>
      <c r="AC118" s="22">
        <f t="shared" si="57"/>
        <v>2.0859247044943721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1.5961632016114892E-13</v>
      </c>
      <c r="AK118" s="13">
        <f t="shared" si="89"/>
        <v>2.2708641912150958E-12</v>
      </c>
      <c r="AL118" s="20">
        <f t="shared" si="58"/>
        <v>4.2330868906469593E-12</v>
      </c>
      <c r="AM118" s="59">
        <f t="shared" si="59"/>
        <v>293.33333333333752</v>
      </c>
      <c r="AN118" s="59">
        <f ca="1">AVERAGE(OFFSET($AM$3,0,0,'Données projet'!$E$10+1,1))-AVERAGE(OFFSET($H$3,0,0,'Données projet'!$E$10+1,1))</f>
        <v>158.58786357608489</v>
      </c>
      <c r="AO118" s="59">
        <f t="shared" si="90"/>
        <v>163.20074068819849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553.99999999999955</v>
      </c>
      <c r="BE118" s="13">
        <f>BD118*VLOOKUP('Données projet'!$B$11,Paramètres!$A$1:$I$89,3,0)*VLOOKUP('Données projet'!$B$11,Paramètres!$A$1:$I$89,5,0)</f>
        <v>331.29199999999975</v>
      </c>
      <c r="BF118" s="13">
        <f t="shared" si="91"/>
        <v>77.698110787752</v>
      </c>
      <c r="BG118" s="20">
        <f t="shared" si="61"/>
        <v>712.32444295533423</v>
      </c>
      <c r="BH118" s="59">
        <f t="shared" si="62"/>
        <v>1005.6577762886675</v>
      </c>
      <c r="BI118" s="59">
        <f ca="1">AVERAGE(OFFSET($BH$3,0,0,'Données projet'!$E$11+1,1))-AVERAGE(OFFSET($H$3,0,0,'Données projet'!$E$11+1,1))</f>
        <v>316.58509520829671</v>
      </c>
      <c r="BJ118" s="59">
        <f t="shared" si="92"/>
        <v>240.71332110643596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0.47079035430743604</v>
      </c>
      <c r="BQ118" s="21">
        <f>EXP(-LN(2)/25)*BQ117+(1-EXP(-LN(2)/25))/(LN(2)/25)*Calculateur!BL118*Calculateur!BN118*VLOOKUP('Données projet'!$B$11,Paramètres!$A$1:$I$89,3,0)*0.475*44/12</f>
        <v>1.4463655916670901</v>
      </c>
      <c r="BR118" s="21">
        <f>EXP(-LN(2)/2)*BR117+(1-EXP(-LN(2)/2))/(LN(2)/2)*BL118*BO118*VLOOKUP('Données projet'!$B$11,Paramètres!$A$1:$I$89,3,0)*0.475*44/12</f>
        <v>3.5273520233374125E-12</v>
      </c>
      <c r="BS118" s="22">
        <f t="shared" si="63"/>
        <v>1.9171559459780536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-5.1159076974727213E-13</v>
      </c>
      <c r="BZ118" s="13">
        <f>BY118*VLOOKUP('Données projet'!$B$12,Paramètres!$A$1:$I$89,3,0)*VLOOKUP('Données projet'!$B$12,Paramètres!$A$1:$I$89,5,0)</f>
        <v>-4.0702161641092972E-13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260.20517190557814</v>
      </c>
      <c r="CE118" s="59">
        <f t="shared" si="94"/>
        <v>307.22009971147133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0.606098135255562</v>
      </c>
      <c r="CL118" s="21">
        <f>EXP(-LN(2)/25)*CL117+(1-EXP(-LN(2)/25))/(LN(2)/25)*Calculateur!CG118*Calculateur!CI118*VLOOKUP('Données projet'!$B$12,Paramètres!$A$1:$I$89,3,0)*0.475*44/12</f>
        <v>1.9438688617616697</v>
      </c>
      <c r="CM118" s="21">
        <f>EXP(-LN(2)/2)*CM117+(1-EXP(-LN(2)/2))/(LN(2)/2)*CG118*CJ118*VLOOKUP('Données projet'!$B$12,Paramètres!$A$1:$I$89,3,0)*0.475*44/12</f>
        <v>3.8649350547758257E-12</v>
      </c>
      <c r="CN118" s="22">
        <f t="shared" si="66"/>
        <v>2.5499669970210967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6.8461538461538511</v>
      </c>
      <c r="CT118" s="12">
        <f>IF('Données projet'!$A$140&gt;35,CT117+CS118-DB117,IF(A118&lt;'Données projet'!$A$140,$CQ$205^A118,IF(A118='Données projet'!$A$140,'Données projet'!$B$140,CT117+CS118-DB117)))</f>
        <v>329.95512820512846</v>
      </c>
      <c r="CU118" s="17">
        <f>CT118*VLOOKUP('Données projet'!$B$13,Paramètres!$A$1:$I$89,3,0)*VLOOKUP('Données projet'!$B$13,Paramètres!$A$1:$I$89,5,0)</f>
        <v>334.57450000000028</v>
      </c>
      <c r="CV118" s="13">
        <f t="shared" si="95"/>
        <v>78.377956496830464</v>
      </c>
      <c r="CW118" s="20">
        <f t="shared" si="67"/>
        <v>719.22552839864682</v>
      </c>
      <c r="CX118" s="59">
        <f t="shared" si="68"/>
        <v>1012.5588617319802</v>
      </c>
      <c r="CY118" s="59">
        <f ca="1">AVERAGE(OFFSET($CX$3,0,0,'Données projet'!$E$13+1,1))-AVERAGE(OFFSET($H$3,0,0,'Données projet'!$E$13+1,1))</f>
        <v>263.15518481854753</v>
      </c>
      <c r="CZ118" s="59">
        <f t="shared" si="96"/>
        <v>210.80755370263819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0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275.99999999999972</v>
      </c>
      <c r="DP118" s="17">
        <f>DO118*VLOOKUP('Données projet'!$B$14,Paramètres!$A$1:$I$89,3,0)*VLOOKUP('Données projet'!$B$14,Paramètres!$A$1:$I$89,5,0)</f>
        <v>223.8911999999998</v>
      </c>
      <c r="DQ118" s="13">
        <f t="shared" si="97"/>
        <v>54.95975389514858</v>
      </c>
      <c r="DR118" s="20">
        <f t="shared" si="70"/>
        <v>485.66541136738346</v>
      </c>
      <c r="DS118" s="59">
        <f t="shared" si="71"/>
        <v>778.99874470071677</v>
      </c>
      <c r="DT118" s="59">
        <f ca="1">AVERAGE(OFFSET($DS$3,0,0,'Données projet'!$E$14+1,1))-AVERAGE(OFFSET($H$3,0,0,'Données projet'!$E$14+1,1))</f>
        <v>203.21935660591021</v>
      </c>
      <c r="DU118" s="59">
        <f t="shared" si="98"/>
        <v>180.54762778843178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0.18622758411932416</v>
      </c>
      <c r="EB118" s="21">
        <f>EXP(-LN(2)/25)*EB117+(1-EXP(-LN(2)/25))/(LN(2)/25)*Calculateur!DW118*Calculateur!DY118*VLOOKUP('Données projet'!$B$14,Paramètres!$A$1:$I$89,3,0)*0.475*44/12</f>
        <v>0.54979785525146618</v>
      </c>
      <c r="EC118" s="21">
        <f>EXP(-LN(2)/2)*EC117+(1-EXP(-LN(2)/2))/(LN(2)/2)*DW118*DZ118*VLOOKUP('Données projet'!$B$14,Paramètres!$A$1:$I$89,3,0)*0.475*44/12</f>
        <v>1.4570754683779823E-12</v>
      </c>
      <c r="ED118" s="22">
        <f t="shared" si="72"/>
        <v>0.7360254393722474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-5.1159076974727213E-13</v>
      </c>
      <c r="EK118" s="17">
        <f>EJ118*VLOOKUP('Données projet'!$B$15,Paramètres!$A$1:$I$89,3,0)*VLOOKUP('Données projet'!$B$15,Paramètres!$A$1:$I$89,5,0)</f>
        <v>-3.4317508834647017E-13</v>
      </c>
      <c r="EL118" s="13" t="e">
        <f t="shared" si="99"/>
        <v>#NUM!</v>
      </c>
      <c r="EM118" s="20" t="e">
        <f t="shared" si="73"/>
        <v>#NUM!</v>
      </c>
      <c r="EN118" s="59" t="e">
        <f t="shared" si="74"/>
        <v>#NUM!</v>
      </c>
      <c r="EO118" s="59">
        <f ca="1">AVERAGE(OFFSET($EN$3,0,0,'Données projet'!$E$15+1,1))-AVERAGE(OFFSET($H$3,0,0,'Données projet'!$E$15+1,1))</f>
        <v>207.93042467236967</v>
      </c>
      <c r="EP118" s="59">
        <f t="shared" si="100"/>
        <v>250.70954318710835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0.51102391796057134</v>
      </c>
      <c r="EW118" s="21">
        <f>EXP(-LN(2)/25)*EW117+(1-EXP(-LN(2)/25))/(LN(2)/25)*Calculateur!ER118*Calculateur!ET118*VLOOKUP('Données projet'!$B$15,Paramètres!$A$1:$I$89,3,0)*0.475*44/12</f>
        <v>1.638948255995136</v>
      </c>
      <c r="EX118" s="21">
        <f>EXP(-LN(2)/2)*EX117+(1-EXP(-LN(2)/2))/(LN(2)/2)*ER118*EU118*VLOOKUP('Données projet'!$B$15,Paramètres!$A$1:$I$89,3,0)*0.475*44/12</f>
        <v>3.2586707324580489E-12</v>
      </c>
      <c r="EY118" s="22">
        <f t="shared" si="75"/>
        <v>2.1499721739589663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-2.2737367544323206E-13</v>
      </c>
      <c r="O119" s="13">
        <f>N119*VLOOKUP('Données projet'!$B$9,Paramètres!$A$1:$I$89,3,0)*VLOOKUP('Données projet'!$B$9,Paramètres!$A$1:$I$89,5,0)</f>
        <v>-1.2710188457276673E-13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255.5374979188561</v>
      </c>
      <c r="T119" s="59">
        <f t="shared" si="88"/>
        <v>343.10418468620901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0.56271762328215369</v>
      </c>
      <c r="AA119" s="21">
        <f>EXP(-LN(2)/25)*AA118+(1-EXP(-LN(2)/25))/(LN(2)/25)*Calculateur!V119*Calculateur!X119*VLOOKUP('Données projet'!$B$9,Paramètres!$A$1:$I$89,3,0)*0.475*44/12</f>
        <v>1.4706074209839628</v>
      </c>
      <c r="AB119" s="21">
        <f>EXP(-LN(2)/2)*AB118+(1-EXP(-LN(2)/2))/(LN(2)/2)*V119*Y119*VLOOKUP('Données projet'!$B$9,Paramètres!$A$1:$I$89,3,0)*0.475*44/12</f>
        <v>1.9243226227605033E-13</v>
      </c>
      <c r="AC119" s="22">
        <f t="shared" si="57"/>
        <v>2.0333250442663089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1.5961632016114892E-13</v>
      </c>
      <c r="AK119" s="13">
        <f t="shared" si="89"/>
        <v>2.2708641912150958E-12</v>
      </c>
      <c r="AL119" s="20">
        <f t="shared" si="58"/>
        <v>4.2330868906469593E-12</v>
      </c>
      <c r="AM119" s="59">
        <f t="shared" si="59"/>
        <v>293.33333333333752</v>
      </c>
      <c r="AN119" s="59">
        <f ca="1">AVERAGE(OFFSET($AM$3,0,0,'Données projet'!$E$10+1,1))-AVERAGE(OFFSET($H$3,0,0,'Données projet'!$E$10+1,1))</f>
        <v>158.58786357608489</v>
      </c>
      <c r="AO119" s="59">
        <f t="shared" si="90"/>
        <v>163.20074068819849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553.99999999999955</v>
      </c>
      <c r="BE119" s="13">
        <f>BD119*VLOOKUP('Données projet'!$B$11,Paramètres!$A$1:$I$89,3,0)*VLOOKUP('Données projet'!$B$11,Paramètres!$A$1:$I$89,5,0)</f>
        <v>331.29199999999975</v>
      </c>
      <c r="BF119" s="13">
        <f t="shared" si="91"/>
        <v>77.698110787752</v>
      </c>
      <c r="BG119" s="20">
        <f t="shared" si="61"/>
        <v>712.32444295533423</v>
      </c>
      <c r="BH119" s="59">
        <f t="shared" si="62"/>
        <v>1005.6577762886675</v>
      </c>
      <c r="BI119" s="59">
        <f ca="1">AVERAGE(OFFSET($BH$3,0,0,'Données projet'!$E$11+1,1))-AVERAGE(OFFSET($H$3,0,0,'Données projet'!$E$11+1,1))</f>
        <v>316.58509520829671</v>
      </c>
      <c r="BJ119" s="59">
        <f t="shared" si="92"/>
        <v>240.71332110643596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0.46155844261322926</v>
      </c>
      <c r="BQ119" s="21">
        <f>EXP(-LN(2)/25)*BQ118+(1-EXP(-LN(2)/25))/(LN(2)/25)*Calculateur!BL119*Calculateur!BN119*VLOOKUP('Données projet'!$B$11,Paramètres!$A$1:$I$89,3,0)*0.475*44/12</f>
        <v>1.4068146485018929</v>
      </c>
      <c r="BR119" s="21">
        <f>EXP(-LN(2)/2)*BR118+(1-EXP(-LN(2)/2))/(LN(2)/2)*BL119*BO119*VLOOKUP('Données projet'!$B$11,Paramètres!$A$1:$I$89,3,0)*0.475*44/12</f>
        <v>2.4942145353339734E-12</v>
      </c>
      <c r="BS119" s="22">
        <f t="shared" si="63"/>
        <v>1.8683730911176164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-5.1159076974727213E-13</v>
      </c>
      <c r="BZ119" s="13">
        <f>BY119*VLOOKUP('Données projet'!$B$12,Paramètres!$A$1:$I$89,3,0)*VLOOKUP('Données projet'!$B$12,Paramètres!$A$1:$I$89,5,0)</f>
        <v>-4.0702161641092972E-13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260.20517190557814</v>
      </c>
      <c r="CE119" s="59">
        <f t="shared" si="94"/>
        <v>307.22009971147133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0.59421292050655972</v>
      </c>
      <c r="CL119" s="21">
        <f>EXP(-LN(2)/25)*CL118+(1-EXP(-LN(2)/25))/(LN(2)/25)*Calculateur!CG119*Calculateur!CI119*VLOOKUP('Données projet'!$B$12,Paramètres!$A$1:$I$89,3,0)*0.475*44/12</f>
        <v>1.8907136655131762</v>
      </c>
      <c r="CM119" s="21">
        <f>EXP(-LN(2)/2)*CM118+(1-EXP(-LN(2)/2))/(LN(2)/2)*CG119*CJ119*VLOOKUP('Données projet'!$B$12,Paramètres!$A$1:$I$89,3,0)*0.475*44/12</f>
        <v>2.7329217860775869E-12</v>
      </c>
      <c r="CN119" s="22">
        <f t="shared" si="66"/>
        <v>2.484926586022469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6.8461538461538511</v>
      </c>
      <c r="CT119" s="12">
        <f>IF('Données projet'!$A$140&gt;35,CT118+CS119-DB118,IF(A119&lt;'Données projet'!$A$140,$CQ$205^A119,IF(A119='Données projet'!$A$140,'Données projet'!$B$140,CT118+CS119-DB118)))</f>
        <v>336.80128205128233</v>
      </c>
      <c r="CU119" s="17">
        <f>CT119*VLOOKUP('Données projet'!$B$13,Paramètres!$A$1:$I$89,3,0)*VLOOKUP('Données projet'!$B$13,Paramètres!$A$1:$I$89,5,0)</f>
        <v>341.51650000000029</v>
      </c>
      <c r="CV119" s="13">
        <f t="shared" si="95"/>
        <v>79.813183723893872</v>
      </c>
      <c r="CW119" s="20">
        <f t="shared" si="67"/>
        <v>733.81586581911563</v>
      </c>
      <c r="CX119" s="59">
        <f t="shared" si="68"/>
        <v>1027.149199152449</v>
      </c>
      <c r="CY119" s="59">
        <f ca="1">AVERAGE(OFFSET($CX$3,0,0,'Données projet'!$E$13+1,1))-AVERAGE(OFFSET($H$3,0,0,'Données projet'!$E$13+1,1))</f>
        <v>263.15518481854753</v>
      </c>
      <c r="CZ119" s="59">
        <f t="shared" si="96"/>
        <v>210.80755370263819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0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275.99999999999972</v>
      </c>
      <c r="DP119" s="17">
        <f>DO119*VLOOKUP('Données projet'!$B$14,Paramètres!$A$1:$I$89,3,0)*VLOOKUP('Données projet'!$B$14,Paramètres!$A$1:$I$89,5,0)</f>
        <v>223.8911999999998</v>
      </c>
      <c r="DQ119" s="13">
        <f t="shared" si="97"/>
        <v>54.95975389514858</v>
      </c>
      <c r="DR119" s="20">
        <f t="shared" si="70"/>
        <v>485.66541136738346</v>
      </c>
      <c r="DS119" s="59">
        <f t="shared" si="71"/>
        <v>778.99874470071677</v>
      </c>
      <c r="DT119" s="59">
        <f ca="1">AVERAGE(OFFSET($DS$3,0,0,'Données projet'!$E$14+1,1))-AVERAGE(OFFSET($H$3,0,0,'Données projet'!$E$14+1,1))</f>
        <v>203.21935660591021</v>
      </c>
      <c r="DU119" s="59">
        <f t="shared" si="98"/>
        <v>180.54762778843178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0.18257577478235468</v>
      </c>
      <c r="EB119" s="21">
        <f>EXP(-LN(2)/25)*EB118+(1-EXP(-LN(2)/25))/(LN(2)/25)*Calculateur!DW119*Calculateur!DY119*VLOOKUP('Données projet'!$B$14,Paramètres!$A$1:$I$89,3,0)*0.475*44/12</f>
        <v>0.53476360398700218</v>
      </c>
      <c r="EC119" s="21">
        <f>EXP(-LN(2)/2)*EC118+(1-EXP(-LN(2)/2))/(LN(2)/2)*DW119*DZ119*VLOOKUP('Données projet'!$B$14,Paramètres!$A$1:$I$89,3,0)*0.475*44/12</f>
        <v>1.0303079443906361E-12</v>
      </c>
      <c r="ED119" s="22">
        <f t="shared" si="72"/>
        <v>0.71733937877038711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-5.1159076974727213E-13</v>
      </c>
      <c r="EK119" s="17">
        <f>EJ119*VLOOKUP('Données projet'!$B$15,Paramètres!$A$1:$I$89,3,0)*VLOOKUP('Données projet'!$B$15,Paramètres!$A$1:$I$89,5,0)</f>
        <v>-3.4317508834647017E-13</v>
      </c>
      <c r="EL119" s="13" t="e">
        <f t="shared" si="99"/>
        <v>#NUM!</v>
      </c>
      <c r="EM119" s="20" t="e">
        <f t="shared" si="73"/>
        <v>#NUM!</v>
      </c>
      <c r="EN119" s="59" t="e">
        <f t="shared" si="74"/>
        <v>#NUM!</v>
      </c>
      <c r="EO119" s="59">
        <f ca="1">AVERAGE(OFFSET($EN$3,0,0,'Données projet'!$E$15+1,1))-AVERAGE(OFFSET($H$3,0,0,'Données projet'!$E$15+1,1))</f>
        <v>207.93042467236967</v>
      </c>
      <c r="EP119" s="59">
        <f t="shared" si="100"/>
        <v>250.70954318710835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0.50100305062317729</v>
      </c>
      <c r="EW119" s="21">
        <f>EXP(-LN(2)/25)*EW118+(1-EXP(-LN(2)/25))/(LN(2)/25)*Calculateur!ER119*Calculateur!ET119*VLOOKUP('Données projet'!$B$15,Paramètres!$A$1:$I$89,3,0)*0.475*44/12</f>
        <v>1.594131129746406</v>
      </c>
      <c r="EX119" s="21">
        <f>EXP(-LN(2)/2)*EX118+(1-EXP(-LN(2)/2))/(LN(2)/2)*ER119*EU119*VLOOKUP('Données projet'!$B$15,Paramètres!$A$1:$I$89,3,0)*0.475*44/12</f>
        <v>2.3042281725752201E-12</v>
      </c>
      <c r="EY119" s="22">
        <f t="shared" si="75"/>
        <v>2.0951341803718875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-2.2737367544323206E-13</v>
      </c>
      <c r="O120" s="13">
        <f>N120*VLOOKUP('Données projet'!$B$9,Paramètres!$A$1:$I$89,3,0)*VLOOKUP('Données projet'!$B$9,Paramètres!$A$1:$I$89,5,0)</f>
        <v>-1.2710188457276673E-13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255.5374979188561</v>
      </c>
      <c r="T120" s="59">
        <f t="shared" si="88"/>
        <v>343.10418468620901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0.55168307391345028</v>
      </c>
      <c r="AA120" s="21">
        <f>EXP(-LN(2)/25)*AA119+(1-EXP(-LN(2)/25))/(LN(2)/25)*Calculateur!V120*Calculateur!X120*VLOOKUP('Données projet'!$B$9,Paramètres!$A$1:$I$89,3,0)*0.475*44/12</f>
        <v>1.4303935837212731</v>
      </c>
      <c r="AB120" s="21">
        <f>EXP(-LN(2)/2)*AB119+(1-EXP(-LN(2)/2))/(LN(2)/2)*V120*Y120*VLOOKUP('Données projet'!$B$9,Paramètres!$A$1:$I$89,3,0)*0.475*44/12</f>
        <v>1.3607015757446344E-13</v>
      </c>
      <c r="AC120" s="22">
        <f t="shared" si="57"/>
        <v>1.9820766576348594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1.5961632016114892E-13</v>
      </c>
      <c r="AK120" s="13">
        <f t="shared" si="89"/>
        <v>2.2708641912150958E-12</v>
      </c>
      <c r="AL120" s="20">
        <f t="shared" si="58"/>
        <v>4.2330868906469593E-12</v>
      </c>
      <c r="AM120" s="59">
        <f t="shared" si="59"/>
        <v>293.33333333333752</v>
      </c>
      <c r="AN120" s="59">
        <f ca="1">AVERAGE(OFFSET($AM$3,0,0,'Données projet'!$E$10+1,1))-AVERAGE(OFFSET($H$3,0,0,'Données projet'!$E$10+1,1))</f>
        <v>158.58786357608489</v>
      </c>
      <c r="AO120" s="59">
        <f t="shared" si="90"/>
        <v>163.20074068819849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553.99999999999955</v>
      </c>
      <c r="BE120" s="13">
        <f>BD120*VLOOKUP('Données projet'!$B$11,Paramètres!$A$1:$I$89,3,0)*VLOOKUP('Données projet'!$B$11,Paramètres!$A$1:$I$89,5,0)</f>
        <v>331.29199999999975</v>
      </c>
      <c r="BF120" s="13">
        <f t="shared" si="91"/>
        <v>77.698110787752</v>
      </c>
      <c r="BG120" s="20">
        <f t="shared" si="61"/>
        <v>712.32444295533423</v>
      </c>
      <c r="BH120" s="59">
        <f t="shared" si="62"/>
        <v>1005.6577762886675</v>
      </c>
      <c r="BI120" s="59">
        <f ca="1">AVERAGE(OFFSET($BH$3,0,0,'Données projet'!$E$11+1,1))-AVERAGE(OFFSET($H$3,0,0,'Données projet'!$E$11+1,1))</f>
        <v>316.58509520829671</v>
      </c>
      <c r="BJ120" s="59">
        <f t="shared" si="92"/>
        <v>240.71332110643596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0.45250756307643575</v>
      </c>
      <c r="BQ120" s="21">
        <f>EXP(-LN(2)/25)*BQ119+(1-EXP(-LN(2)/25))/(LN(2)/25)*Calculateur!BL120*Calculateur!BN120*VLOOKUP('Données projet'!$B$11,Paramètres!$A$1:$I$89,3,0)*0.475*44/12</f>
        <v>1.3683452279574415</v>
      </c>
      <c r="BR120" s="21">
        <f>EXP(-LN(2)/2)*BR119+(1-EXP(-LN(2)/2))/(LN(2)/2)*BL120*BO120*VLOOKUP('Données projet'!$B$11,Paramètres!$A$1:$I$89,3,0)*0.475*44/12</f>
        <v>1.7636760116687062E-12</v>
      </c>
      <c r="BS120" s="22">
        <f t="shared" si="63"/>
        <v>1.8208527910356409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-5.1159076974727213E-13</v>
      </c>
      <c r="BZ120" s="13">
        <f>BY120*VLOOKUP('Données projet'!$B$12,Paramètres!$A$1:$I$89,3,0)*VLOOKUP('Données projet'!$B$12,Paramètres!$A$1:$I$89,5,0)</f>
        <v>-4.0702161641092972E-13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260.20517190557814</v>
      </c>
      <c r="CE120" s="59">
        <f t="shared" si="94"/>
        <v>307.22009971147133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0.58256076756952024</v>
      </c>
      <c r="CL120" s="21">
        <f>EXP(-LN(2)/25)*CL119+(1-EXP(-LN(2)/25))/(LN(2)/25)*Calculateur!CG120*Calculateur!CI120*VLOOKUP('Données projet'!$B$12,Paramètres!$A$1:$I$89,3,0)*0.475*44/12</f>
        <v>1.8390120009014079</v>
      </c>
      <c r="CM120" s="21">
        <f>EXP(-LN(2)/2)*CM119+(1-EXP(-LN(2)/2))/(LN(2)/2)*CG120*CJ120*VLOOKUP('Données projet'!$B$12,Paramètres!$A$1:$I$89,3,0)*0.475*44/12</f>
        <v>1.9324675273879128E-12</v>
      </c>
      <c r="CN120" s="22">
        <f t="shared" si="66"/>
        <v>2.4215727684728607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6.8461538461538511</v>
      </c>
      <c r="CT120" s="12">
        <f>IF('Données projet'!$A$140&gt;35,CT119+CS120-DB119,IF(A120&lt;'Données projet'!$A$140,$CQ$205^A120,IF(A120='Données projet'!$A$140,'Données projet'!$B$140,CT119+CS120-DB119)))</f>
        <v>343.6474358974362</v>
      </c>
      <c r="CU120" s="17">
        <f>CT120*VLOOKUP('Données projet'!$B$13,Paramètres!$A$1:$I$89,3,0)*VLOOKUP('Données projet'!$B$13,Paramètres!$A$1:$I$89,5,0)</f>
        <v>348.45850000000036</v>
      </c>
      <c r="CV120" s="13">
        <f t="shared" si="95"/>
        <v>81.245018883378833</v>
      </c>
      <c r="CW120" s="20">
        <f t="shared" si="67"/>
        <v>748.40029538855197</v>
      </c>
      <c r="CX120" s="59">
        <f t="shared" si="68"/>
        <v>1041.7336287218852</v>
      </c>
      <c r="CY120" s="59">
        <f ca="1">AVERAGE(OFFSET($CX$3,0,0,'Données projet'!$E$13+1,1))-AVERAGE(OFFSET($H$3,0,0,'Données projet'!$E$13+1,1))</f>
        <v>263.15518481854753</v>
      </c>
      <c r="CZ120" s="59">
        <f t="shared" si="96"/>
        <v>210.80755370263819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0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275.99999999999972</v>
      </c>
      <c r="DP120" s="17">
        <f>DO120*VLOOKUP('Données projet'!$B$14,Paramètres!$A$1:$I$89,3,0)*VLOOKUP('Données projet'!$B$14,Paramètres!$A$1:$I$89,5,0)</f>
        <v>223.8911999999998</v>
      </c>
      <c r="DQ120" s="13">
        <f t="shared" si="97"/>
        <v>54.95975389514858</v>
      </c>
      <c r="DR120" s="20">
        <f t="shared" si="70"/>
        <v>485.66541136738346</v>
      </c>
      <c r="DS120" s="59">
        <f t="shared" si="71"/>
        <v>778.99874470071677</v>
      </c>
      <c r="DT120" s="59">
        <f ca="1">AVERAGE(OFFSET($DS$3,0,0,'Données projet'!$E$14+1,1))-AVERAGE(OFFSET($H$3,0,0,'Données projet'!$E$14+1,1))</f>
        <v>203.21935660591021</v>
      </c>
      <c r="DU120" s="59">
        <f t="shared" si="98"/>
        <v>180.54762778843178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0.17899557519909942</v>
      </c>
      <c r="EB120" s="21">
        <f>EXP(-LN(2)/25)*EB119+(1-EXP(-LN(2)/25))/(LN(2)/25)*Calculateur!DW120*Calculateur!DY120*VLOOKUP('Données projet'!$B$14,Paramètres!$A$1:$I$89,3,0)*0.475*44/12</f>
        <v>0.52014046511398193</v>
      </c>
      <c r="EC120" s="21">
        <f>EXP(-LN(2)/2)*EC119+(1-EXP(-LN(2)/2))/(LN(2)/2)*DW120*DZ120*VLOOKUP('Données projet'!$B$14,Paramètres!$A$1:$I$89,3,0)*0.475*44/12</f>
        <v>7.2853773418899114E-13</v>
      </c>
      <c r="ED120" s="22">
        <f t="shared" si="72"/>
        <v>0.69913604031380983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-5.1159076974727213E-13</v>
      </c>
      <c r="EK120" s="17">
        <f>EJ120*VLOOKUP('Données projet'!$B$15,Paramètres!$A$1:$I$89,3,0)*VLOOKUP('Données projet'!$B$15,Paramètres!$A$1:$I$89,5,0)</f>
        <v>-3.4317508834647017E-13</v>
      </c>
      <c r="EL120" s="13" t="e">
        <f t="shared" si="99"/>
        <v>#NUM!</v>
      </c>
      <c r="EM120" s="20" t="e">
        <f t="shared" si="73"/>
        <v>#NUM!</v>
      </c>
      <c r="EN120" s="59" t="e">
        <f t="shared" si="74"/>
        <v>#NUM!</v>
      </c>
      <c r="EO120" s="59">
        <f ca="1">AVERAGE(OFFSET($EN$3,0,0,'Données projet'!$E$15+1,1))-AVERAGE(OFFSET($H$3,0,0,'Données projet'!$E$15+1,1))</f>
        <v>207.93042467236967</v>
      </c>
      <c r="EP120" s="59">
        <f t="shared" si="100"/>
        <v>250.70954318710835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0.49117868638214396</v>
      </c>
      <c r="EW120" s="21">
        <f>EXP(-LN(2)/25)*EW119+(1-EXP(-LN(2)/25))/(LN(2)/25)*Calculateur!ER120*Calculateur!ET120*VLOOKUP('Données projet'!$B$15,Paramètres!$A$1:$I$89,3,0)*0.475*44/12</f>
        <v>1.5505395301717779</v>
      </c>
      <c r="EX120" s="21">
        <f>EXP(-LN(2)/2)*EX119+(1-EXP(-LN(2)/2))/(LN(2)/2)*ER120*EU120*VLOOKUP('Données projet'!$B$15,Paramètres!$A$1:$I$89,3,0)*0.475*44/12</f>
        <v>1.6293353662290245E-12</v>
      </c>
      <c r="EY120" s="22">
        <f t="shared" si="75"/>
        <v>2.0417182165555512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-2.2737367544323206E-13</v>
      </c>
      <c r="O121" s="13">
        <f>N121*VLOOKUP('Données projet'!$B$9,Paramètres!$A$1:$I$89,3,0)*VLOOKUP('Données projet'!$B$9,Paramètres!$A$1:$I$89,5,0)</f>
        <v>-1.2710188457276673E-13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255.5374979188561</v>
      </c>
      <c r="T121" s="59">
        <f t="shared" si="88"/>
        <v>343.10418468620901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0.54086490532745668</v>
      </c>
      <c r="AA121" s="21">
        <f>EXP(-LN(2)/25)*AA120+(1-EXP(-LN(2)/25))/(LN(2)/25)*Calculateur!V121*Calculateur!X121*VLOOKUP('Données projet'!$B$9,Paramètres!$A$1:$I$89,3,0)*0.475*44/12</f>
        <v>1.3912793959532856</v>
      </c>
      <c r="AB121" s="21">
        <f>EXP(-LN(2)/2)*AB120+(1-EXP(-LN(2)/2))/(LN(2)/2)*V121*Y121*VLOOKUP('Données projet'!$B$9,Paramètres!$A$1:$I$89,3,0)*0.475*44/12</f>
        <v>9.6216131138025164E-14</v>
      </c>
      <c r="AC121" s="22">
        <f t="shared" si="57"/>
        <v>1.9321443012808384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1.5961632016114892E-13</v>
      </c>
      <c r="AK121" s="13">
        <f t="shared" si="89"/>
        <v>2.2708641912150958E-12</v>
      </c>
      <c r="AL121" s="20">
        <f t="shared" si="58"/>
        <v>4.2330868906469593E-12</v>
      </c>
      <c r="AM121" s="59">
        <f t="shared" si="59"/>
        <v>293.33333333333752</v>
      </c>
      <c r="AN121" s="59">
        <f ca="1">AVERAGE(OFFSET($AM$3,0,0,'Données projet'!$E$10+1,1))-AVERAGE(OFFSET($H$3,0,0,'Données projet'!$E$10+1,1))</f>
        <v>158.58786357608489</v>
      </c>
      <c r="AO121" s="59">
        <f t="shared" si="90"/>
        <v>163.20074068819849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553.99999999999955</v>
      </c>
      <c r="BE121" s="13">
        <f>BD121*VLOOKUP('Données projet'!$B$11,Paramètres!$A$1:$I$89,3,0)*VLOOKUP('Données projet'!$B$11,Paramètres!$A$1:$I$89,5,0)</f>
        <v>331.29199999999975</v>
      </c>
      <c r="BF121" s="13">
        <f t="shared" si="91"/>
        <v>77.698110787752</v>
      </c>
      <c r="BG121" s="20">
        <f t="shared" si="61"/>
        <v>712.32444295533423</v>
      </c>
      <c r="BH121" s="59">
        <f t="shared" si="62"/>
        <v>1005.6577762886675</v>
      </c>
      <c r="BI121" s="59">
        <f ca="1">AVERAGE(OFFSET($BH$3,0,0,'Données projet'!$E$11+1,1))-AVERAGE(OFFSET($H$3,0,0,'Données projet'!$E$11+1,1))</f>
        <v>316.58509520829671</v>
      </c>
      <c r="BJ121" s="59">
        <f t="shared" si="92"/>
        <v>240.71332110643596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0.44363416576686737</v>
      </c>
      <c r="BQ121" s="21">
        <f>EXP(-LN(2)/25)*BQ120+(1-EXP(-LN(2)/25))/(LN(2)/25)*Calculateur!BL121*Calculateur!BN121*VLOOKUP('Données projet'!$B$11,Paramètres!$A$1:$I$89,3,0)*0.475*44/12</f>
        <v>1.330927755740797</v>
      </c>
      <c r="BR121" s="21">
        <f>EXP(-LN(2)/2)*BR120+(1-EXP(-LN(2)/2))/(LN(2)/2)*BL121*BO121*VLOOKUP('Données projet'!$B$11,Paramètres!$A$1:$I$89,3,0)*0.475*44/12</f>
        <v>1.2471072676669867E-12</v>
      </c>
      <c r="BS121" s="22">
        <f t="shared" si="63"/>
        <v>1.7745619215089115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-5.1159076974727213E-13</v>
      </c>
      <c r="BZ121" s="13">
        <f>BY121*VLOOKUP('Données projet'!$B$12,Paramètres!$A$1:$I$89,3,0)*VLOOKUP('Données projet'!$B$12,Paramètres!$A$1:$I$89,5,0)</f>
        <v>-4.0702161641092972E-13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260.20517190557814</v>
      </c>
      <c r="CE121" s="59">
        <f t="shared" si="94"/>
        <v>307.22009971147133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0.57113710624446457</v>
      </c>
      <c r="CL121" s="21">
        <f>EXP(-LN(2)/25)*CL120+(1-EXP(-LN(2)/25))/(LN(2)/25)*Calculateur!CG121*Calculateur!CI121*VLOOKUP('Données projet'!$B$12,Paramètres!$A$1:$I$89,3,0)*0.475*44/12</f>
        <v>1.7887241210273208</v>
      </c>
      <c r="CM121" s="21">
        <f>EXP(-LN(2)/2)*CM120+(1-EXP(-LN(2)/2))/(LN(2)/2)*CG121*CJ121*VLOOKUP('Données projet'!$B$12,Paramètres!$A$1:$I$89,3,0)*0.475*44/12</f>
        <v>1.3664608930387934E-12</v>
      </c>
      <c r="CN121" s="22">
        <f t="shared" si="66"/>
        <v>2.3598612272731518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6.8461538461538511</v>
      </c>
      <c r="CT121" s="12">
        <f>IF('Données projet'!$A$140&gt;35,CT120+CS121-DB120,IF(A121&lt;'Données projet'!$A$140,$CQ$205^A121,IF(A121='Données projet'!$A$140,'Données projet'!$B$140,CT120+CS121-DB120)))</f>
        <v>350.49358974359006</v>
      </c>
      <c r="CU121" s="17">
        <f>CT121*VLOOKUP('Données projet'!$B$13,Paramètres!$A$1:$I$89,3,0)*VLOOKUP('Données projet'!$B$13,Paramètres!$A$1:$I$89,5,0)</f>
        <v>355.40050000000036</v>
      </c>
      <c r="CV121" s="13">
        <f t="shared" si="95"/>
        <v>82.673537340753484</v>
      </c>
      <c r="CW121" s="20">
        <f t="shared" si="67"/>
        <v>762.97894836847956</v>
      </c>
      <c r="CX121" s="59">
        <f t="shared" si="68"/>
        <v>1056.3122817018129</v>
      </c>
      <c r="CY121" s="59">
        <f ca="1">AVERAGE(OFFSET($CX$3,0,0,'Données projet'!$E$13+1,1))-AVERAGE(OFFSET($H$3,0,0,'Données projet'!$E$13+1,1))</f>
        <v>263.15518481854753</v>
      </c>
      <c r="CZ121" s="59">
        <f t="shared" si="96"/>
        <v>210.80755370263819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0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275.99999999999972</v>
      </c>
      <c r="DP121" s="17">
        <f>DO121*VLOOKUP('Données projet'!$B$14,Paramètres!$A$1:$I$89,3,0)*VLOOKUP('Données projet'!$B$14,Paramètres!$A$1:$I$89,5,0)</f>
        <v>223.8911999999998</v>
      </c>
      <c r="DQ121" s="13">
        <f t="shared" si="97"/>
        <v>54.95975389514858</v>
      </c>
      <c r="DR121" s="20">
        <f t="shared" si="70"/>
        <v>485.66541136738346</v>
      </c>
      <c r="DS121" s="59">
        <f t="shared" si="71"/>
        <v>778.99874470071677</v>
      </c>
      <c r="DT121" s="59">
        <f ca="1">AVERAGE(OFFSET($DS$3,0,0,'Données projet'!$E$14+1,1))-AVERAGE(OFFSET($H$3,0,0,'Données projet'!$E$14+1,1))</f>
        <v>203.21935660591021</v>
      </c>
      <c r="DU121" s="59">
        <f t="shared" si="98"/>
        <v>180.54762778843178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0.17548558114596566</v>
      </c>
      <c r="EB121" s="21">
        <f>EXP(-LN(2)/25)*EB120+(1-EXP(-LN(2)/25))/(LN(2)/25)*Calculateur!DW121*Calculateur!DY121*VLOOKUP('Données projet'!$B$14,Paramètres!$A$1:$I$89,3,0)*0.475*44/12</f>
        <v>0.50591719674244184</v>
      </c>
      <c r="EC121" s="21">
        <f>EXP(-LN(2)/2)*EC120+(1-EXP(-LN(2)/2))/(LN(2)/2)*DW121*DZ121*VLOOKUP('Données projet'!$B$14,Paramètres!$A$1:$I$89,3,0)*0.475*44/12</f>
        <v>5.1515397219531807E-13</v>
      </c>
      <c r="ED121" s="22">
        <f t="shared" si="72"/>
        <v>0.68140277788892267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-5.1159076974727213E-13</v>
      </c>
      <c r="EK121" s="17">
        <f>EJ121*VLOOKUP('Données projet'!$B$15,Paramètres!$A$1:$I$89,3,0)*VLOOKUP('Données projet'!$B$15,Paramètres!$A$1:$I$89,5,0)</f>
        <v>-3.4317508834647017E-13</v>
      </c>
      <c r="EL121" s="13" t="e">
        <f t="shared" si="99"/>
        <v>#NUM!</v>
      </c>
      <c r="EM121" s="20" t="e">
        <f t="shared" si="73"/>
        <v>#NUM!</v>
      </c>
      <c r="EN121" s="59" t="e">
        <f t="shared" si="74"/>
        <v>#NUM!</v>
      </c>
      <c r="EO121" s="59">
        <f ca="1">AVERAGE(OFFSET($EN$3,0,0,'Données projet'!$E$15+1,1))-AVERAGE(OFFSET($H$3,0,0,'Données projet'!$E$15+1,1))</f>
        <v>207.93042467236967</v>
      </c>
      <c r="EP121" s="59">
        <f t="shared" si="100"/>
        <v>250.70954318710835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0.48154697193160684</v>
      </c>
      <c r="EW121" s="21">
        <f>EXP(-LN(2)/25)*EW120+(1-EXP(-LN(2)/25))/(LN(2)/25)*Calculateur!ER121*Calculateur!ET121*VLOOKUP('Données projet'!$B$15,Paramètres!$A$1:$I$89,3,0)*0.475*44/12</f>
        <v>1.5081399451799005</v>
      </c>
      <c r="EX121" s="21">
        <f>EXP(-LN(2)/2)*EX120+(1-EXP(-LN(2)/2))/(LN(2)/2)*ER121*EU121*VLOOKUP('Données projet'!$B$15,Paramètres!$A$1:$I$89,3,0)*0.475*44/12</f>
        <v>1.1521140862876101E-12</v>
      </c>
      <c r="EY121" s="22">
        <f t="shared" si="75"/>
        <v>1.9896869171126594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-2.2737367544323206E-13</v>
      </c>
      <c r="O122" s="13">
        <f>N122*VLOOKUP('Données projet'!$B$9,Paramètres!$A$1:$I$89,3,0)*VLOOKUP('Données projet'!$B$9,Paramètres!$A$1:$I$89,5,0)</f>
        <v>-1.2710188457276673E-13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255.5374979188561</v>
      </c>
      <c r="T122" s="59">
        <f t="shared" si="88"/>
        <v>343.10418468620901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0.5302588744290031</v>
      </c>
      <c r="AA122" s="21">
        <f>EXP(-LN(2)/25)*AA121+(1-EXP(-LN(2)/25))/(LN(2)/25)*Calculateur!V122*Calculateur!X122*VLOOKUP('Données projet'!$B$9,Paramètres!$A$1:$I$89,3,0)*0.475*44/12</f>
        <v>1.3532347877067394</v>
      </c>
      <c r="AB122" s="21">
        <f>EXP(-LN(2)/2)*AB121+(1-EXP(-LN(2)/2))/(LN(2)/2)*V122*Y122*VLOOKUP('Données projet'!$B$9,Paramètres!$A$1:$I$89,3,0)*0.475*44/12</f>
        <v>6.803507878723172E-14</v>
      </c>
      <c r="AC122" s="22">
        <f t="shared" si="57"/>
        <v>1.8834936621358105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1.5961632016114892E-13</v>
      </c>
      <c r="AK122" s="13">
        <f t="shared" si="89"/>
        <v>2.2708641912150958E-12</v>
      </c>
      <c r="AL122" s="20">
        <f t="shared" si="58"/>
        <v>4.2330868906469593E-12</v>
      </c>
      <c r="AM122" s="59">
        <f t="shared" si="59"/>
        <v>293.33333333333752</v>
      </c>
      <c r="AN122" s="59">
        <f ca="1">AVERAGE(OFFSET($AM$3,0,0,'Données projet'!$E$10+1,1))-AVERAGE(OFFSET($H$3,0,0,'Données projet'!$E$10+1,1))</f>
        <v>158.58786357608489</v>
      </c>
      <c r="AO122" s="59">
        <f t="shared" si="90"/>
        <v>163.20074068819849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553.99999999999955</v>
      </c>
      <c r="BE122" s="13">
        <f>BD122*VLOOKUP('Données projet'!$B$11,Paramètres!$A$1:$I$89,3,0)*VLOOKUP('Données projet'!$B$11,Paramètres!$A$1:$I$89,5,0)</f>
        <v>331.29199999999975</v>
      </c>
      <c r="BF122" s="13">
        <f t="shared" si="91"/>
        <v>77.698110787752</v>
      </c>
      <c r="BG122" s="20">
        <f t="shared" si="61"/>
        <v>712.32444295533423</v>
      </c>
      <c r="BH122" s="59">
        <f t="shared" si="62"/>
        <v>1005.6577762886675</v>
      </c>
      <c r="BI122" s="59">
        <f ca="1">AVERAGE(OFFSET($BH$3,0,0,'Données projet'!$E$11+1,1))-AVERAGE(OFFSET($H$3,0,0,'Données projet'!$E$11+1,1))</f>
        <v>316.58509520829671</v>
      </c>
      <c r="BJ122" s="59">
        <f t="shared" si="92"/>
        <v>240.71332110643596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0.43493477036630168</v>
      </c>
      <c r="BQ122" s="21">
        <f>EXP(-LN(2)/25)*BQ121+(1-EXP(-LN(2)/25))/(LN(2)/25)*Calculateur!BL122*Calculateur!BN122*VLOOKUP('Données projet'!$B$11,Paramètres!$A$1:$I$89,3,0)*0.475*44/12</f>
        <v>1.2945334662696162</v>
      </c>
      <c r="BR122" s="21">
        <f>EXP(-LN(2)/2)*BR121+(1-EXP(-LN(2)/2))/(LN(2)/2)*BL122*BO122*VLOOKUP('Données projet'!$B$11,Paramètres!$A$1:$I$89,3,0)*0.475*44/12</f>
        <v>8.8183800583435312E-13</v>
      </c>
      <c r="BS122" s="22">
        <f t="shared" si="63"/>
        <v>1.7294682366367995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-5.1159076974727213E-13</v>
      </c>
      <c r="BZ122" s="13">
        <f>BY122*VLOOKUP('Données projet'!$B$12,Paramètres!$A$1:$I$89,3,0)*VLOOKUP('Données projet'!$B$12,Paramètres!$A$1:$I$89,5,0)</f>
        <v>-4.0702161641092972E-13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260.20517190557814</v>
      </c>
      <c r="CE122" s="59">
        <f t="shared" si="94"/>
        <v>307.22009971147133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0.5599374559502478</v>
      </c>
      <c r="CL122" s="21">
        <f>EXP(-LN(2)/25)*CL121+(1-EXP(-LN(2)/25))/(LN(2)/25)*Calculateur!CG122*Calculateur!CI122*VLOOKUP('Données projet'!$B$12,Paramètres!$A$1:$I$89,3,0)*0.475*44/12</f>
        <v>1.7398113658729153</v>
      </c>
      <c r="CM122" s="21">
        <f>EXP(-LN(2)/2)*CM121+(1-EXP(-LN(2)/2))/(LN(2)/2)*CG122*CJ122*VLOOKUP('Données projet'!$B$12,Paramètres!$A$1:$I$89,3,0)*0.475*44/12</f>
        <v>9.6623376369395642E-13</v>
      </c>
      <c r="CN122" s="22">
        <f t="shared" si="66"/>
        <v>2.2997488218241293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>
        <f>VLOOKUP(A122,'Données projet'!$A$139:$I$159,2,0)</f>
        <v>357.33974358974359</v>
      </c>
      <c r="CR122" s="12">
        <f>VLOOKUP(A122,'Données projet'!$A$139:$I$159,9,0)</f>
        <v>6.8461538461538511</v>
      </c>
      <c r="CS122" s="12">
        <f t="array" ref="CS122">INDEX(CR:CR,MIN(IF(ISNUMBER(CR122:CR318),ROW(CR122:CR318),"")))</f>
        <v>6.8461538461538511</v>
      </c>
      <c r="CT122" s="12">
        <f>IF('Données projet'!$A$140&gt;35,CT121+CS122-DB121,IF(A122&lt;'Données projet'!$A$140,$CQ$205^A122,IF(A122='Données projet'!$A$140,'Données projet'!$B$140,CT121+CS122-DB121)))</f>
        <v>357.33974358974393</v>
      </c>
      <c r="CU122" s="17">
        <f>CT122*VLOOKUP('Données projet'!$B$13,Paramètres!$A$1:$I$89,3,0)*VLOOKUP('Données projet'!$B$13,Paramètres!$A$1:$I$89,5,0)</f>
        <v>362.34250000000037</v>
      </c>
      <c r="CV122" s="13">
        <f t="shared" si="95"/>
        <v>84.098811348867258</v>
      </c>
      <c r="CW122" s="20">
        <f t="shared" si="67"/>
        <v>777.5519505992778</v>
      </c>
      <c r="CX122" s="59">
        <f t="shared" si="68"/>
        <v>1070.8852839326112</v>
      </c>
      <c r="CY122" s="59">
        <f ca="1">AVERAGE(OFFSET($CX$3,0,0,'Données projet'!$E$13+1,1))-AVERAGE(OFFSET($H$3,0,0,'Données projet'!$E$13+1,1))</f>
        <v>263.15518481854753</v>
      </c>
      <c r="CZ122" s="59">
        <f t="shared" si="96"/>
        <v>210.80755370263819</v>
      </c>
      <c r="DA122" s="15">
        <f>IF(ISNA(VLOOKUP(A122,'Données projet'!$A$139:$I$159,3,0)),0,VLOOKUP(A122,'Données projet'!$A$139:$I$159,3,0))</f>
        <v>11</v>
      </c>
      <c r="DB122" s="15">
        <f>IF(ISNA(VLOOKUP(A122,'Données projet'!$A$139:$I$159,4,0)),0,VLOOKUP(A122,'Données projet'!$A$139:$I$159,4,0))</f>
        <v>150.02564102564102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0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275.99999999999972</v>
      </c>
      <c r="DP122" s="17">
        <f>DO122*VLOOKUP('Données projet'!$B$14,Paramètres!$A$1:$I$89,3,0)*VLOOKUP('Données projet'!$B$14,Paramètres!$A$1:$I$89,5,0)</f>
        <v>223.8911999999998</v>
      </c>
      <c r="DQ122" s="13">
        <f t="shared" si="97"/>
        <v>54.95975389514858</v>
      </c>
      <c r="DR122" s="20">
        <f t="shared" si="70"/>
        <v>485.66541136738346</v>
      </c>
      <c r="DS122" s="59">
        <f t="shared" si="71"/>
        <v>778.99874470071677</v>
      </c>
      <c r="DT122" s="59">
        <f ca="1">AVERAGE(OFFSET($DS$3,0,0,'Données projet'!$E$14+1,1))-AVERAGE(OFFSET($H$3,0,0,'Données projet'!$E$14+1,1))</f>
        <v>203.21935660591021</v>
      </c>
      <c r="DU122" s="59">
        <f t="shared" si="98"/>
        <v>180.54762778843178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0.17204441593532888</v>
      </c>
      <c r="EB122" s="21">
        <f>EXP(-LN(2)/25)*EB121+(1-EXP(-LN(2)/25))/(LN(2)/25)*Calculateur!DW122*Calculateur!DY122*VLOOKUP('Données projet'!$B$14,Paramètres!$A$1:$I$89,3,0)*0.475*44/12</f>
        <v>0.49208286439249066</v>
      </c>
      <c r="EC122" s="21">
        <f>EXP(-LN(2)/2)*EC121+(1-EXP(-LN(2)/2))/(LN(2)/2)*DW122*DZ122*VLOOKUP('Données projet'!$B$14,Paramètres!$A$1:$I$89,3,0)*0.475*44/12</f>
        <v>3.6426886709449557E-13</v>
      </c>
      <c r="ED122" s="22">
        <f t="shared" si="72"/>
        <v>0.6641272803281838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-5.1159076974727213E-13</v>
      </c>
      <c r="EK122" s="17">
        <f>EJ122*VLOOKUP('Données projet'!$B$15,Paramètres!$A$1:$I$89,3,0)*VLOOKUP('Données projet'!$B$15,Paramètres!$A$1:$I$89,5,0)</f>
        <v>-3.4317508834647017E-13</v>
      </c>
      <c r="EL122" s="13" t="e">
        <f t="shared" si="99"/>
        <v>#NUM!</v>
      </c>
      <c r="EM122" s="20" t="e">
        <f t="shared" si="73"/>
        <v>#NUM!</v>
      </c>
      <c r="EN122" s="59" t="e">
        <f t="shared" si="74"/>
        <v>#NUM!</v>
      </c>
      <c r="EO122" s="59">
        <f ca="1">AVERAGE(OFFSET($EN$3,0,0,'Données projet'!$E$15+1,1))-AVERAGE(OFFSET($H$3,0,0,'Données projet'!$E$15+1,1))</f>
        <v>207.93042467236967</v>
      </c>
      <c r="EP122" s="59">
        <f t="shared" si="100"/>
        <v>250.70954318710835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0.47210412952667902</v>
      </c>
      <c r="EW122" s="21">
        <f>EXP(-LN(2)/25)*EW121+(1-EXP(-LN(2)/25))/(LN(2)/25)*Calculateur!ER122*Calculateur!ET122*VLOOKUP('Données projet'!$B$15,Paramètres!$A$1:$I$89,3,0)*0.475*44/12</f>
        <v>1.4668997790693232</v>
      </c>
      <c r="EX122" s="21">
        <f>EXP(-LN(2)/2)*EX121+(1-EXP(-LN(2)/2))/(LN(2)/2)*ER122*EU122*VLOOKUP('Données projet'!$B$15,Paramètres!$A$1:$I$89,3,0)*0.475*44/12</f>
        <v>8.1466768311451223E-13</v>
      </c>
      <c r="EY122" s="22">
        <f t="shared" si="75"/>
        <v>1.9390039085968169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-2.2737367544323206E-13</v>
      </c>
      <c r="O123" s="13">
        <f>N123*VLOOKUP('Données projet'!$B$9,Paramètres!$A$1:$I$89,3,0)*VLOOKUP('Données projet'!$B$9,Paramètres!$A$1:$I$89,5,0)</f>
        <v>-1.2710188457276673E-13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255.5374979188561</v>
      </c>
      <c r="T123" s="59">
        <f t="shared" si="88"/>
        <v>343.10418468620901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0.51986082132742806</v>
      </c>
      <c r="AA123" s="21">
        <f>EXP(-LN(2)/25)*AA122+(1-EXP(-LN(2)/25))/(LN(2)/25)*Calculateur!V123*Calculateur!X123*VLOOKUP('Données projet'!$B$9,Paramètres!$A$1:$I$89,3,0)*0.475*44/12</f>
        <v>1.3162305112733741</v>
      </c>
      <c r="AB123" s="21">
        <f>EXP(-LN(2)/2)*AB122+(1-EXP(-LN(2)/2))/(LN(2)/2)*V123*Y123*VLOOKUP('Données projet'!$B$9,Paramètres!$A$1:$I$89,3,0)*0.475*44/12</f>
        <v>4.8108065569012582E-14</v>
      </c>
      <c r="AC123" s="22">
        <f t="shared" si="57"/>
        <v>1.8360913326008503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1.5961632016114892E-13</v>
      </c>
      <c r="AK123" s="13">
        <f t="shared" si="89"/>
        <v>2.2708641912150958E-12</v>
      </c>
      <c r="AL123" s="20">
        <f t="shared" si="58"/>
        <v>4.2330868906469593E-12</v>
      </c>
      <c r="AM123" s="59">
        <f t="shared" si="59"/>
        <v>293.33333333333752</v>
      </c>
      <c r="AN123" s="59">
        <f ca="1">AVERAGE(OFFSET($AM$3,0,0,'Données projet'!$E$10+1,1))-AVERAGE(OFFSET($H$3,0,0,'Données projet'!$E$10+1,1))</f>
        <v>158.58786357608489</v>
      </c>
      <c r="AO123" s="59">
        <f t="shared" si="90"/>
        <v>163.20074068819849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553.99999999999955</v>
      </c>
      <c r="BE123" s="13">
        <f>BD123*VLOOKUP('Données projet'!$B$11,Paramètres!$A$1:$I$89,3,0)*VLOOKUP('Données projet'!$B$11,Paramètres!$A$1:$I$89,5,0)</f>
        <v>331.29199999999975</v>
      </c>
      <c r="BF123" s="13">
        <f t="shared" si="91"/>
        <v>77.698110787752</v>
      </c>
      <c r="BG123" s="20">
        <f t="shared" si="61"/>
        <v>712.32444295533423</v>
      </c>
      <c r="BH123" s="59">
        <f t="shared" si="62"/>
        <v>1005.6577762886675</v>
      </c>
      <c r="BI123" s="59">
        <f ca="1">AVERAGE(OFFSET($BH$3,0,0,'Données projet'!$E$11+1,1))-AVERAGE(OFFSET($H$3,0,0,'Données projet'!$E$11+1,1))</f>
        <v>316.58509520829671</v>
      </c>
      <c r="BJ123" s="59">
        <f t="shared" si="92"/>
        <v>240.71332110643596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0.42640596480343379</v>
      </c>
      <c r="BQ123" s="21">
        <f>EXP(-LN(2)/25)*BQ122+(1-EXP(-LN(2)/25))/(LN(2)/25)*Calculateur!BL123*Calculateur!BN123*VLOOKUP('Données projet'!$B$11,Paramètres!$A$1:$I$89,3,0)*0.475*44/12</f>
        <v>1.2591343805579172</v>
      </c>
      <c r="BR123" s="21">
        <f>EXP(-LN(2)/2)*BR122+(1-EXP(-LN(2)/2))/(LN(2)/2)*BL123*BO123*VLOOKUP('Données projet'!$B$11,Paramètres!$A$1:$I$89,3,0)*0.475*44/12</f>
        <v>6.2355363383349334E-13</v>
      </c>
      <c r="BS123" s="22">
        <f t="shared" si="63"/>
        <v>1.6855403453619744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-5.1159076974727213E-13</v>
      </c>
      <c r="BZ123" s="13">
        <f>BY123*VLOOKUP('Données projet'!$B$12,Paramètres!$A$1:$I$89,3,0)*VLOOKUP('Données projet'!$B$12,Paramètres!$A$1:$I$89,5,0)</f>
        <v>-4.0702161641092972E-13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260.20517190557814</v>
      </c>
      <c r="CE123" s="59">
        <f t="shared" si="94"/>
        <v>307.22009971147133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0.5489574239671885</v>
      </c>
      <c r="CL123" s="21">
        <f>EXP(-LN(2)/25)*CL122+(1-EXP(-LN(2)/25))/(LN(2)/25)*Calculateur!CG123*Calculateur!CI123*VLOOKUP('Données projet'!$B$12,Paramètres!$A$1:$I$89,3,0)*0.475*44/12</f>
        <v>1.6922361325804172</v>
      </c>
      <c r="CM123" s="21">
        <f>EXP(-LN(2)/2)*CM122+(1-EXP(-LN(2)/2))/(LN(2)/2)*CG123*CJ123*VLOOKUP('Données projet'!$B$12,Paramètres!$A$1:$I$89,3,0)*0.475*44/12</f>
        <v>6.8323044651939671E-13</v>
      </c>
      <c r="CN123" s="22">
        <f t="shared" si="66"/>
        <v>2.2411935565482888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3.8301282051282044</v>
      </c>
      <c r="CT123" s="12">
        <f>IF('Données projet'!$A$140&gt;35,CT122+CS123-DB122,IF(A123&lt;'Données projet'!$A$140,$CQ$205^A123,IF(A123='Données projet'!$A$140,'Données projet'!$B$140,CT122+CS123-DB122)))</f>
        <v>211.14423076923114</v>
      </c>
      <c r="CU123" s="17">
        <f>CT123*VLOOKUP('Données projet'!$B$13,Paramètres!$A$1:$I$89,3,0)*VLOOKUP('Données projet'!$B$13,Paramètres!$A$1:$I$89,5,0)</f>
        <v>214.10025000000041</v>
      </c>
      <c r="CV123" s="13">
        <f t="shared" si="95"/>
        <v>52.83058262367053</v>
      </c>
      <c r="CW123" s="20">
        <f t="shared" si="67"/>
        <v>464.90453348622685</v>
      </c>
      <c r="CX123" s="59">
        <f t="shared" si="68"/>
        <v>758.23786681956017</v>
      </c>
      <c r="CY123" s="59">
        <f ca="1">AVERAGE(OFFSET($CX$3,0,0,'Données projet'!$E$13+1,1))-AVERAGE(OFFSET($H$3,0,0,'Données projet'!$E$13+1,1))</f>
        <v>263.15518481854753</v>
      </c>
      <c r="CZ123" s="59">
        <f t="shared" si="96"/>
        <v>210.80755370263819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0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275.99999999999972</v>
      </c>
      <c r="DP123" s="17">
        <f>DO123*VLOOKUP('Données projet'!$B$14,Paramètres!$A$1:$I$89,3,0)*VLOOKUP('Données projet'!$B$14,Paramètres!$A$1:$I$89,5,0)</f>
        <v>223.8911999999998</v>
      </c>
      <c r="DQ123" s="13">
        <f t="shared" si="97"/>
        <v>54.95975389514858</v>
      </c>
      <c r="DR123" s="20">
        <f t="shared" si="70"/>
        <v>485.66541136738346</v>
      </c>
      <c r="DS123" s="59">
        <f t="shared" si="71"/>
        <v>778.99874470071677</v>
      </c>
      <c r="DT123" s="59">
        <f ca="1">AVERAGE(OFFSET($DS$3,0,0,'Données projet'!$E$14+1,1))-AVERAGE(OFFSET($H$3,0,0,'Données projet'!$E$14+1,1))</f>
        <v>203.21935660591021</v>
      </c>
      <c r="DU123" s="59">
        <f t="shared" si="98"/>
        <v>180.54762778843178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0.16867072987556916</v>
      </c>
      <c r="EB123" s="21">
        <f>EXP(-LN(2)/25)*EB122+(1-EXP(-LN(2)/25))/(LN(2)/25)*Calculateur!DW123*Calculateur!DY123*VLOOKUP('Données projet'!$B$14,Paramètres!$A$1:$I$89,3,0)*0.475*44/12</f>
        <v>0.47862683258816485</v>
      </c>
      <c r="EC123" s="21">
        <f>EXP(-LN(2)/2)*EC122+(1-EXP(-LN(2)/2))/(LN(2)/2)*DW123*DZ123*VLOOKUP('Données projet'!$B$14,Paramètres!$A$1:$I$89,3,0)*0.475*44/12</f>
        <v>2.5757698609765904E-13</v>
      </c>
      <c r="ED123" s="22">
        <f t="shared" si="72"/>
        <v>0.64729756246399162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-5.1159076974727213E-13</v>
      </c>
      <c r="EK123" s="17">
        <f>EJ123*VLOOKUP('Données projet'!$B$15,Paramètres!$A$1:$I$89,3,0)*VLOOKUP('Données projet'!$B$15,Paramètres!$A$1:$I$89,5,0)</f>
        <v>-3.4317508834647017E-13</v>
      </c>
      <c r="EL123" s="13" t="e">
        <f t="shared" si="99"/>
        <v>#NUM!</v>
      </c>
      <c r="EM123" s="20" t="e">
        <f t="shared" si="73"/>
        <v>#NUM!</v>
      </c>
      <c r="EN123" s="59" t="e">
        <f t="shared" si="74"/>
        <v>#NUM!</v>
      </c>
      <c r="EO123" s="59">
        <f ca="1">AVERAGE(OFFSET($EN$3,0,0,'Données projet'!$E$15+1,1))-AVERAGE(OFFSET($H$3,0,0,'Données projet'!$E$15+1,1))</f>
        <v>207.93042467236967</v>
      </c>
      <c r="EP123" s="59">
        <f t="shared" si="100"/>
        <v>250.70954318710835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0.46284645550174663</v>
      </c>
      <c r="EW123" s="21">
        <f>EXP(-LN(2)/25)*EW122+(1-EXP(-LN(2)/25))/(LN(2)/25)*Calculateur!ER123*Calculateur!ET123*VLOOKUP('Données projet'!$B$15,Paramètres!$A$1:$I$89,3,0)*0.475*44/12</f>
        <v>1.4267873274697658</v>
      </c>
      <c r="EX123" s="21">
        <f>EXP(-LN(2)/2)*EX122+(1-EXP(-LN(2)/2))/(LN(2)/2)*ER123*EU123*VLOOKUP('Données projet'!$B$15,Paramètres!$A$1:$I$89,3,0)*0.475*44/12</f>
        <v>5.7605704314380503E-13</v>
      </c>
      <c r="EY123" s="22">
        <f t="shared" si="75"/>
        <v>1.8896337829720884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-2.2737367544323206E-13</v>
      </c>
      <c r="O124" s="13">
        <f>N124*VLOOKUP('Données projet'!$B$9,Paramètres!$A$1:$I$89,3,0)*VLOOKUP('Données projet'!$B$9,Paramètres!$A$1:$I$89,5,0)</f>
        <v>-1.2710188457276673E-13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255.5374979188561</v>
      </c>
      <c r="T124" s="59">
        <f t="shared" si="88"/>
        <v>343.10418468620901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0.50966666770498881</v>
      </c>
      <c r="AA124" s="21">
        <f>EXP(-LN(2)/25)*AA123+(1-EXP(-LN(2)/25))/(LN(2)/25)*Calculateur!V124*Calculateur!X124*VLOOKUP('Données projet'!$B$9,Paramètres!$A$1:$I$89,3,0)*0.475*44/12</f>
        <v>1.2802381187250493</v>
      </c>
      <c r="AB124" s="21">
        <f>EXP(-LN(2)/2)*AB123+(1-EXP(-LN(2)/2))/(LN(2)/2)*V124*Y124*VLOOKUP('Données projet'!$B$9,Paramètres!$A$1:$I$89,3,0)*0.475*44/12</f>
        <v>3.401753939361586E-14</v>
      </c>
      <c r="AC124" s="22">
        <f t="shared" si="57"/>
        <v>1.7899047864300721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1.5961632016114892E-13</v>
      </c>
      <c r="AK124" s="13">
        <f t="shared" si="89"/>
        <v>2.2708641912150958E-12</v>
      </c>
      <c r="AL124" s="20">
        <f t="shared" si="58"/>
        <v>4.2330868906469593E-12</v>
      </c>
      <c r="AM124" s="59">
        <f t="shared" si="59"/>
        <v>293.33333333333752</v>
      </c>
      <c r="AN124" s="59">
        <f ca="1">AVERAGE(OFFSET($AM$3,0,0,'Données projet'!$E$10+1,1))-AVERAGE(OFFSET($H$3,0,0,'Données projet'!$E$10+1,1))</f>
        <v>158.58786357608489</v>
      </c>
      <c r="AO124" s="59">
        <f t="shared" si="90"/>
        <v>163.20074068819849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553.99999999999955</v>
      </c>
      <c r="BE124" s="13">
        <f>BD124*VLOOKUP('Données projet'!$B$11,Paramètres!$A$1:$I$89,3,0)*VLOOKUP('Données projet'!$B$11,Paramètres!$A$1:$I$89,5,0)</f>
        <v>331.29199999999975</v>
      </c>
      <c r="BF124" s="13">
        <f t="shared" si="91"/>
        <v>77.698110787752</v>
      </c>
      <c r="BG124" s="20">
        <f t="shared" si="61"/>
        <v>712.32444295533423</v>
      </c>
      <c r="BH124" s="59">
        <f t="shared" si="62"/>
        <v>1005.6577762886675</v>
      </c>
      <c r="BI124" s="59">
        <f ca="1">AVERAGE(OFFSET($BH$3,0,0,'Données projet'!$E$11+1,1))-AVERAGE(OFFSET($H$3,0,0,'Données projet'!$E$11+1,1))</f>
        <v>316.58509520829671</v>
      </c>
      <c r="BJ124" s="59">
        <f t="shared" si="92"/>
        <v>240.71332110643596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0.418044403915596</v>
      </c>
      <c r="BQ124" s="21">
        <f>EXP(-LN(2)/25)*BQ123+(1-EXP(-LN(2)/25))/(LN(2)/25)*Calculateur!BL124*Calculateur!BN124*VLOOKUP('Données projet'!$B$11,Paramètres!$A$1:$I$89,3,0)*0.475*44/12</f>
        <v>1.2247032847065615</v>
      </c>
      <c r="BR124" s="21">
        <f>EXP(-LN(2)/2)*BR123+(1-EXP(-LN(2)/2))/(LN(2)/2)*BL124*BO124*VLOOKUP('Données projet'!$B$11,Paramètres!$A$1:$I$89,3,0)*0.475*44/12</f>
        <v>4.4091900291717656E-13</v>
      </c>
      <c r="BS124" s="22">
        <f t="shared" si="63"/>
        <v>1.6427476886225985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-5.1159076974727213E-13</v>
      </c>
      <c r="BZ124" s="13">
        <f>BY124*VLOOKUP('Données projet'!$B$12,Paramètres!$A$1:$I$89,3,0)*VLOOKUP('Données projet'!$B$12,Paramètres!$A$1:$I$89,5,0)</f>
        <v>-4.0702161641092972E-13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260.20517190557814</v>
      </c>
      <c r="CE124" s="59">
        <f t="shared" si="94"/>
        <v>307.22009971147133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0.53819270371415873</v>
      </c>
      <c r="CL124" s="21">
        <f>EXP(-LN(2)/25)*CL123+(1-EXP(-LN(2)/25))/(LN(2)/25)*Calculateur!CG124*Calculateur!CI124*VLOOKUP('Données projet'!$B$12,Paramètres!$A$1:$I$89,3,0)*0.475*44/12</f>
        <v>1.6459618465441752</v>
      </c>
      <c r="CM124" s="21">
        <f>EXP(-LN(2)/2)*CM123+(1-EXP(-LN(2)/2))/(LN(2)/2)*CG124*CJ124*VLOOKUP('Données projet'!$B$12,Paramètres!$A$1:$I$89,3,0)*0.475*44/12</f>
        <v>4.8311688184697821E-13</v>
      </c>
      <c r="CN124" s="22">
        <f t="shared" si="66"/>
        <v>2.1841545502588171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3.8301282051282044</v>
      </c>
      <c r="CT124" s="12">
        <f>IF('Données projet'!$A$140&gt;35,CT123+CS124-DB123,IF(A124&lt;'Données projet'!$A$140,$CQ$205^A124,IF(A124='Données projet'!$A$140,'Données projet'!$B$140,CT123+CS124-DB123)))</f>
        <v>214.97435897435935</v>
      </c>
      <c r="CU124" s="17">
        <f>CT124*VLOOKUP('Données projet'!$B$13,Paramètres!$A$1:$I$89,3,0)*VLOOKUP('Données projet'!$B$13,Paramètres!$A$1:$I$89,5,0)</f>
        <v>217.98400000000038</v>
      </c>
      <c r="CV124" s="13">
        <f t="shared" si="95"/>
        <v>53.67648359532749</v>
      </c>
      <c r="CW124" s="20">
        <f t="shared" si="67"/>
        <v>473.14200892852932</v>
      </c>
      <c r="CX124" s="59">
        <f t="shared" si="68"/>
        <v>766.47534226186258</v>
      </c>
      <c r="CY124" s="59">
        <f ca="1">AVERAGE(OFFSET($CX$3,0,0,'Données projet'!$E$13+1,1))-AVERAGE(OFFSET($H$3,0,0,'Données projet'!$E$13+1,1))</f>
        <v>263.15518481854753</v>
      </c>
      <c r="CZ124" s="59">
        <f t="shared" si="96"/>
        <v>210.80755370263819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0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275.99999999999972</v>
      </c>
      <c r="DP124" s="17">
        <f>DO124*VLOOKUP('Données projet'!$B$14,Paramètres!$A$1:$I$89,3,0)*VLOOKUP('Données projet'!$B$14,Paramètres!$A$1:$I$89,5,0)</f>
        <v>223.8911999999998</v>
      </c>
      <c r="DQ124" s="13">
        <f t="shared" si="97"/>
        <v>54.95975389514858</v>
      </c>
      <c r="DR124" s="20">
        <f t="shared" si="70"/>
        <v>485.66541136738346</v>
      </c>
      <c r="DS124" s="59">
        <f t="shared" si="71"/>
        <v>778.99874470071677</v>
      </c>
      <c r="DT124" s="59">
        <f ca="1">AVERAGE(OFFSET($DS$3,0,0,'Données projet'!$E$14+1,1))-AVERAGE(OFFSET($H$3,0,0,'Données projet'!$E$14+1,1))</f>
        <v>203.21935660591021</v>
      </c>
      <c r="DU124" s="59">
        <f t="shared" si="98"/>
        <v>180.54762778843178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0.16536319974169603</v>
      </c>
      <c r="EB124" s="21">
        <f>EXP(-LN(2)/25)*EB123+(1-EXP(-LN(2)/25))/(LN(2)/25)*Calculateur!DW124*Calculateur!DY124*VLOOKUP('Données projet'!$B$14,Paramètres!$A$1:$I$89,3,0)*0.475*44/12</f>
        <v>0.4655387566811503</v>
      </c>
      <c r="EC124" s="21">
        <f>EXP(-LN(2)/2)*EC123+(1-EXP(-LN(2)/2))/(LN(2)/2)*DW124*DZ124*VLOOKUP('Données projet'!$B$14,Paramètres!$A$1:$I$89,3,0)*0.475*44/12</f>
        <v>1.8213443354724779E-13</v>
      </c>
      <c r="ED124" s="22">
        <f t="shared" si="72"/>
        <v>0.63090195642302849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-5.1159076974727213E-13</v>
      </c>
      <c r="EK124" s="17">
        <f>EJ124*VLOOKUP('Données projet'!$B$15,Paramètres!$A$1:$I$89,3,0)*VLOOKUP('Données projet'!$B$15,Paramètres!$A$1:$I$89,5,0)</f>
        <v>-3.4317508834647017E-13</v>
      </c>
      <c r="EL124" s="13" t="e">
        <f t="shared" si="99"/>
        <v>#NUM!</v>
      </c>
      <c r="EM124" s="20" t="e">
        <f t="shared" si="73"/>
        <v>#NUM!</v>
      </c>
      <c r="EN124" s="59" t="e">
        <f t="shared" si="74"/>
        <v>#NUM!</v>
      </c>
      <c r="EO124" s="59">
        <f ca="1">AVERAGE(OFFSET($EN$3,0,0,'Données projet'!$E$15+1,1))-AVERAGE(OFFSET($H$3,0,0,'Données projet'!$E$15+1,1))</f>
        <v>207.93042467236967</v>
      </c>
      <c r="EP124" s="59">
        <f t="shared" si="100"/>
        <v>250.70954318710835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0.4537703188178196</v>
      </c>
      <c r="EW124" s="21">
        <f>EXP(-LN(2)/25)*EW123+(1-EXP(-LN(2)/25))/(LN(2)/25)*Calculateur!ER124*Calculateur!ET124*VLOOKUP('Données projet'!$B$15,Paramètres!$A$1:$I$89,3,0)*0.475*44/12</f>
        <v>1.3877717529686204</v>
      </c>
      <c r="EX124" s="21">
        <f>EXP(-LN(2)/2)*EX123+(1-EXP(-LN(2)/2))/(LN(2)/2)*ER124*EU124*VLOOKUP('Données projet'!$B$15,Paramètres!$A$1:$I$89,3,0)*0.475*44/12</f>
        <v>4.0733384155725612E-13</v>
      </c>
      <c r="EY124" s="22">
        <f t="shared" si="75"/>
        <v>1.8415420717868471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-2.2737367544323206E-13</v>
      </c>
      <c r="O125" s="13">
        <f>N125*VLOOKUP('Données projet'!$B$9,Paramètres!$A$1:$I$89,3,0)*VLOOKUP('Données projet'!$B$9,Paramètres!$A$1:$I$89,5,0)</f>
        <v>-1.2710188457276673E-13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255.5374979188561</v>
      </c>
      <c r="T125" s="59">
        <f t="shared" si="88"/>
        <v>343.10418468620901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0.4996724152172658</v>
      </c>
      <c r="AA125" s="21">
        <f>EXP(-LN(2)/25)*AA124+(1-EXP(-LN(2)/25))/(LN(2)/25)*Calculateur!V125*Calculateur!X125*VLOOKUP('Données projet'!$B$9,Paramètres!$A$1:$I$89,3,0)*0.475*44/12</f>
        <v>1.2452299400437161</v>
      </c>
      <c r="AB125" s="21">
        <f>EXP(-LN(2)/2)*AB124+(1-EXP(-LN(2)/2))/(LN(2)/2)*V125*Y125*VLOOKUP('Données projet'!$B$9,Paramètres!$A$1:$I$89,3,0)*0.475*44/12</f>
        <v>2.4054032784506291E-14</v>
      </c>
      <c r="AC125" s="22">
        <f t="shared" si="57"/>
        <v>1.7449023552610059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1.5961632016114892E-13</v>
      </c>
      <c r="AK125" s="13">
        <f t="shared" si="89"/>
        <v>2.2708641912150958E-12</v>
      </c>
      <c r="AL125" s="20">
        <f t="shared" si="58"/>
        <v>4.2330868906469593E-12</v>
      </c>
      <c r="AM125" s="59">
        <f t="shared" si="59"/>
        <v>293.33333333333752</v>
      </c>
      <c r="AN125" s="59">
        <f ca="1">AVERAGE(OFFSET($AM$3,0,0,'Données projet'!$E$10+1,1))-AVERAGE(OFFSET($H$3,0,0,'Données projet'!$E$10+1,1))</f>
        <v>158.58786357608489</v>
      </c>
      <c r="AO125" s="59">
        <f t="shared" si="90"/>
        <v>163.20074068819849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553.99999999999955</v>
      </c>
      <c r="BE125" s="13">
        <f>BD125*VLOOKUP('Données projet'!$B$11,Paramètres!$A$1:$I$89,3,0)*VLOOKUP('Données projet'!$B$11,Paramètres!$A$1:$I$89,5,0)</f>
        <v>331.29199999999975</v>
      </c>
      <c r="BF125" s="13">
        <f t="shared" si="91"/>
        <v>77.698110787752</v>
      </c>
      <c r="BG125" s="20">
        <f t="shared" si="61"/>
        <v>712.32444295533423</v>
      </c>
      <c r="BH125" s="59">
        <f t="shared" si="62"/>
        <v>1005.6577762886675</v>
      </c>
      <c r="BI125" s="59">
        <f ca="1">AVERAGE(OFFSET($BH$3,0,0,'Données projet'!$E$11+1,1))-AVERAGE(OFFSET($H$3,0,0,'Données projet'!$E$11+1,1))</f>
        <v>316.58509520829671</v>
      </c>
      <c r="BJ125" s="59">
        <f t="shared" si="92"/>
        <v>240.71332110643596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0.4098468081367202</v>
      </c>
      <c r="BQ125" s="21">
        <f>EXP(-LN(2)/25)*BQ124+(1-EXP(-LN(2)/25))/(LN(2)/25)*Calculateur!BL125*Calculateur!BN125*VLOOKUP('Données projet'!$B$11,Paramètres!$A$1:$I$89,3,0)*0.475*44/12</f>
        <v>1.1912137089819139</v>
      </c>
      <c r="BR125" s="21">
        <f>EXP(-LN(2)/2)*BR124+(1-EXP(-LN(2)/2))/(LN(2)/2)*BL125*BO125*VLOOKUP('Données projet'!$B$11,Paramètres!$A$1:$I$89,3,0)*0.475*44/12</f>
        <v>3.1177681691674667E-13</v>
      </c>
      <c r="BS125" s="22">
        <f t="shared" si="63"/>
        <v>1.6010605171189458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-5.1159076974727213E-13</v>
      </c>
      <c r="BZ125" s="13">
        <f>BY125*VLOOKUP('Données projet'!$B$12,Paramètres!$A$1:$I$89,3,0)*VLOOKUP('Données projet'!$B$12,Paramètres!$A$1:$I$89,5,0)</f>
        <v>-4.0702161641092972E-13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260.20517190557814</v>
      </c>
      <c r="CE125" s="59">
        <f t="shared" si="94"/>
        <v>307.22009971147133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0.5276390730594599</v>
      </c>
      <c r="CL125" s="21">
        <f>EXP(-LN(2)/25)*CL124+(1-EXP(-LN(2)/25))/(LN(2)/25)*Calculateur!CG125*Calculateur!CI125*VLOOKUP('Données projet'!$B$12,Paramètres!$A$1:$I$89,3,0)*0.475*44/12</f>
        <v>1.6009529332930532</v>
      </c>
      <c r="CM125" s="21">
        <f>EXP(-LN(2)/2)*CM124+(1-EXP(-LN(2)/2))/(LN(2)/2)*CG125*CJ125*VLOOKUP('Données projet'!$B$12,Paramètres!$A$1:$I$89,3,0)*0.475*44/12</f>
        <v>3.4161522325969836E-13</v>
      </c>
      <c r="CN125" s="22">
        <f t="shared" si="66"/>
        <v>2.1285920063528545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3.8301282051282044</v>
      </c>
      <c r="CT125" s="12">
        <f>IF('Données projet'!$A$140&gt;35,CT124+CS125-DB124,IF(A125&lt;'Données projet'!$A$140,$CQ$205^A125,IF(A125='Données projet'!$A$140,'Données projet'!$B$140,CT124+CS125-DB124)))</f>
        <v>218.80448717948755</v>
      </c>
      <c r="CU125" s="17">
        <f>CT125*VLOOKUP('Données projet'!$B$13,Paramètres!$A$1:$I$89,3,0)*VLOOKUP('Données projet'!$B$13,Paramètres!$A$1:$I$89,5,0)</f>
        <v>221.8677500000004</v>
      </c>
      <c r="CV125" s="13">
        <f t="shared" si="95"/>
        <v>54.520632005800415</v>
      </c>
      <c r="CW125" s="20">
        <f t="shared" si="67"/>
        <v>481.37643199343637</v>
      </c>
      <c r="CX125" s="59">
        <f t="shared" si="68"/>
        <v>774.70976532676968</v>
      </c>
      <c r="CY125" s="59">
        <f ca="1">AVERAGE(OFFSET($CX$3,0,0,'Données projet'!$E$13+1,1))-AVERAGE(OFFSET($H$3,0,0,'Données projet'!$E$13+1,1))</f>
        <v>263.15518481854753</v>
      </c>
      <c r="CZ125" s="59">
        <f t="shared" si="96"/>
        <v>210.80755370263819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0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275.99999999999972</v>
      </c>
      <c r="DP125" s="17">
        <f>DO125*VLOOKUP('Données projet'!$B$14,Paramètres!$A$1:$I$89,3,0)*VLOOKUP('Données projet'!$B$14,Paramètres!$A$1:$I$89,5,0)</f>
        <v>223.8911999999998</v>
      </c>
      <c r="DQ125" s="13">
        <f t="shared" si="97"/>
        <v>54.95975389514858</v>
      </c>
      <c r="DR125" s="20">
        <f t="shared" si="70"/>
        <v>485.66541136738346</v>
      </c>
      <c r="DS125" s="59">
        <f t="shared" si="71"/>
        <v>778.99874470071677</v>
      </c>
      <c r="DT125" s="59">
        <f ca="1">AVERAGE(OFFSET($DS$3,0,0,'Données projet'!$E$14+1,1))-AVERAGE(OFFSET($H$3,0,0,'Données projet'!$E$14+1,1))</f>
        <v>203.21935660591021</v>
      </c>
      <c r="DU125" s="59">
        <f t="shared" si="98"/>
        <v>180.54762778843178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0.16212052825635395</v>
      </c>
      <c r="EB125" s="21">
        <f>EXP(-LN(2)/25)*EB124+(1-EXP(-LN(2)/25))/(LN(2)/25)*Calculateur!DW125*Calculateur!DY125*VLOOKUP('Données projet'!$B$14,Paramètres!$A$1:$I$89,3,0)*0.475*44/12</f>
        <v>0.45280857489808501</v>
      </c>
      <c r="EC125" s="21">
        <f>EXP(-LN(2)/2)*EC124+(1-EXP(-LN(2)/2))/(LN(2)/2)*DW125*DZ125*VLOOKUP('Données projet'!$B$14,Paramètres!$A$1:$I$89,3,0)*0.475*44/12</f>
        <v>1.2878849304882952E-13</v>
      </c>
      <c r="ED125" s="22">
        <f t="shared" si="72"/>
        <v>0.61492910315456772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-5.1159076974727213E-13</v>
      </c>
      <c r="EK125" s="17">
        <f>EJ125*VLOOKUP('Données projet'!$B$15,Paramètres!$A$1:$I$89,3,0)*VLOOKUP('Données projet'!$B$15,Paramètres!$A$1:$I$89,5,0)</f>
        <v>-3.4317508834647017E-13</v>
      </c>
      <c r="EL125" s="13" t="e">
        <f t="shared" si="99"/>
        <v>#NUM!</v>
      </c>
      <c r="EM125" s="20" t="e">
        <f t="shared" si="73"/>
        <v>#NUM!</v>
      </c>
      <c r="EN125" s="59" t="e">
        <f t="shared" si="74"/>
        <v>#NUM!</v>
      </c>
      <c r="EO125" s="59">
        <f ca="1">AVERAGE(OFFSET($EN$3,0,0,'Données projet'!$E$15+1,1))-AVERAGE(OFFSET($H$3,0,0,'Données projet'!$E$15+1,1))</f>
        <v>207.93042467236967</v>
      </c>
      <c r="EP125" s="59">
        <f t="shared" si="100"/>
        <v>250.70954318710835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0.44487215963836763</v>
      </c>
      <c r="EW125" s="21">
        <f>EXP(-LN(2)/25)*EW124+(1-EXP(-LN(2)/25))/(LN(2)/25)*Calculateur!ER125*Calculateur!ET125*VLOOKUP('Données projet'!$B$15,Paramètres!$A$1:$I$89,3,0)*0.475*44/12</f>
        <v>1.3498230614039488</v>
      </c>
      <c r="EX125" s="21">
        <f>EXP(-LN(2)/2)*EX124+(1-EXP(-LN(2)/2))/(LN(2)/2)*ER125*EU125*VLOOKUP('Données projet'!$B$15,Paramètres!$A$1:$I$89,3,0)*0.475*44/12</f>
        <v>2.8802852157190252E-13</v>
      </c>
      <c r="EY125" s="22">
        <f t="shared" si="75"/>
        <v>1.7946952210426044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-2.2737367544323206E-13</v>
      </c>
      <c r="O126" s="13">
        <f>N126*VLOOKUP('Données projet'!$B$9,Paramètres!$A$1:$I$89,3,0)*VLOOKUP('Données projet'!$B$9,Paramètres!$A$1:$I$89,5,0)</f>
        <v>-1.2710188457276673E-13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255.5374979188561</v>
      </c>
      <c r="T126" s="59">
        <f t="shared" si="88"/>
        <v>343.10418468620901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0.48987414392493495</v>
      </c>
      <c r="AA126" s="21">
        <f>EXP(-LN(2)/25)*AA125+(1-EXP(-LN(2)/25))/(LN(2)/25)*Calculateur!V126*Calculateur!X126*VLOOKUP('Données projet'!$B$9,Paramètres!$A$1:$I$89,3,0)*0.475*44/12</f>
        <v>1.2111790618494243</v>
      </c>
      <c r="AB126" s="21">
        <f>EXP(-LN(2)/2)*AB125+(1-EXP(-LN(2)/2))/(LN(2)/2)*V126*Y126*VLOOKUP('Données projet'!$B$9,Paramètres!$A$1:$I$89,3,0)*0.475*44/12</f>
        <v>1.700876969680793E-14</v>
      </c>
      <c r="AC126" s="22">
        <f t="shared" si="57"/>
        <v>1.7010532057743764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1.5961632016114892E-13</v>
      </c>
      <c r="AK126" s="13">
        <f t="shared" si="89"/>
        <v>2.2708641912150958E-12</v>
      </c>
      <c r="AL126" s="20">
        <f t="shared" si="58"/>
        <v>4.2330868906469593E-12</v>
      </c>
      <c r="AM126" s="59">
        <f t="shared" si="59"/>
        <v>293.33333333333752</v>
      </c>
      <c r="AN126" s="59">
        <f ca="1">AVERAGE(OFFSET($AM$3,0,0,'Données projet'!$E$10+1,1))-AVERAGE(OFFSET($H$3,0,0,'Données projet'!$E$10+1,1))</f>
        <v>158.58786357608489</v>
      </c>
      <c r="AO126" s="59">
        <f t="shared" si="90"/>
        <v>163.20074068819849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553.99999999999955</v>
      </c>
      <c r="BE126" s="13">
        <f>BD126*VLOOKUP('Données projet'!$B$11,Paramètres!$A$1:$I$89,3,0)*VLOOKUP('Données projet'!$B$11,Paramètres!$A$1:$I$89,5,0)</f>
        <v>331.29199999999975</v>
      </c>
      <c r="BF126" s="13">
        <f t="shared" si="91"/>
        <v>77.698110787752</v>
      </c>
      <c r="BG126" s="20">
        <f t="shared" si="61"/>
        <v>712.32444295533423</v>
      </c>
      <c r="BH126" s="59">
        <f t="shared" si="62"/>
        <v>1005.6577762886675</v>
      </c>
      <c r="BI126" s="59">
        <f ca="1">AVERAGE(OFFSET($BH$3,0,0,'Données projet'!$E$11+1,1))-AVERAGE(OFFSET($H$3,0,0,'Données projet'!$E$11+1,1))</f>
        <v>316.58509520829671</v>
      </c>
      <c r="BJ126" s="59">
        <f t="shared" si="92"/>
        <v>240.71332110643596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0.40180996221102844</v>
      </c>
      <c r="BQ126" s="21">
        <f>EXP(-LN(2)/25)*BQ125+(1-EXP(-LN(2)/25))/(LN(2)/25)*Calculateur!BL126*Calculateur!BN126*VLOOKUP('Données projet'!$B$11,Paramètres!$A$1:$I$89,3,0)*0.475*44/12</f>
        <v>1.1586399074665972</v>
      </c>
      <c r="BR126" s="21">
        <f>EXP(-LN(2)/2)*BR125+(1-EXP(-LN(2)/2))/(LN(2)/2)*BL126*BO126*VLOOKUP('Données projet'!$B$11,Paramètres!$A$1:$I$89,3,0)*0.475*44/12</f>
        <v>2.2045950145858828E-13</v>
      </c>
      <c r="BS126" s="22">
        <f t="shared" si="63"/>
        <v>1.5604498696778462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-5.1159076974727213E-13</v>
      </c>
      <c r="BZ126" s="13">
        <f>BY126*VLOOKUP('Données projet'!$B$12,Paramètres!$A$1:$I$89,3,0)*VLOOKUP('Données projet'!$B$12,Paramètres!$A$1:$I$89,5,0)</f>
        <v>-4.0702161641092972E-13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260.20517190557814</v>
      </c>
      <c r="CE126" s="59">
        <f t="shared" si="94"/>
        <v>307.22009971147133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0.51729239266482052</v>
      </c>
      <c r="CL126" s="21">
        <f>EXP(-LN(2)/25)*CL125+(1-EXP(-LN(2)/25))/(LN(2)/25)*Calculateur!CG126*Calculateur!CI126*VLOOKUP('Données projet'!$B$12,Paramètres!$A$1:$I$89,3,0)*0.475*44/12</f>
        <v>1.5571747911416989</v>
      </c>
      <c r="CM126" s="21">
        <f>EXP(-LN(2)/2)*CM125+(1-EXP(-LN(2)/2))/(LN(2)/2)*CG126*CJ126*VLOOKUP('Données projet'!$B$12,Paramètres!$A$1:$I$89,3,0)*0.475*44/12</f>
        <v>2.415584409234891E-13</v>
      </c>
      <c r="CN126" s="22">
        <f t="shared" si="66"/>
        <v>2.0744671838067612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>
        <f>VLOOKUP(A126,'Données projet'!$A$139:$I$159,2,0)</f>
        <v>222.63461538461539</v>
      </c>
      <c r="CR126" s="12">
        <f>VLOOKUP(A126,'Données projet'!$A$139:$I$159,9,0)</f>
        <v>3.8301282051282044</v>
      </c>
      <c r="CS126" s="12">
        <f t="array" ref="CS126">INDEX(CR:CR,MIN(IF(ISNUMBER(CR126:CR322),ROW(CR126:CR322),"")))</f>
        <v>3.8301282051282044</v>
      </c>
      <c r="CT126" s="12">
        <f>IF('Données projet'!$A$140&gt;35,CT125+CS126-DB125,IF(A126&lt;'Données projet'!$A$140,$CQ$205^A126,IF(A126='Données projet'!$A$140,'Données projet'!$B$140,CT125+CS126-DB125)))</f>
        <v>222.63461538461576</v>
      </c>
      <c r="CU126" s="17">
        <f>CT126*VLOOKUP('Données projet'!$B$13,Paramètres!$A$1:$I$89,3,0)*VLOOKUP('Données projet'!$B$13,Paramètres!$A$1:$I$89,5,0)</f>
        <v>225.75150000000036</v>
      </c>
      <c r="CV126" s="13">
        <f t="shared" si="95"/>
        <v>55.363062072917515</v>
      </c>
      <c r="CW126" s="20">
        <f t="shared" si="67"/>
        <v>489.60786227699856</v>
      </c>
      <c r="CX126" s="59">
        <f t="shared" si="68"/>
        <v>782.94119561033187</v>
      </c>
      <c r="CY126" s="59">
        <f ca="1">AVERAGE(OFFSET($CX$3,0,0,'Données projet'!$E$13+1,1))-AVERAGE(OFFSET($H$3,0,0,'Données projet'!$E$13+1,1))</f>
        <v>263.15518481854753</v>
      </c>
      <c r="CZ126" s="59">
        <f t="shared" si="96"/>
        <v>210.80755370263819</v>
      </c>
      <c r="DA126" s="15">
        <f>IF(ISNA(VLOOKUP(A126,'Données projet'!$A$139:$I$159,3,0)),0,VLOOKUP(A126,'Données projet'!$A$139:$I$159,3,0))</f>
        <v>12</v>
      </c>
      <c r="DB126" s="15">
        <f>IF(ISNA(VLOOKUP(A126,'Données projet'!$A$139:$I$159,4,0)),0,VLOOKUP(A126,'Données projet'!$A$139:$I$159,4,0))</f>
        <v>77.17307692307692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0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275.99999999999972</v>
      </c>
      <c r="DP126" s="17">
        <f>DO126*VLOOKUP('Données projet'!$B$14,Paramètres!$A$1:$I$89,3,0)*VLOOKUP('Données projet'!$B$14,Paramètres!$A$1:$I$89,5,0)</f>
        <v>223.8911999999998</v>
      </c>
      <c r="DQ126" s="13">
        <f t="shared" si="97"/>
        <v>54.95975389514858</v>
      </c>
      <c r="DR126" s="20">
        <f t="shared" si="70"/>
        <v>485.66541136738346</v>
      </c>
      <c r="DS126" s="59">
        <f t="shared" si="71"/>
        <v>778.99874470071677</v>
      </c>
      <c r="DT126" s="59">
        <f ca="1">AVERAGE(OFFSET($DS$3,0,0,'Données projet'!$E$14+1,1))-AVERAGE(OFFSET($H$3,0,0,'Données projet'!$E$14+1,1))</f>
        <v>203.21935660591021</v>
      </c>
      <c r="DU126" s="59">
        <f t="shared" si="98"/>
        <v>180.54762778843178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0.15894144358100512</v>
      </c>
      <c r="EB126" s="21">
        <f>EXP(-LN(2)/25)*EB125+(1-EXP(-LN(2)/25))/(LN(2)/25)*Calculateur!DW126*Calculateur!DY126*VLOOKUP('Données projet'!$B$14,Paramètres!$A$1:$I$89,3,0)*0.475*44/12</f>
        <v>0.44042650060532884</v>
      </c>
      <c r="EC126" s="21">
        <f>EXP(-LN(2)/2)*EC125+(1-EXP(-LN(2)/2))/(LN(2)/2)*DW126*DZ126*VLOOKUP('Données projet'!$B$14,Paramètres!$A$1:$I$89,3,0)*0.475*44/12</f>
        <v>9.1067216773623893E-14</v>
      </c>
      <c r="ED126" s="22">
        <f t="shared" si="72"/>
        <v>0.59936794418642503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-5.1159076974727213E-13</v>
      </c>
      <c r="EK126" s="17">
        <f>EJ126*VLOOKUP('Données projet'!$B$15,Paramètres!$A$1:$I$89,3,0)*VLOOKUP('Données projet'!$B$15,Paramètres!$A$1:$I$89,5,0)</f>
        <v>-3.4317508834647017E-13</v>
      </c>
      <c r="EL126" s="13" t="e">
        <f t="shared" si="99"/>
        <v>#NUM!</v>
      </c>
      <c r="EM126" s="20" t="e">
        <f t="shared" si="73"/>
        <v>#NUM!</v>
      </c>
      <c r="EN126" s="59" t="e">
        <f t="shared" si="74"/>
        <v>#NUM!</v>
      </c>
      <c r="EO126" s="59">
        <f ca="1">AVERAGE(OFFSET($EN$3,0,0,'Données projet'!$E$15+1,1))-AVERAGE(OFFSET($H$3,0,0,'Données projet'!$E$15+1,1))</f>
        <v>207.93042467236967</v>
      </c>
      <c r="EP126" s="59">
        <f t="shared" si="100"/>
        <v>250.70954318710835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0.43614848793308347</v>
      </c>
      <c r="EW126" s="21">
        <f>EXP(-LN(2)/25)*EW125+(1-EXP(-LN(2)/25))/(LN(2)/25)*Calculateur!ER126*Calculateur!ET126*VLOOKUP('Données projet'!$B$15,Paramètres!$A$1:$I$89,3,0)*0.475*44/12</f>
        <v>1.312912078805748</v>
      </c>
      <c r="EX126" s="21">
        <f>EXP(-LN(2)/2)*EX125+(1-EXP(-LN(2)/2))/(LN(2)/2)*ER126*EU126*VLOOKUP('Données projet'!$B$15,Paramètres!$A$1:$I$89,3,0)*0.475*44/12</f>
        <v>2.0366692077862806E-13</v>
      </c>
      <c r="EY126" s="22">
        <f t="shared" si="75"/>
        <v>1.7490605667390351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-2.2737367544323206E-13</v>
      </c>
      <c r="O127" s="13">
        <f>N127*VLOOKUP('Données projet'!$B$9,Paramètres!$A$1:$I$89,3,0)*VLOOKUP('Données projet'!$B$9,Paramètres!$A$1:$I$89,5,0)</f>
        <v>-1.2710188457276673E-13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255.5374979188561</v>
      </c>
      <c r="T127" s="59">
        <f t="shared" si="88"/>
        <v>343.10418468620901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0.48026801075629133</v>
      </c>
      <c r="AA127" s="21">
        <f>EXP(-LN(2)/25)*AA126+(1-EXP(-LN(2)/25))/(LN(2)/25)*Calculateur!V127*Calculateur!X127*VLOOKUP('Données projet'!$B$9,Paramètres!$A$1:$I$89,3,0)*0.475*44/12</f>
        <v>1.1780593067100131</v>
      </c>
      <c r="AB127" s="21">
        <f>EXP(-LN(2)/2)*AB126+(1-EXP(-LN(2)/2))/(LN(2)/2)*V127*Y127*VLOOKUP('Données projet'!$B$9,Paramètres!$A$1:$I$89,3,0)*0.475*44/12</f>
        <v>1.2027016392253146E-14</v>
      </c>
      <c r="AC127" s="22">
        <f t="shared" si="57"/>
        <v>1.6583273174663165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1.5961632016114892E-13</v>
      </c>
      <c r="AK127" s="13">
        <f t="shared" si="89"/>
        <v>2.2708641912150958E-12</v>
      </c>
      <c r="AL127" s="20">
        <f t="shared" si="58"/>
        <v>4.2330868906469593E-12</v>
      </c>
      <c r="AM127" s="59">
        <f t="shared" si="59"/>
        <v>293.33333333333752</v>
      </c>
      <c r="AN127" s="59">
        <f ca="1">AVERAGE(OFFSET($AM$3,0,0,'Données projet'!$E$10+1,1))-AVERAGE(OFFSET($H$3,0,0,'Données projet'!$E$10+1,1))</f>
        <v>158.58786357608489</v>
      </c>
      <c r="AO127" s="59">
        <f t="shared" si="90"/>
        <v>163.20074068819849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553.99999999999955</v>
      </c>
      <c r="BE127" s="13">
        <f>BD127*VLOOKUP('Données projet'!$B$11,Paramètres!$A$1:$I$89,3,0)*VLOOKUP('Données projet'!$B$11,Paramètres!$A$1:$I$89,5,0)</f>
        <v>331.29199999999975</v>
      </c>
      <c r="BF127" s="13">
        <f t="shared" si="91"/>
        <v>77.698110787752</v>
      </c>
      <c r="BG127" s="20">
        <f t="shared" si="61"/>
        <v>712.32444295533423</v>
      </c>
      <c r="BH127" s="59">
        <f t="shared" si="62"/>
        <v>1005.6577762886675</v>
      </c>
      <c r="BI127" s="59">
        <f ca="1">AVERAGE(OFFSET($BH$3,0,0,'Données projet'!$E$11+1,1))-AVERAGE(OFFSET($H$3,0,0,'Données projet'!$E$11+1,1))</f>
        <v>316.58509520829671</v>
      </c>
      <c r="BJ127" s="59">
        <f t="shared" si="92"/>
        <v>240.71332110643596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0.39393071393194751</v>
      </c>
      <c r="BQ127" s="21">
        <f>EXP(-LN(2)/25)*BQ126+(1-EXP(-LN(2)/25))/(LN(2)/25)*Calculateur!BL127*Calculateur!BN127*VLOOKUP('Données projet'!$B$11,Paramètres!$A$1:$I$89,3,0)*0.475*44/12</f>
        <v>1.1269568382666983</v>
      </c>
      <c r="BR127" s="21">
        <f>EXP(-LN(2)/2)*BR126+(1-EXP(-LN(2)/2))/(LN(2)/2)*BL127*BO127*VLOOKUP('Données projet'!$B$11,Paramètres!$A$1:$I$89,3,0)*0.475*44/12</f>
        <v>1.5588840845837334E-13</v>
      </c>
      <c r="BS127" s="22">
        <f t="shared" si="63"/>
        <v>1.5208875521988017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-5.1159076974727213E-13</v>
      </c>
      <c r="BZ127" s="13">
        <f>BY127*VLOOKUP('Données projet'!$B$12,Paramètres!$A$1:$I$89,3,0)*VLOOKUP('Données projet'!$B$12,Paramètres!$A$1:$I$89,5,0)</f>
        <v>-4.0702161641092972E-13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260.20517190557814</v>
      </c>
      <c r="CE127" s="59">
        <f t="shared" si="94"/>
        <v>307.22009971147133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0.50714860436186815</v>
      </c>
      <c r="CL127" s="21">
        <f>EXP(-LN(2)/25)*CL126+(1-EXP(-LN(2)/25))/(LN(2)/25)*Calculateur!CG127*Calculateur!CI127*VLOOKUP('Données projet'!$B$12,Paramètres!$A$1:$I$89,3,0)*0.475*44/12</f>
        <v>1.5145937645896659</v>
      </c>
      <c r="CM127" s="21">
        <f>EXP(-LN(2)/2)*CM126+(1-EXP(-LN(2)/2))/(LN(2)/2)*CG127*CJ127*VLOOKUP('Données projet'!$B$12,Paramètres!$A$1:$I$89,3,0)*0.475*44/12</f>
        <v>1.7080761162984918E-13</v>
      </c>
      <c r="CN127" s="22">
        <f t="shared" si="66"/>
        <v>2.0217423689517049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2.3349358974358978</v>
      </c>
      <c r="CT127" s="12">
        <f>IF('Données projet'!$A$140&gt;35,CT126+CS127-DB126,IF(A127&lt;'Données projet'!$A$140,$CQ$205^A127,IF(A127='Données projet'!$A$140,'Données projet'!$B$140,CT126+CS127-DB126)))</f>
        <v>147.79647435897476</v>
      </c>
      <c r="CU127" s="17">
        <f>CT127*VLOOKUP('Données projet'!$B$13,Paramètres!$A$1:$I$89,3,0)*VLOOKUP('Données projet'!$B$13,Paramètres!$A$1:$I$89,5,0)</f>
        <v>149.86562500000042</v>
      </c>
      <c r="CV127" s="13">
        <f t="shared" si="95"/>
        <v>38.548046827253025</v>
      </c>
      <c r="CW127" s="20">
        <f t="shared" si="67"/>
        <v>328.15381176579973</v>
      </c>
      <c r="CX127" s="59">
        <f t="shared" si="68"/>
        <v>621.48714509913304</v>
      </c>
      <c r="CY127" s="59">
        <f ca="1">AVERAGE(OFFSET($CX$3,0,0,'Données projet'!$E$13+1,1))-AVERAGE(OFFSET($H$3,0,0,'Données projet'!$E$13+1,1))</f>
        <v>263.15518481854753</v>
      </c>
      <c r="CZ127" s="59">
        <f t="shared" si="96"/>
        <v>210.80755370263819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0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275.99999999999972</v>
      </c>
      <c r="DP127" s="17">
        <f>DO127*VLOOKUP('Données projet'!$B$14,Paramètres!$A$1:$I$89,3,0)*VLOOKUP('Données projet'!$B$14,Paramètres!$A$1:$I$89,5,0)</f>
        <v>223.8911999999998</v>
      </c>
      <c r="DQ127" s="13">
        <f t="shared" si="97"/>
        <v>54.95975389514858</v>
      </c>
      <c r="DR127" s="20">
        <f t="shared" si="70"/>
        <v>485.66541136738346</v>
      </c>
      <c r="DS127" s="59">
        <f t="shared" si="71"/>
        <v>778.99874470071677</v>
      </c>
      <c r="DT127" s="59">
        <f ca="1">AVERAGE(OFFSET($DS$3,0,0,'Données projet'!$E$14+1,1))-AVERAGE(OFFSET($H$3,0,0,'Données projet'!$E$14+1,1))</f>
        <v>203.21935660591021</v>
      </c>
      <c r="DU127" s="59">
        <f t="shared" si="98"/>
        <v>180.54762778843178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0.15582469881708971</v>
      </c>
      <c r="EB127" s="21">
        <f>EXP(-LN(2)/25)*EB126+(1-EXP(-LN(2)/25))/(LN(2)/25)*Calculateur!DW127*Calculateur!DY127*VLOOKUP('Données projet'!$B$14,Paramètres!$A$1:$I$89,3,0)*0.475*44/12</f>
        <v>0.42838301478525309</v>
      </c>
      <c r="EC127" s="21">
        <f>EXP(-LN(2)/2)*EC126+(1-EXP(-LN(2)/2))/(LN(2)/2)*DW127*DZ127*VLOOKUP('Données projet'!$B$14,Paramètres!$A$1:$I$89,3,0)*0.475*44/12</f>
        <v>6.4394246524414759E-14</v>
      </c>
      <c r="ED127" s="22">
        <f t="shared" si="72"/>
        <v>0.5842077136024072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-5.1159076974727213E-13</v>
      </c>
      <c r="EK127" s="17">
        <f>EJ127*VLOOKUP('Données projet'!$B$15,Paramètres!$A$1:$I$89,3,0)*VLOOKUP('Données projet'!$B$15,Paramètres!$A$1:$I$89,5,0)</f>
        <v>-3.4317508834647017E-13</v>
      </c>
      <c r="EL127" s="13" t="e">
        <f t="shared" si="99"/>
        <v>#NUM!</v>
      </c>
      <c r="EM127" s="20" t="e">
        <f t="shared" si="73"/>
        <v>#NUM!</v>
      </c>
      <c r="EN127" s="59" t="e">
        <f t="shared" si="74"/>
        <v>#NUM!</v>
      </c>
      <c r="EO127" s="59">
        <f ca="1">AVERAGE(OFFSET($EN$3,0,0,'Données projet'!$E$15+1,1))-AVERAGE(OFFSET($H$3,0,0,'Données projet'!$E$15+1,1))</f>
        <v>207.93042467236967</v>
      </c>
      <c r="EP127" s="59">
        <f t="shared" si="100"/>
        <v>250.70954318710835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0.4275958821090256</v>
      </c>
      <c r="EW127" s="21">
        <f>EXP(-LN(2)/25)*EW126+(1-EXP(-LN(2)/25))/(LN(2)/25)*Calculateur!ER127*Calculateur!ET127*VLOOKUP('Données projet'!$B$15,Paramètres!$A$1:$I$89,3,0)*0.475*44/12</f>
        <v>1.2770104289677593</v>
      </c>
      <c r="EX127" s="21">
        <f>EXP(-LN(2)/2)*EX126+(1-EXP(-LN(2)/2))/(LN(2)/2)*ER127*EU127*VLOOKUP('Données projet'!$B$15,Paramètres!$A$1:$I$89,3,0)*0.475*44/12</f>
        <v>1.4401426078595126E-13</v>
      </c>
      <c r="EY127" s="22">
        <f t="shared" si="75"/>
        <v>1.7046063110769289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-2.2737367544323206E-13</v>
      </c>
      <c r="O128" s="13">
        <f>N128*VLOOKUP('Données projet'!$B$9,Paramètres!$A$1:$I$89,3,0)*VLOOKUP('Données projet'!$B$9,Paramètres!$A$1:$I$89,5,0)</f>
        <v>-1.2710188457276673E-13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255.5374979188561</v>
      </c>
      <c r="T128" s="59">
        <f t="shared" si="88"/>
        <v>343.10418468620901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0.47085024799992214</v>
      </c>
      <c r="AA128" s="21">
        <f>EXP(-LN(2)/25)*AA127+(1-EXP(-LN(2)/25))/(LN(2)/25)*Calculateur!V128*Calculateur!X128*VLOOKUP('Données projet'!$B$9,Paramètres!$A$1:$I$89,3,0)*0.475*44/12</f>
        <v>1.1458452130165813</v>
      </c>
      <c r="AB128" s="21">
        <f>EXP(-LN(2)/2)*AB127+(1-EXP(-LN(2)/2))/(LN(2)/2)*V128*Y128*VLOOKUP('Données projet'!$B$9,Paramètres!$A$1:$I$89,3,0)*0.475*44/12</f>
        <v>8.504384848403965E-15</v>
      </c>
      <c r="AC128" s="22">
        <f t="shared" si="57"/>
        <v>1.6166954610165118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1.5961632016114892E-13</v>
      </c>
      <c r="AK128" s="13">
        <f t="shared" si="89"/>
        <v>2.2708641912150958E-12</v>
      </c>
      <c r="AL128" s="20">
        <f t="shared" si="58"/>
        <v>4.2330868906469593E-12</v>
      </c>
      <c r="AM128" s="59">
        <f t="shared" si="59"/>
        <v>293.33333333333752</v>
      </c>
      <c r="AN128" s="59">
        <f ca="1">AVERAGE(OFFSET($AM$3,0,0,'Données projet'!$E$10+1,1))-AVERAGE(OFFSET($H$3,0,0,'Données projet'!$E$10+1,1))</f>
        <v>158.58786357608489</v>
      </c>
      <c r="AO128" s="59">
        <f t="shared" si="90"/>
        <v>163.20074068819849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553.99999999999955</v>
      </c>
      <c r="BE128" s="13">
        <f>BD128*VLOOKUP('Données projet'!$B$11,Paramètres!$A$1:$I$89,3,0)*VLOOKUP('Données projet'!$B$11,Paramètres!$A$1:$I$89,5,0)</f>
        <v>331.29199999999975</v>
      </c>
      <c r="BF128" s="13">
        <f t="shared" si="91"/>
        <v>77.698110787752</v>
      </c>
      <c r="BG128" s="20">
        <f t="shared" si="61"/>
        <v>712.32444295533423</v>
      </c>
      <c r="BH128" s="59">
        <f t="shared" si="62"/>
        <v>1005.6577762886675</v>
      </c>
      <c r="BI128" s="59">
        <f ca="1">AVERAGE(OFFSET($BH$3,0,0,'Données projet'!$E$11+1,1))-AVERAGE(OFFSET($H$3,0,0,'Données projet'!$E$11+1,1))</f>
        <v>316.58509520829671</v>
      </c>
      <c r="BJ128" s="59">
        <f t="shared" si="92"/>
        <v>240.71332110643596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0.38620597290575243</v>
      </c>
      <c r="BQ128" s="21">
        <f>EXP(-LN(2)/25)*BQ127+(1-EXP(-LN(2)/25))/(LN(2)/25)*Calculateur!BL128*Calculateur!BN128*VLOOKUP('Données projet'!$B$11,Paramètres!$A$1:$I$89,3,0)*0.475*44/12</f>
        <v>1.096140144260211</v>
      </c>
      <c r="BR128" s="21">
        <f>EXP(-LN(2)/2)*BR127+(1-EXP(-LN(2)/2))/(LN(2)/2)*BL128*BO128*VLOOKUP('Données projet'!$B$11,Paramètres!$A$1:$I$89,3,0)*0.475*44/12</f>
        <v>1.1022975072929414E-13</v>
      </c>
      <c r="BS128" s="22">
        <f t="shared" si="63"/>
        <v>1.4823461171660735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-5.1159076974727213E-13</v>
      </c>
      <c r="BZ128" s="13">
        <f>BY128*VLOOKUP('Données projet'!$B$12,Paramètres!$A$1:$I$89,3,0)*VLOOKUP('Données projet'!$B$12,Paramètres!$A$1:$I$89,5,0)</f>
        <v>-4.0702161641092972E-13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260.20517190557814</v>
      </c>
      <c r="CE128" s="59">
        <f t="shared" si="94"/>
        <v>307.22009971147133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0.49720372956043679</v>
      </c>
      <c r="CL128" s="21">
        <f>EXP(-LN(2)/25)*CL127+(1-EXP(-LN(2)/25))/(LN(2)/25)*Calculateur!CG128*Calculateur!CI128*VLOOKUP('Données projet'!$B$12,Paramètres!$A$1:$I$89,3,0)*0.475*44/12</f>
        <v>1.473177118447937</v>
      </c>
      <c r="CM128" s="21">
        <f>EXP(-LN(2)/2)*CM127+(1-EXP(-LN(2)/2))/(LN(2)/2)*CG128*CJ128*VLOOKUP('Données projet'!$B$12,Paramètres!$A$1:$I$89,3,0)*0.475*44/12</f>
        <v>1.2077922046174455E-13</v>
      </c>
      <c r="CN128" s="22">
        <f t="shared" si="66"/>
        <v>1.9703808480084946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2.3349358974358978</v>
      </c>
      <c r="CT128" s="12">
        <f>IF('Données projet'!$A$140&gt;35,CT127+CS128-DB127,IF(A128&lt;'Données projet'!$A$140,$CQ$205^A128,IF(A128='Données projet'!$A$140,'Données projet'!$B$140,CT127+CS128-DB127)))</f>
        <v>150.13141025641067</v>
      </c>
      <c r="CU128" s="17">
        <f>CT128*VLOOKUP('Données projet'!$B$13,Paramètres!$A$1:$I$89,3,0)*VLOOKUP('Données projet'!$B$13,Paramètres!$A$1:$I$89,5,0)</f>
        <v>152.23325000000042</v>
      </c>
      <c r="CV128" s="13">
        <f t="shared" si="95"/>
        <v>39.085662353070305</v>
      </c>
      <c r="CW128" s="20">
        <f t="shared" si="67"/>
        <v>333.21377234826485</v>
      </c>
      <c r="CX128" s="59">
        <f t="shared" si="68"/>
        <v>626.54710568159817</v>
      </c>
      <c r="CY128" s="59">
        <f ca="1">AVERAGE(OFFSET($CX$3,0,0,'Données projet'!$E$13+1,1))-AVERAGE(OFFSET($H$3,0,0,'Données projet'!$E$13+1,1))</f>
        <v>263.15518481854753</v>
      </c>
      <c r="CZ128" s="59">
        <f t="shared" si="96"/>
        <v>210.80755370263819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0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275.99999999999972</v>
      </c>
      <c r="DP128" s="17">
        <f>DO128*VLOOKUP('Données projet'!$B$14,Paramètres!$A$1:$I$89,3,0)*VLOOKUP('Données projet'!$B$14,Paramètres!$A$1:$I$89,5,0)</f>
        <v>223.8911999999998</v>
      </c>
      <c r="DQ128" s="13">
        <f t="shared" si="97"/>
        <v>54.95975389514858</v>
      </c>
      <c r="DR128" s="20">
        <f t="shared" si="70"/>
        <v>485.66541136738346</v>
      </c>
      <c r="DS128" s="59">
        <f t="shared" si="71"/>
        <v>778.99874470071677</v>
      </c>
      <c r="DT128" s="59">
        <f ca="1">AVERAGE(OFFSET($DS$3,0,0,'Données projet'!$E$14+1,1))-AVERAGE(OFFSET($H$3,0,0,'Données projet'!$E$14+1,1))</f>
        <v>203.21935660591021</v>
      </c>
      <c r="DU128" s="59">
        <f t="shared" si="98"/>
        <v>180.54762778843178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0.15276907151696809</v>
      </c>
      <c r="EB128" s="21">
        <f>EXP(-LN(2)/25)*EB127+(1-EXP(-LN(2)/25))/(LN(2)/25)*Calculateur!DW128*Calculateur!DY128*VLOOKUP('Données projet'!$B$14,Paramètres!$A$1:$I$89,3,0)*0.475*44/12</f>
        <v>0.4166688587182667</v>
      </c>
      <c r="EC128" s="21">
        <f>EXP(-LN(2)/2)*EC127+(1-EXP(-LN(2)/2))/(LN(2)/2)*DW128*DZ128*VLOOKUP('Données projet'!$B$14,Paramètres!$A$1:$I$89,3,0)*0.475*44/12</f>
        <v>4.5533608386811946E-14</v>
      </c>
      <c r="ED128" s="22">
        <f t="shared" si="72"/>
        <v>0.56943793023528033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-5.1159076974727213E-13</v>
      </c>
      <c r="EK128" s="17">
        <f>EJ128*VLOOKUP('Données projet'!$B$15,Paramètres!$A$1:$I$89,3,0)*VLOOKUP('Données projet'!$B$15,Paramètres!$A$1:$I$89,5,0)</f>
        <v>-3.4317508834647017E-13</v>
      </c>
      <c r="EL128" s="13" t="e">
        <f t="shared" si="99"/>
        <v>#NUM!</v>
      </c>
      <c r="EM128" s="20" t="e">
        <f t="shared" si="73"/>
        <v>#NUM!</v>
      </c>
      <c r="EN128" s="59" t="e">
        <f t="shared" si="74"/>
        <v>#NUM!</v>
      </c>
      <c r="EO128" s="59">
        <f ca="1">AVERAGE(OFFSET($EN$3,0,0,'Données projet'!$E$15+1,1))-AVERAGE(OFFSET($H$3,0,0,'Données projet'!$E$15+1,1))</f>
        <v>207.93042467236967</v>
      </c>
      <c r="EP128" s="59">
        <f t="shared" si="100"/>
        <v>250.70954318710835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0.4192109876686031</v>
      </c>
      <c r="EW128" s="21">
        <f>EXP(-LN(2)/25)*EW127+(1-EXP(-LN(2)/25))/(LN(2)/25)*Calculateur!ER128*Calculateur!ET128*VLOOKUP('Données projet'!$B$15,Paramètres!$A$1:$I$89,3,0)*0.475*44/12</f>
        <v>1.242090511632576</v>
      </c>
      <c r="EX128" s="21">
        <f>EXP(-LN(2)/2)*EX127+(1-EXP(-LN(2)/2))/(LN(2)/2)*ER128*EU128*VLOOKUP('Données projet'!$B$15,Paramètres!$A$1:$I$89,3,0)*0.475*44/12</f>
        <v>1.0183346038931403E-13</v>
      </c>
      <c r="EY128" s="22">
        <f t="shared" si="75"/>
        <v>1.6613014993012809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-2.2737367544323206E-13</v>
      </c>
      <c r="O129" s="13">
        <f>N129*VLOOKUP('Données projet'!$B$9,Paramètres!$A$1:$I$89,3,0)*VLOOKUP('Données projet'!$B$9,Paramètres!$A$1:$I$89,5,0)</f>
        <v>-1.2710188457276673E-13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255.5374979188561</v>
      </c>
      <c r="T129" s="59">
        <f t="shared" si="88"/>
        <v>343.10418468620901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0.46161716182693724</v>
      </c>
      <c r="AA129" s="21">
        <f>EXP(-LN(2)/25)*AA128+(1-EXP(-LN(2)/25))/(LN(2)/25)*Calculateur!V129*Calculateur!X129*VLOOKUP('Données projet'!$B$9,Paramètres!$A$1:$I$89,3,0)*0.475*44/12</f>
        <v>1.114512015409262</v>
      </c>
      <c r="AB129" s="21">
        <f>EXP(-LN(2)/2)*AB128+(1-EXP(-LN(2)/2))/(LN(2)/2)*V129*Y129*VLOOKUP('Données projet'!$B$9,Paramètres!$A$1:$I$89,3,0)*0.475*44/12</f>
        <v>6.0135081961265728E-15</v>
      </c>
      <c r="AC129" s="22">
        <f t="shared" si="57"/>
        <v>1.5761291772362054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1.5961632016114892E-13</v>
      </c>
      <c r="AK129" s="13">
        <f t="shared" si="89"/>
        <v>2.2708641912150958E-12</v>
      </c>
      <c r="AL129" s="20">
        <f t="shared" si="58"/>
        <v>4.2330868906469593E-12</v>
      </c>
      <c r="AM129" s="59">
        <f t="shared" si="59"/>
        <v>293.33333333333752</v>
      </c>
      <c r="AN129" s="59">
        <f ca="1">AVERAGE(OFFSET($AM$3,0,0,'Données projet'!$E$10+1,1))-AVERAGE(OFFSET($H$3,0,0,'Données projet'!$E$10+1,1))</f>
        <v>158.58786357608489</v>
      </c>
      <c r="AO129" s="59">
        <f t="shared" si="90"/>
        <v>163.20074068819849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553.99999999999955</v>
      </c>
      <c r="BE129" s="13">
        <f>BD129*VLOOKUP('Données projet'!$B$11,Paramètres!$A$1:$I$89,3,0)*VLOOKUP('Données projet'!$B$11,Paramètres!$A$1:$I$89,5,0)</f>
        <v>331.29199999999975</v>
      </c>
      <c r="BF129" s="13">
        <f t="shared" si="91"/>
        <v>77.698110787752</v>
      </c>
      <c r="BG129" s="20">
        <f t="shared" si="61"/>
        <v>712.32444295533423</v>
      </c>
      <c r="BH129" s="59">
        <f t="shared" si="62"/>
        <v>1005.6577762886675</v>
      </c>
      <c r="BI129" s="59">
        <f ca="1">AVERAGE(OFFSET($BH$3,0,0,'Données projet'!$E$11+1,1))-AVERAGE(OFFSET($H$3,0,0,'Données projet'!$E$11+1,1))</f>
        <v>316.58509520829671</v>
      </c>
      <c r="BJ129" s="59">
        <f t="shared" si="92"/>
        <v>240.71332110643596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0.37863270933945425</v>
      </c>
      <c r="BQ129" s="21">
        <f>EXP(-LN(2)/25)*BQ128+(1-EXP(-LN(2)/25))/(LN(2)/25)*Calculateur!BL129*Calculateur!BN129*VLOOKUP('Données projet'!$B$11,Paramètres!$A$1:$I$89,3,0)*0.475*44/12</f>
        <v>1.0661661343719107</v>
      </c>
      <c r="BR129" s="21">
        <f>EXP(-LN(2)/2)*BR128+(1-EXP(-LN(2)/2))/(LN(2)/2)*BL129*BO129*VLOOKUP('Données projet'!$B$11,Paramètres!$A$1:$I$89,3,0)*0.475*44/12</f>
        <v>7.7944204229186668E-14</v>
      </c>
      <c r="BS129" s="22">
        <f t="shared" si="63"/>
        <v>1.4447988437114427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-5.1159076974727213E-13</v>
      </c>
      <c r="BZ129" s="13">
        <f>BY129*VLOOKUP('Données projet'!$B$12,Paramètres!$A$1:$I$89,3,0)*VLOOKUP('Données projet'!$B$12,Paramètres!$A$1:$I$89,5,0)</f>
        <v>-4.0702161641092972E-13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260.20517190557814</v>
      </c>
      <c r="CE129" s="59">
        <f t="shared" si="94"/>
        <v>307.22009971147133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0.48745386768808679</v>
      </c>
      <c r="CL129" s="21">
        <f>EXP(-LN(2)/25)*CL128+(1-EXP(-LN(2)/25))/(LN(2)/25)*Calculateur!CG129*Calculateur!CI129*VLOOKUP('Données projet'!$B$12,Paramètres!$A$1:$I$89,3,0)*0.475*44/12</f>
        <v>1.4328930126729604</v>
      </c>
      <c r="CM129" s="21">
        <f>EXP(-LN(2)/2)*CM128+(1-EXP(-LN(2)/2))/(LN(2)/2)*CG129*CJ129*VLOOKUP('Données projet'!$B$12,Paramètres!$A$1:$I$89,3,0)*0.475*44/12</f>
        <v>8.5403805814924589E-14</v>
      </c>
      <c r="CN129" s="22">
        <f t="shared" si="66"/>
        <v>1.9203468803611328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2.3349358974358978</v>
      </c>
      <c r="CT129" s="12">
        <f>IF('Données projet'!$A$140&gt;35,CT128+CS129-DB128,IF(A129&lt;'Données projet'!$A$140,$CQ$205^A129,IF(A129='Données projet'!$A$140,'Données projet'!$B$140,CT128+CS129-DB128)))</f>
        <v>152.46634615384659</v>
      </c>
      <c r="CU129" s="17">
        <f>CT129*VLOOKUP('Données projet'!$B$13,Paramètres!$A$1:$I$89,3,0)*VLOOKUP('Données projet'!$B$13,Paramètres!$A$1:$I$89,5,0)</f>
        <v>154.60087500000046</v>
      </c>
      <c r="CV129" s="13">
        <f t="shared" si="95"/>
        <v>39.622305459420097</v>
      </c>
      <c r="CW129" s="20">
        <f t="shared" si="67"/>
        <v>338.27203930015747</v>
      </c>
      <c r="CX129" s="59">
        <f t="shared" si="68"/>
        <v>631.60537263349079</v>
      </c>
      <c r="CY129" s="59">
        <f ca="1">AVERAGE(OFFSET($CX$3,0,0,'Données projet'!$E$13+1,1))-AVERAGE(OFFSET($H$3,0,0,'Données projet'!$E$13+1,1))</f>
        <v>263.15518481854753</v>
      </c>
      <c r="CZ129" s="59">
        <f t="shared" si="96"/>
        <v>210.80755370263819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0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275.99999999999972</v>
      </c>
      <c r="DP129" s="17">
        <f>DO129*VLOOKUP('Données projet'!$B$14,Paramètres!$A$1:$I$89,3,0)*VLOOKUP('Données projet'!$B$14,Paramètres!$A$1:$I$89,5,0)</f>
        <v>223.8911999999998</v>
      </c>
      <c r="DQ129" s="13">
        <f t="shared" si="97"/>
        <v>54.95975389514858</v>
      </c>
      <c r="DR129" s="20">
        <f t="shared" si="70"/>
        <v>485.66541136738346</v>
      </c>
      <c r="DS129" s="59">
        <f t="shared" si="71"/>
        <v>778.99874470071677</v>
      </c>
      <c r="DT129" s="59">
        <f ca="1">AVERAGE(OFFSET($DS$3,0,0,'Données projet'!$E$14+1,1))-AVERAGE(OFFSET($H$3,0,0,'Données projet'!$E$14+1,1))</f>
        <v>203.21935660591021</v>
      </c>
      <c r="DU129" s="59">
        <f t="shared" si="98"/>
        <v>180.54762778843178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0.14977336320445322</v>
      </c>
      <c r="EB129" s="21">
        <f>EXP(-LN(2)/25)*EB128+(1-EXP(-LN(2)/25))/(LN(2)/25)*Calculateur!DW129*Calculateur!DY129*VLOOKUP('Données projet'!$B$14,Paramètres!$A$1:$I$89,3,0)*0.475*44/12</f>
        <v>0.4052750268649527</v>
      </c>
      <c r="EC129" s="21">
        <f>EXP(-LN(2)/2)*EC128+(1-EXP(-LN(2)/2))/(LN(2)/2)*DW129*DZ129*VLOOKUP('Données projet'!$B$14,Paramètres!$A$1:$I$89,3,0)*0.475*44/12</f>
        <v>3.2197123262207379E-14</v>
      </c>
      <c r="ED129" s="22">
        <f t="shared" si="72"/>
        <v>0.55504839006943807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-5.1159076974727213E-13</v>
      </c>
      <c r="EK129" s="17">
        <f>EJ129*VLOOKUP('Données projet'!$B$15,Paramètres!$A$1:$I$89,3,0)*VLOOKUP('Données projet'!$B$15,Paramètres!$A$1:$I$89,5,0)</f>
        <v>-3.4317508834647017E-13</v>
      </c>
      <c r="EL129" s="13" t="e">
        <f t="shared" si="99"/>
        <v>#NUM!</v>
      </c>
      <c r="EM129" s="20" t="e">
        <f t="shared" si="73"/>
        <v>#NUM!</v>
      </c>
      <c r="EN129" s="59" t="e">
        <f t="shared" si="74"/>
        <v>#NUM!</v>
      </c>
      <c r="EO129" s="59">
        <f ca="1">AVERAGE(OFFSET($EN$3,0,0,'Données projet'!$E$15+1,1))-AVERAGE(OFFSET($H$3,0,0,'Données projet'!$E$15+1,1))</f>
        <v>207.93042467236967</v>
      </c>
      <c r="EP129" s="59">
        <f t="shared" si="100"/>
        <v>250.70954318710835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0.41099051589387664</v>
      </c>
      <c r="EW129" s="21">
        <f>EXP(-LN(2)/25)*EW128+(1-EXP(-LN(2)/25))/(LN(2)/25)*Calculateur!ER129*Calculateur!ET129*VLOOKUP('Données projet'!$B$15,Paramètres!$A$1:$I$89,3,0)*0.475*44/12</f>
        <v>1.208125481273282</v>
      </c>
      <c r="EX129" s="21">
        <f>EXP(-LN(2)/2)*EX128+(1-EXP(-LN(2)/2))/(LN(2)/2)*ER129*EU129*VLOOKUP('Données projet'!$B$15,Paramètres!$A$1:$I$89,3,0)*0.475*44/12</f>
        <v>7.2007130392975629E-14</v>
      </c>
      <c r="EY129" s="22">
        <f t="shared" si="75"/>
        <v>1.6191159971672306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-2.2737367544323206E-13</v>
      </c>
      <c r="O130" s="13">
        <f>N130*VLOOKUP('Données projet'!$B$9,Paramètres!$A$1:$I$89,3,0)*VLOOKUP('Données projet'!$B$9,Paramètres!$A$1:$I$89,5,0)</f>
        <v>-1.2710188457276673E-13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255.5374979188561</v>
      </c>
      <c r="T130" s="59">
        <f t="shared" si="88"/>
        <v>343.10418468620901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0.45256513084217809</v>
      </c>
      <c r="AA130" s="21">
        <f>EXP(-LN(2)/25)*AA129+(1-EXP(-LN(2)/25))/(LN(2)/25)*Calculateur!V130*Calculateur!X130*VLOOKUP('Données projet'!$B$9,Paramètres!$A$1:$I$89,3,0)*0.475*44/12</f>
        <v>1.0840356257382562</v>
      </c>
      <c r="AB130" s="21">
        <f>EXP(-LN(2)/2)*AB129+(1-EXP(-LN(2)/2))/(LN(2)/2)*V130*Y130*VLOOKUP('Données projet'!$B$9,Paramètres!$A$1:$I$89,3,0)*0.475*44/12</f>
        <v>4.2521924242019825E-15</v>
      </c>
      <c r="AC130" s="22">
        <f t="shared" si="57"/>
        <v>1.5366007565804385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1.5961632016114892E-13</v>
      </c>
      <c r="AK130" s="13">
        <f t="shared" si="89"/>
        <v>2.2708641912150958E-12</v>
      </c>
      <c r="AL130" s="20">
        <f t="shared" si="58"/>
        <v>4.2330868906469593E-12</v>
      </c>
      <c r="AM130" s="59">
        <f t="shared" si="59"/>
        <v>293.33333333333752</v>
      </c>
      <c r="AN130" s="59">
        <f ca="1">AVERAGE(OFFSET($AM$3,0,0,'Données projet'!$E$10+1,1))-AVERAGE(OFFSET($H$3,0,0,'Données projet'!$E$10+1,1))</f>
        <v>158.58786357608489</v>
      </c>
      <c r="AO130" s="59">
        <f t="shared" si="90"/>
        <v>163.20074068819849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553.99999999999955</v>
      </c>
      <c r="BE130" s="13">
        <f>BD130*VLOOKUP('Données projet'!$B$11,Paramètres!$A$1:$I$89,3,0)*VLOOKUP('Données projet'!$B$11,Paramètres!$A$1:$I$89,5,0)</f>
        <v>331.29199999999975</v>
      </c>
      <c r="BF130" s="13">
        <f t="shared" si="91"/>
        <v>77.698110787752</v>
      </c>
      <c r="BG130" s="20">
        <f t="shared" si="61"/>
        <v>712.32444295533423</v>
      </c>
      <c r="BH130" s="59">
        <f t="shared" si="62"/>
        <v>1005.6577762886675</v>
      </c>
      <c r="BI130" s="59">
        <f ca="1">AVERAGE(OFFSET($BH$3,0,0,'Données projet'!$E$11+1,1))-AVERAGE(OFFSET($H$3,0,0,'Données projet'!$E$11+1,1))</f>
        <v>316.58509520829671</v>
      </c>
      <c r="BJ130" s="59">
        <f t="shared" si="92"/>
        <v>240.71332110643596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0.3712079528524565</v>
      </c>
      <c r="BQ130" s="21">
        <f>EXP(-LN(2)/25)*BQ129+(1-EXP(-LN(2)/25))/(LN(2)/25)*Calculateur!BL130*Calculateur!BN130*VLOOKUP('Données projet'!$B$11,Paramètres!$A$1:$I$89,3,0)*0.475*44/12</f>
        <v>1.0370117653602704</v>
      </c>
      <c r="BR130" s="21">
        <f>EXP(-LN(2)/2)*BR129+(1-EXP(-LN(2)/2))/(LN(2)/2)*BL130*BO130*VLOOKUP('Données projet'!$B$11,Paramètres!$A$1:$I$89,3,0)*0.475*44/12</f>
        <v>5.511487536464707E-14</v>
      </c>
      <c r="BS130" s="22">
        <f t="shared" si="63"/>
        <v>1.408219718212782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-5.1159076974727213E-13</v>
      </c>
      <c r="BZ130" s="13">
        <f>BY130*VLOOKUP('Données projet'!$B$12,Paramètres!$A$1:$I$89,3,0)*VLOOKUP('Données projet'!$B$12,Paramètres!$A$1:$I$89,5,0)</f>
        <v>-4.0702161641092972E-13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260.20517190557814</v>
      </c>
      <c r="CE130" s="59">
        <f t="shared" si="94"/>
        <v>307.22009971147133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0.47789519466022506</v>
      </c>
      <c r="CL130" s="21">
        <f>EXP(-LN(2)/25)*CL129+(1-EXP(-LN(2)/25))/(LN(2)/25)*Calculateur!CG130*Calculateur!CI130*VLOOKUP('Données projet'!$B$12,Paramètres!$A$1:$I$89,3,0)*0.475*44/12</f>
        <v>1.3937104778888496</v>
      </c>
      <c r="CM130" s="21">
        <f>EXP(-LN(2)/2)*CM129+(1-EXP(-LN(2)/2))/(LN(2)/2)*CG130*CJ130*VLOOKUP('Données projet'!$B$12,Paramètres!$A$1:$I$89,3,0)*0.475*44/12</f>
        <v>6.0389610230872276E-14</v>
      </c>
      <c r="CN130" s="22">
        <f t="shared" si="66"/>
        <v>1.871605672549135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>
        <f>VLOOKUP(A130,'Données projet'!$A$139:$I$159,2,0)</f>
        <v>154.80128205128204</v>
      </c>
      <c r="CR130" s="12">
        <f>VLOOKUP(A130,'Données projet'!$A$139:$I$159,9,0)</f>
        <v>2.3349358974358978</v>
      </c>
      <c r="CS130" s="12">
        <f t="array" ref="CS130">INDEX(CR:CR,MIN(IF(ISNUMBER(CR130:CR326),ROW(CR130:CR326),"")))</f>
        <v>2.3349358974358978</v>
      </c>
      <c r="CT130" s="12">
        <f>IF('Données projet'!$A$140&gt;35,CT129+CS130-DB129,IF(A130&lt;'Données projet'!$A$140,$CQ$205^A130,IF(A130='Données projet'!$A$140,'Données projet'!$B$140,CT129+CS130-DB129)))</f>
        <v>154.8012820512825</v>
      </c>
      <c r="CU130" s="17">
        <f>CT130*VLOOKUP('Données projet'!$B$13,Paramètres!$A$1:$I$89,3,0)*VLOOKUP('Données projet'!$B$13,Paramètres!$A$1:$I$89,5,0)</f>
        <v>156.96850000000046</v>
      </c>
      <c r="CV130" s="13">
        <f t="shared" si="95"/>
        <v>40.157992758290085</v>
      </c>
      <c r="CW130" s="20">
        <f t="shared" si="67"/>
        <v>343.32864155402268</v>
      </c>
      <c r="CX130" s="59">
        <f t="shared" si="68"/>
        <v>636.661974887356</v>
      </c>
      <c r="CY130" s="59">
        <f ca="1">AVERAGE(OFFSET($CX$3,0,0,'Données projet'!$E$13+1,1))-AVERAGE(OFFSET($H$3,0,0,'Données projet'!$E$13+1,1))</f>
        <v>263.15518481854753</v>
      </c>
      <c r="CZ130" s="59">
        <f t="shared" si="96"/>
        <v>210.80755370263819</v>
      </c>
      <c r="DA130" s="15">
        <f>IF(ISNA(VLOOKUP(A130,'Données projet'!$A$139:$I$159,3,0)),0,VLOOKUP(A130,'Données projet'!$A$139:$I$159,3,0))</f>
        <v>13</v>
      </c>
      <c r="DB130" s="15">
        <f>IF(ISNA(VLOOKUP(A130,'Données projet'!$A$139:$I$159,4,0)),0,VLOOKUP(A130,'Données projet'!$A$139:$I$159,4,0))</f>
        <v>49.916666666666671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0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275.99999999999972</v>
      </c>
      <c r="DP130" s="17">
        <f>DO130*VLOOKUP('Données projet'!$B$14,Paramètres!$A$1:$I$89,3,0)*VLOOKUP('Données projet'!$B$14,Paramètres!$A$1:$I$89,5,0)</f>
        <v>223.8911999999998</v>
      </c>
      <c r="DQ130" s="13">
        <f t="shared" si="97"/>
        <v>54.95975389514858</v>
      </c>
      <c r="DR130" s="20">
        <f t="shared" si="70"/>
        <v>485.66541136738346</v>
      </c>
      <c r="DS130" s="59">
        <f t="shared" si="71"/>
        <v>778.99874470071677</v>
      </c>
      <c r="DT130" s="59">
        <f ca="1">AVERAGE(OFFSET($DS$3,0,0,'Données projet'!$E$14+1,1))-AVERAGE(OFFSET($H$3,0,0,'Données projet'!$E$14+1,1))</f>
        <v>203.21935660591021</v>
      </c>
      <c r="DU130" s="59">
        <f t="shared" si="98"/>
        <v>180.54762778843178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0.14683639890474512</v>
      </c>
      <c r="EB130" s="21">
        <f>EXP(-LN(2)/25)*EB129+(1-EXP(-LN(2)/25))/(LN(2)/25)*Calculateur!DW130*Calculateur!DY130*VLOOKUP('Données projet'!$B$14,Paramètres!$A$1:$I$89,3,0)*0.475*44/12</f>
        <v>0.3941927599428432</v>
      </c>
      <c r="EC130" s="21">
        <f>EXP(-LN(2)/2)*EC129+(1-EXP(-LN(2)/2))/(LN(2)/2)*DW130*DZ130*VLOOKUP('Données projet'!$B$14,Paramètres!$A$1:$I$89,3,0)*0.475*44/12</f>
        <v>2.2766804193405973E-14</v>
      </c>
      <c r="ED130" s="22">
        <f t="shared" si="72"/>
        <v>0.54102915884761105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-5.1159076974727213E-13</v>
      </c>
      <c r="EK130" s="17">
        <f>EJ130*VLOOKUP('Données projet'!$B$15,Paramètres!$A$1:$I$89,3,0)*VLOOKUP('Données projet'!$B$15,Paramètres!$A$1:$I$89,5,0)</f>
        <v>-3.4317508834647017E-13</v>
      </c>
      <c r="EL130" s="13" t="e">
        <f t="shared" si="99"/>
        <v>#NUM!</v>
      </c>
      <c r="EM130" s="20" t="e">
        <f t="shared" si="73"/>
        <v>#NUM!</v>
      </c>
      <c r="EN130" s="59" t="e">
        <f t="shared" si="74"/>
        <v>#NUM!</v>
      </c>
      <c r="EO130" s="59">
        <f ca="1">AVERAGE(OFFSET($EN$3,0,0,'Données projet'!$E$15+1,1))-AVERAGE(OFFSET($H$3,0,0,'Données projet'!$E$15+1,1))</f>
        <v>207.93042467236967</v>
      </c>
      <c r="EP130" s="59">
        <f t="shared" si="100"/>
        <v>250.70954318710835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0.40293124255665985</v>
      </c>
      <c r="EW130" s="21">
        <f>EXP(-LN(2)/25)*EW129+(1-EXP(-LN(2)/25))/(LN(2)/25)*Calculateur!ER130*Calculateur!ET130*VLOOKUP('Données projet'!$B$15,Paramètres!$A$1:$I$89,3,0)*0.475*44/12</f>
        <v>1.1750892264553063</v>
      </c>
      <c r="EX130" s="21">
        <f>EXP(-LN(2)/2)*EX129+(1-EXP(-LN(2)/2))/(LN(2)/2)*ER130*EU130*VLOOKUP('Données projet'!$B$15,Paramètres!$A$1:$I$89,3,0)*0.475*44/12</f>
        <v>5.0916730194657014E-14</v>
      </c>
      <c r="EY130" s="22">
        <f t="shared" si="75"/>
        <v>1.578020469012017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-2.2737367544323206E-13</v>
      </c>
      <c r="O131" s="13">
        <f>N131*VLOOKUP('Données projet'!$B$9,Paramètres!$A$1:$I$89,3,0)*VLOOKUP('Données projet'!$B$9,Paramètres!$A$1:$I$89,5,0)</f>
        <v>-1.2710188457276673E-13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255.5374979188561</v>
      </c>
      <c r="T131" s="59">
        <f t="shared" si="88"/>
        <v>343.10418468620901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0.44369060466383636</v>
      </c>
      <c r="AA131" s="21">
        <f>EXP(-LN(2)/25)*AA130+(1-EXP(-LN(2)/25))/(LN(2)/25)*Calculateur!V131*Calculateur!X131*VLOOKUP('Données projet'!$B$9,Paramètres!$A$1:$I$89,3,0)*0.475*44/12</f>
        <v>1.0543926145454876</v>
      </c>
      <c r="AB131" s="21">
        <f>EXP(-LN(2)/2)*AB130+(1-EXP(-LN(2)/2))/(LN(2)/2)*V131*Y131*VLOOKUP('Données projet'!$B$9,Paramètres!$A$1:$I$89,3,0)*0.475*44/12</f>
        <v>3.0067540980632864E-15</v>
      </c>
      <c r="AC131" s="22">
        <f t="shared" si="57"/>
        <v>1.498083219209327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1.5961632016114892E-13</v>
      </c>
      <c r="AK131" s="13">
        <f t="shared" si="89"/>
        <v>2.2708641912150958E-12</v>
      </c>
      <c r="AL131" s="20">
        <f t="shared" si="58"/>
        <v>4.2330868906469593E-12</v>
      </c>
      <c r="AM131" s="59">
        <f t="shared" si="59"/>
        <v>293.33333333333752</v>
      </c>
      <c r="AN131" s="59">
        <f ca="1">AVERAGE(OFFSET($AM$3,0,0,'Données projet'!$E$10+1,1))-AVERAGE(OFFSET($H$3,0,0,'Données projet'!$E$10+1,1))</f>
        <v>158.58786357608489</v>
      </c>
      <c r="AO131" s="59">
        <f t="shared" si="90"/>
        <v>163.20074068819849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553.99999999999955</v>
      </c>
      <c r="BE131" s="13">
        <f>BD131*VLOOKUP('Données projet'!$B$11,Paramètres!$A$1:$I$89,3,0)*VLOOKUP('Données projet'!$B$11,Paramètres!$A$1:$I$89,5,0)</f>
        <v>331.29199999999975</v>
      </c>
      <c r="BF131" s="13">
        <f t="shared" si="91"/>
        <v>77.698110787752</v>
      </c>
      <c r="BG131" s="20">
        <f t="shared" si="61"/>
        <v>712.32444295533423</v>
      </c>
      <c r="BH131" s="59">
        <f t="shared" si="62"/>
        <v>1005.6577762886675</v>
      </c>
      <c r="BI131" s="59">
        <f ca="1">AVERAGE(OFFSET($BH$3,0,0,'Données projet'!$E$11+1,1))-AVERAGE(OFFSET($H$3,0,0,'Données projet'!$E$11+1,1))</f>
        <v>316.58509520829671</v>
      </c>
      <c r="BJ131" s="59">
        <f t="shared" si="92"/>
        <v>240.71332110643596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0.36392879131151451</v>
      </c>
      <c r="BQ131" s="21">
        <f>EXP(-LN(2)/25)*BQ130+(1-EXP(-LN(2)/25))/(LN(2)/25)*Calculateur!BL131*Calculateur!BN131*VLOOKUP('Données projet'!$B$11,Paramètres!$A$1:$I$89,3,0)*0.475*44/12</f>
        <v>1.0086546241024152</v>
      </c>
      <c r="BR131" s="21">
        <f>EXP(-LN(2)/2)*BR130+(1-EXP(-LN(2)/2))/(LN(2)/2)*BL131*BO131*VLOOKUP('Données projet'!$B$11,Paramètres!$A$1:$I$89,3,0)*0.475*44/12</f>
        <v>3.8972102114593334E-14</v>
      </c>
      <c r="BS131" s="22">
        <f t="shared" si="63"/>
        <v>1.3725834154139689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-5.1159076974727213E-13</v>
      </c>
      <c r="BZ131" s="13">
        <f>BY131*VLOOKUP('Données projet'!$B$12,Paramètres!$A$1:$I$89,3,0)*VLOOKUP('Données projet'!$B$12,Paramètres!$A$1:$I$89,5,0)</f>
        <v>-4.0702161641092972E-13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260.20517190557814</v>
      </c>
      <c r="CE131" s="59">
        <f t="shared" si="94"/>
        <v>307.22009971147133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0.46852396138022484</v>
      </c>
      <c r="CL131" s="21">
        <f>EXP(-LN(2)/25)*CL130+(1-EXP(-LN(2)/25))/(LN(2)/25)*Calculateur!CG131*Calculateur!CI131*VLOOKUP('Données projet'!$B$12,Paramètres!$A$1:$I$89,3,0)*0.475*44/12</f>
        <v>1.3555993915789304</v>
      </c>
      <c r="CM131" s="21">
        <f>EXP(-LN(2)/2)*CM130+(1-EXP(-LN(2)/2))/(LN(2)/2)*CG131*CJ131*VLOOKUP('Données projet'!$B$12,Paramètres!$A$1:$I$89,3,0)*0.475*44/12</f>
        <v>4.2701902907462295E-14</v>
      </c>
      <c r="CN131" s="22">
        <f t="shared" si="66"/>
        <v>1.8241233529591978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1.5064102564102591</v>
      </c>
      <c r="CT131" s="12">
        <f>IF('Données projet'!$A$140&gt;35,CT130+CS131-DB130,IF(A131&lt;'Données projet'!$A$140,$CQ$205^A131,IF(A131='Données projet'!$A$140,'Données projet'!$B$140,CT130+CS131-DB130)))</f>
        <v>106.39102564102608</v>
      </c>
      <c r="CU131" s="17">
        <f>CT131*VLOOKUP('Données projet'!$B$13,Paramètres!$A$1:$I$89,3,0)*VLOOKUP('Données projet'!$B$13,Paramètres!$A$1:$I$89,5,0)</f>
        <v>107.88050000000045</v>
      </c>
      <c r="CV131" s="13">
        <f t="shared" si="95"/>
        <v>28.831049785836466</v>
      </c>
      <c r="CW131" s="20">
        <f t="shared" si="67"/>
        <v>238.1059492103326</v>
      </c>
      <c r="CX131" s="59">
        <f t="shared" si="68"/>
        <v>531.43928254366597</v>
      </c>
      <c r="CY131" s="59">
        <f ca="1">AVERAGE(OFFSET($CX$3,0,0,'Données projet'!$E$13+1,1))-AVERAGE(OFFSET($H$3,0,0,'Données projet'!$E$13+1,1))</f>
        <v>263.15518481854753</v>
      </c>
      <c r="CZ131" s="59">
        <f t="shared" si="96"/>
        <v>210.80755370263819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0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275.99999999999972</v>
      </c>
      <c r="DP131" s="17">
        <f>DO131*VLOOKUP('Données projet'!$B$14,Paramètres!$A$1:$I$89,3,0)*VLOOKUP('Données projet'!$B$14,Paramètres!$A$1:$I$89,5,0)</f>
        <v>223.8911999999998</v>
      </c>
      <c r="DQ131" s="13">
        <f t="shared" si="97"/>
        <v>54.95975389514858</v>
      </c>
      <c r="DR131" s="20">
        <f t="shared" si="70"/>
        <v>485.66541136738346</v>
      </c>
      <c r="DS131" s="59">
        <f t="shared" si="71"/>
        <v>778.99874470071677</v>
      </c>
      <c r="DT131" s="59">
        <f ca="1">AVERAGE(OFFSET($DS$3,0,0,'Données projet'!$E$14+1,1))-AVERAGE(OFFSET($H$3,0,0,'Données projet'!$E$14+1,1))</f>
        <v>203.21935660591021</v>
      </c>
      <c r="DU131" s="59">
        <f t="shared" si="98"/>
        <v>180.54762778843178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0.14395702668358296</v>
      </c>
      <c r="EB131" s="21">
        <f>EXP(-LN(2)/25)*EB130+(1-EXP(-LN(2)/25))/(LN(2)/25)*Calculateur!DW131*Calculateur!DY131*VLOOKUP('Données projet'!$B$14,Paramètres!$A$1:$I$89,3,0)*0.475*44/12</f>
        <v>0.38341353819250984</v>
      </c>
      <c r="EC131" s="21">
        <f>EXP(-LN(2)/2)*EC130+(1-EXP(-LN(2)/2))/(LN(2)/2)*DW131*DZ131*VLOOKUP('Données projet'!$B$14,Paramètres!$A$1:$I$89,3,0)*0.475*44/12</f>
        <v>1.609856163110369E-14</v>
      </c>
      <c r="ED131" s="22">
        <f t="shared" si="72"/>
        <v>0.52737056487610889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-5.1159076974727213E-13</v>
      </c>
      <c r="EK131" s="17">
        <f>EJ131*VLOOKUP('Données projet'!$B$15,Paramètres!$A$1:$I$89,3,0)*VLOOKUP('Données projet'!$B$15,Paramètres!$A$1:$I$89,5,0)</f>
        <v>-3.4317508834647017E-13</v>
      </c>
      <c r="EL131" s="13" t="e">
        <f t="shared" si="99"/>
        <v>#NUM!</v>
      </c>
      <c r="EM131" s="20" t="e">
        <f t="shared" si="73"/>
        <v>#NUM!</v>
      </c>
      <c r="EN131" s="59" t="e">
        <f t="shared" si="74"/>
        <v>#NUM!</v>
      </c>
      <c r="EO131" s="59">
        <f ca="1">AVERAGE(OFFSET($EN$3,0,0,'Données projet'!$E$15+1,1))-AVERAGE(OFFSET($H$3,0,0,'Données projet'!$E$15+1,1))</f>
        <v>207.93042467236967</v>
      </c>
      <c r="EP131" s="59">
        <f t="shared" si="100"/>
        <v>250.70954318710835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0.39503000665391458</v>
      </c>
      <c r="EW131" s="21">
        <f>EXP(-LN(2)/25)*EW130+(1-EXP(-LN(2)/25))/(LN(2)/25)*Calculateur!ER131*Calculateur!ET131*VLOOKUP('Données projet'!$B$15,Paramètres!$A$1:$I$89,3,0)*0.475*44/12</f>
        <v>1.1429563497626292</v>
      </c>
      <c r="EX131" s="21">
        <f>EXP(-LN(2)/2)*EX130+(1-EXP(-LN(2)/2))/(LN(2)/2)*ER131*EU131*VLOOKUP('Données projet'!$B$15,Paramètres!$A$1:$I$89,3,0)*0.475*44/12</f>
        <v>3.6003565196487814E-14</v>
      </c>
      <c r="EY131" s="22">
        <f t="shared" si="75"/>
        <v>1.5379863564165797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-2.2737367544323206E-13</v>
      </c>
      <c r="O132" s="13">
        <f>N132*VLOOKUP('Données projet'!$B$9,Paramètres!$A$1:$I$89,3,0)*VLOOKUP('Données projet'!$B$9,Paramètres!$A$1:$I$89,5,0)</f>
        <v>-1.2710188457276673E-13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255.5374979188561</v>
      </c>
      <c r="T132" s="59">
        <f t="shared" si="88"/>
        <v>343.10418468620901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0.4349901025309254</v>
      </c>
      <c r="AA132" s="21">
        <f>EXP(-LN(2)/25)*AA131+(1-EXP(-LN(2)/25))/(LN(2)/25)*Calculateur!V132*Calculateur!X132*VLOOKUP('Données projet'!$B$9,Paramètres!$A$1:$I$89,3,0)*0.475*44/12</f>
        <v>1.0255601930526435</v>
      </c>
      <c r="AB132" s="21">
        <f>EXP(-LN(2)/2)*AB131+(1-EXP(-LN(2)/2))/(LN(2)/2)*V132*Y132*VLOOKUP('Données projet'!$B$9,Paramètres!$A$1:$I$89,3,0)*0.475*44/12</f>
        <v>2.1260962121009913E-15</v>
      </c>
      <c r="AC132" s="22">
        <f t="shared" ref="AC132:AC153" si="111">SUM(Z132:AB132)</f>
        <v>1.460550295583571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1.5961632016114892E-13</v>
      </c>
      <c r="AK132" s="13">
        <f t="shared" si="89"/>
        <v>2.2708641912150958E-12</v>
      </c>
      <c r="AL132" s="20">
        <f t="shared" ref="AL132:AL153" si="112">(AJ132+AK132)*0.475*44/12</f>
        <v>4.2330868906469593E-12</v>
      </c>
      <c r="AM132" s="59">
        <f t="shared" ref="AM132:AM195" si="113">AL132+(AD132+AE132)*44/12</f>
        <v>293.33333333333752</v>
      </c>
      <c r="AN132" s="59">
        <f ca="1">AVERAGE(OFFSET($AM$3,0,0,'Données projet'!$E$10+1,1))-AVERAGE(OFFSET($H$3,0,0,'Données projet'!$E$10+1,1))</f>
        <v>158.58786357608489</v>
      </c>
      <c r="AO132" s="59">
        <f t="shared" si="90"/>
        <v>163.20074068819849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553.99999999999955</v>
      </c>
      <c r="BE132" s="13">
        <f>BD132*VLOOKUP('Données projet'!$B$11,Paramètres!$A$1:$I$89,3,0)*VLOOKUP('Données projet'!$B$11,Paramètres!$A$1:$I$89,5,0)</f>
        <v>331.29199999999975</v>
      </c>
      <c r="BF132" s="13">
        <f t="shared" si="91"/>
        <v>77.698110787752</v>
      </c>
      <c r="BG132" s="20">
        <f t="shared" ref="BG132:BG153" si="115">(BE132+BF132)*0.475*44/12</f>
        <v>712.32444295533423</v>
      </c>
      <c r="BH132" s="59">
        <f t="shared" ref="BH132:BH195" si="116">BG132+(AY132+AZ132)*44/12</f>
        <v>1005.6577762886675</v>
      </c>
      <c r="BI132" s="59">
        <f ca="1">AVERAGE(OFFSET($BH$3,0,0,'Données projet'!$E$11+1,1))-AVERAGE(OFFSET($H$3,0,0,'Données projet'!$E$11+1,1))</f>
        <v>316.58509520829671</v>
      </c>
      <c r="BJ132" s="59">
        <f t="shared" si="92"/>
        <v>240.71332110643596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0.35679236968854022</v>
      </c>
      <c r="BQ132" s="21">
        <f>EXP(-LN(2)/25)*BQ131+(1-EXP(-LN(2)/25))/(LN(2)/25)*Calculateur!BL132*Calculateur!BN132*VLOOKUP('Données projet'!$B$11,Paramètres!$A$1:$I$89,3,0)*0.475*44/12</f>
        <v>0.98107291036349331</v>
      </c>
      <c r="BR132" s="21">
        <f>EXP(-LN(2)/2)*BR131+(1-EXP(-LN(2)/2))/(LN(2)/2)*BL132*BO132*VLOOKUP('Données projet'!$B$11,Paramètres!$A$1:$I$89,3,0)*0.475*44/12</f>
        <v>2.7557437682323535E-14</v>
      </c>
      <c r="BS132" s="22">
        <f t="shared" ref="BS132:BS153" si="117">SUM(BP132:BR132)</f>
        <v>1.337865280052061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-5.1159076974727213E-13</v>
      </c>
      <c r="BZ132" s="13">
        <f>BY132*VLOOKUP('Données projet'!$B$12,Paramètres!$A$1:$I$89,3,0)*VLOOKUP('Données projet'!$B$12,Paramètres!$A$1:$I$89,5,0)</f>
        <v>-4.0702161641092972E-13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260.20517190557814</v>
      </c>
      <c r="CE132" s="59">
        <f t="shared" si="94"/>
        <v>307.22009971147133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0.45933649226895751</v>
      </c>
      <c r="CL132" s="21">
        <f>EXP(-LN(2)/25)*CL131+(1-EXP(-LN(2)/25))/(LN(2)/25)*Calculateur!CG132*Calculateur!CI132*VLOOKUP('Données projet'!$B$12,Paramètres!$A$1:$I$89,3,0)*0.475*44/12</f>
        <v>1.3185304549283308</v>
      </c>
      <c r="CM132" s="21">
        <f>EXP(-LN(2)/2)*CM131+(1-EXP(-LN(2)/2))/(LN(2)/2)*CG132*CJ132*VLOOKUP('Données projet'!$B$12,Paramètres!$A$1:$I$89,3,0)*0.475*44/12</f>
        <v>3.0194805115436138E-14</v>
      </c>
      <c r="CN132" s="22">
        <f t="shared" ref="CN132:CN153" si="120">SUM(CK132:CM132)</f>
        <v>1.7778669471973185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1.5064102564102591</v>
      </c>
      <c r="CT132" s="12">
        <f>IF('Données projet'!$A$140&gt;35,CT131+CS132-DB131,IF(A132&lt;'Données projet'!$A$140,$CQ$205^A132,IF(A132='Données projet'!$A$140,'Données projet'!$B$140,CT131+CS132-DB131)))</f>
        <v>107.89743589743634</v>
      </c>
      <c r="CU132" s="17">
        <f>CT132*VLOOKUP('Données projet'!$B$13,Paramètres!$A$1:$I$89,3,0)*VLOOKUP('Données projet'!$B$13,Paramètres!$A$1:$I$89,5,0)</f>
        <v>109.40800000000046</v>
      </c>
      <c r="CV132" s="13">
        <f t="shared" si="95"/>
        <v>29.191460979261116</v>
      </c>
      <c r="CW132" s="20">
        <f t="shared" ref="CW132:CW153" si="121">(CU132+CV132)*0.475*44/12</f>
        <v>241.39406120554722</v>
      </c>
      <c r="CX132" s="59">
        <f t="shared" ref="CX132:CX195" si="122">CW132+(CO132+CP132)*44/12</f>
        <v>534.7273945388805</v>
      </c>
      <c r="CY132" s="59">
        <f ca="1">AVERAGE(OFFSET($CX$3,0,0,'Données projet'!$E$13+1,1))-AVERAGE(OFFSET($H$3,0,0,'Données projet'!$E$13+1,1))</f>
        <v>263.15518481854753</v>
      </c>
      <c r="CZ132" s="59">
        <f t="shared" si="96"/>
        <v>210.80755370263819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0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275.99999999999972</v>
      </c>
      <c r="DP132" s="17">
        <f>DO132*VLOOKUP('Données projet'!$B$14,Paramètres!$A$1:$I$89,3,0)*VLOOKUP('Données projet'!$B$14,Paramètres!$A$1:$I$89,5,0)</f>
        <v>223.8911999999998</v>
      </c>
      <c r="DQ132" s="13">
        <f t="shared" si="97"/>
        <v>54.95975389514858</v>
      </c>
      <c r="DR132" s="20">
        <f t="shared" ref="DR132:DR153" si="124">(DP132+DQ132)*0.475*44/12</f>
        <v>485.66541136738346</v>
      </c>
      <c r="DS132" s="59">
        <f t="shared" ref="DS132:DS195" si="125">DR132+(DJ132+DK132)*44/12</f>
        <v>778.99874470071677</v>
      </c>
      <c r="DT132" s="59">
        <f ca="1">AVERAGE(OFFSET($DS$3,0,0,'Données projet'!$E$14+1,1))-AVERAGE(OFFSET($H$3,0,0,'Données projet'!$E$14+1,1))</f>
        <v>203.21935660591021</v>
      </c>
      <c r="DU132" s="59">
        <f t="shared" si="98"/>
        <v>180.54762778843178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0.14113411719543414</v>
      </c>
      <c r="EB132" s="21">
        <f>EXP(-LN(2)/25)*EB131+(1-EXP(-LN(2)/25))/(LN(2)/25)*Calculateur!DW132*Calculateur!DY132*VLOOKUP('Données projet'!$B$14,Paramètres!$A$1:$I$89,3,0)*0.475*44/12</f>
        <v>0.37292907482779397</v>
      </c>
      <c r="EC132" s="21">
        <f>EXP(-LN(2)/2)*EC131+(1-EXP(-LN(2)/2))/(LN(2)/2)*DW132*DZ132*VLOOKUP('Données projet'!$B$14,Paramètres!$A$1:$I$89,3,0)*0.475*44/12</f>
        <v>1.1383402096702987E-14</v>
      </c>
      <c r="ED132" s="22">
        <f t="shared" ref="ED132:ED153" si="126">SUM(EA132:EC132)</f>
        <v>0.51406319202323958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-5.1159076974727213E-13</v>
      </c>
      <c r="EK132" s="17">
        <f>EJ132*VLOOKUP('Données projet'!$B$15,Paramètres!$A$1:$I$89,3,0)*VLOOKUP('Données projet'!$B$15,Paramètres!$A$1:$I$89,5,0)</f>
        <v>-3.4317508834647017E-13</v>
      </c>
      <c r="EL132" s="13" t="e">
        <f t="shared" si="99"/>
        <v>#NUM!</v>
      </c>
      <c r="EM132" s="20" t="e">
        <f t="shared" ref="EM132:EM153" si="127">(EK132+EL132)*0.475*44/12</f>
        <v>#NUM!</v>
      </c>
      <c r="EN132" s="59" t="e">
        <f t="shared" ref="EN132:EN195" si="128">EM132+(EE132+EF132)*44/12</f>
        <v>#NUM!</v>
      </c>
      <c r="EO132" s="59">
        <f ca="1">AVERAGE(OFFSET($EN$3,0,0,'Données projet'!$E$15+1,1))-AVERAGE(OFFSET($H$3,0,0,'Données projet'!$E$15+1,1))</f>
        <v>207.93042467236967</v>
      </c>
      <c r="EP132" s="59">
        <f t="shared" si="100"/>
        <v>250.70954318710835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0.38728370916794408</v>
      </c>
      <c r="EW132" s="21">
        <f>EXP(-LN(2)/25)*EW131+(1-EXP(-LN(2)/25))/(LN(2)/25)*Calculateur!ER132*Calculateur!ET132*VLOOKUP('Données projet'!$B$15,Paramètres!$A$1:$I$89,3,0)*0.475*44/12</f>
        <v>1.1117021482729079</v>
      </c>
      <c r="EX132" s="21">
        <f>EXP(-LN(2)/2)*EX131+(1-EXP(-LN(2)/2))/(LN(2)/2)*ER132*EU132*VLOOKUP('Données projet'!$B$15,Paramètres!$A$1:$I$89,3,0)*0.475*44/12</f>
        <v>2.5458365097328507E-14</v>
      </c>
      <c r="EY132" s="22">
        <f t="shared" ref="EY132:EY153" si="129">SUM(EV132:EX132)</f>
        <v>1.4989858574408774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-2.2737367544323206E-13</v>
      </c>
      <c r="O133" s="13">
        <f>N133*VLOOKUP('Données projet'!$B$9,Paramètres!$A$1:$I$89,3,0)*VLOOKUP('Données projet'!$B$9,Paramètres!$A$1:$I$89,5,0)</f>
        <v>-1.2710188457276673E-13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255.5374979188561</v>
      </c>
      <c r="T133" s="59">
        <f t="shared" ref="T133:T196" si="142">$T$3</f>
        <v>343.10418468620901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0.42646021193805855</v>
      </c>
      <c r="AA133" s="21">
        <f>EXP(-LN(2)/25)*AA132+(1-EXP(-LN(2)/25))/(LN(2)/25)*Calculateur!V133*Calculateur!X133*VLOOKUP('Données projet'!$B$9,Paramètres!$A$1:$I$89,3,0)*0.475*44/12</f>
        <v>0.99751619564175231</v>
      </c>
      <c r="AB133" s="21">
        <f>EXP(-LN(2)/2)*AB132+(1-EXP(-LN(2)/2))/(LN(2)/2)*V133*Y133*VLOOKUP('Données projet'!$B$9,Paramètres!$A$1:$I$89,3,0)*0.475*44/12</f>
        <v>1.5033770490316432E-15</v>
      </c>
      <c r="AC133" s="22">
        <f t="shared" si="111"/>
        <v>1.4239764075798125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1.5961632016114892E-13</v>
      </c>
      <c r="AK133" s="13">
        <f t="shared" ref="AK133:AK153" si="143">EXP(-1.0587+0.8836*LN(AJ133)+0.284)</f>
        <v>2.2708641912150958E-12</v>
      </c>
      <c r="AL133" s="20">
        <f t="shared" si="112"/>
        <v>4.2330868906469593E-12</v>
      </c>
      <c r="AM133" s="59">
        <f t="shared" si="113"/>
        <v>293.33333333333752</v>
      </c>
      <c r="AN133" s="59">
        <f ca="1">AVERAGE(OFFSET($AM$3,0,0,'Données projet'!$E$10+1,1))-AVERAGE(OFFSET($H$3,0,0,'Données projet'!$E$10+1,1))</f>
        <v>158.58786357608489</v>
      </c>
      <c r="AO133" s="59">
        <f t="shared" ref="AO133:AO196" si="144">$AO$3</f>
        <v>163.20074068819849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553.99999999999955</v>
      </c>
      <c r="BE133" s="13">
        <f>BD133*VLOOKUP('Données projet'!$B$11,Paramètres!$A$1:$I$89,3,0)*VLOOKUP('Données projet'!$B$11,Paramètres!$A$1:$I$89,5,0)</f>
        <v>331.29199999999975</v>
      </c>
      <c r="BF133" s="13">
        <f t="shared" ref="BF133:BF153" si="145">EXP(-1.0587+0.8836*LN(BE133)+0.284)</f>
        <v>77.698110787752</v>
      </c>
      <c r="BG133" s="20">
        <f t="shared" si="115"/>
        <v>712.32444295533423</v>
      </c>
      <c r="BH133" s="59">
        <f t="shared" si="116"/>
        <v>1005.6577762886675</v>
      </c>
      <c r="BI133" s="59">
        <f ca="1">AVERAGE(OFFSET($BH$3,0,0,'Données projet'!$E$11+1,1))-AVERAGE(OFFSET($H$3,0,0,'Données projet'!$E$11+1,1))</f>
        <v>316.58509520829671</v>
      </c>
      <c r="BJ133" s="59">
        <f t="shared" ref="BJ133:BJ196" si="146">$BJ$3</f>
        <v>240.71332110643596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0.3497958889408051</v>
      </c>
      <c r="BQ133" s="21">
        <f>EXP(-LN(2)/25)*BQ132+(1-EXP(-LN(2)/25))/(LN(2)/25)*Calculateur!BL133*Calculateur!BN133*VLOOKUP('Données projet'!$B$11,Paramètres!$A$1:$I$89,3,0)*0.475*44/12</f>
        <v>0.95424542003722146</v>
      </c>
      <c r="BR133" s="21">
        <f>EXP(-LN(2)/2)*BR132+(1-EXP(-LN(2)/2))/(LN(2)/2)*BL133*BO133*VLOOKUP('Données projet'!$B$11,Paramètres!$A$1:$I$89,3,0)*0.475*44/12</f>
        <v>1.9486051057296667E-14</v>
      </c>
      <c r="BS133" s="22">
        <f t="shared" si="117"/>
        <v>1.304041308978046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-5.1159076974727213E-13</v>
      </c>
      <c r="BZ133" s="13">
        <f>BY133*VLOOKUP('Données projet'!$B$12,Paramètres!$A$1:$I$89,3,0)*VLOOKUP('Données projet'!$B$12,Paramètres!$A$1:$I$89,5,0)</f>
        <v>-4.0702161641092972E-13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260.20517190557814</v>
      </c>
      <c r="CE133" s="59">
        <f t="shared" ref="CE133:CE196" si="148">$CE$3</f>
        <v>307.22009971147133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0.45032918382315928</v>
      </c>
      <c r="CL133" s="21">
        <f>EXP(-LN(2)/25)*CL132+(1-EXP(-LN(2)/25))/(LN(2)/25)*Calculateur!CG133*Calculateur!CI133*VLOOKUP('Données projet'!$B$12,Paramètres!$A$1:$I$89,3,0)*0.475*44/12</f>
        <v>1.2824751702998125</v>
      </c>
      <c r="CM133" s="21">
        <f>EXP(-LN(2)/2)*CM132+(1-EXP(-LN(2)/2))/(LN(2)/2)*CG133*CJ133*VLOOKUP('Données projet'!$B$12,Paramètres!$A$1:$I$89,3,0)*0.475*44/12</f>
        <v>2.1350951453731147E-14</v>
      </c>
      <c r="CN133" s="22">
        <f t="shared" si="120"/>
        <v>1.7328043541229932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1.5064102564102591</v>
      </c>
      <c r="CT133" s="12">
        <f>IF('Données projet'!$A$140&gt;35,CT132+CS133-DB132,IF(A133&lt;'Données projet'!$A$140,$CQ$205^A133,IF(A133='Données projet'!$A$140,'Données projet'!$B$140,CT132+CS133-DB132)))</f>
        <v>109.4038461538466</v>
      </c>
      <c r="CU133" s="17">
        <f>CT133*VLOOKUP('Données projet'!$B$13,Paramètres!$A$1:$I$89,3,0)*VLOOKUP('Données projet'!$B$13,Paramètres!$A$1:$I$89,5,0)</f>
        <v>110.93550000000046</v>
      </c>
      <c r="CV133" s="13">
        <f t="shared" ref="CV133:CV153" si="149">EXP(-1.0587+0.8836*LN(CU133)+0.284)</f>
        <v>29.55128691723468</v>
      </c>
      <c r="CW133" s="20">
        <f t="shared" si="121"/>
        <v>244.68115388085121</v>
      </c>
      <c r="CX133" s="59">
        <f t="shared" si="122"/>
        <v>538.01448721418456</v>
      </c>
      <c r="CY133" s="59">
        <f ca="1">AVERAGE(OFFSET($CX$3,0,0,'Données projet'!$E$13+1,1))-AVERAGE(OFFSET($H$3,0,0,'Données projet'!$E$13+1,1))</f>
        <v>263.15518481854753</v>
      </c>
      <c r="CZ133" s="59">
        <f t="shared" ref="CZ133:CZ196" si="150">$CZ$3</f>
        <v>210.80755370263819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0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275.99999999999972</v>
      </c>
      <c r="DP133" s="17">
        <f>DO133*VLOOKUP('Données projet'!$B$14,Paramètres!$A$1:$I$89,3,0)*VLOOKUP('Données projet'!$B$14,Paramètres!$A$1:$I$89,5,0)</f>
        <v>223.8911999999998</v>
      </c>
      <c r="DQ133" s="13">
        <f t="shared" ref="DQ133:DQ153" si="151">EXP(-1.0587+0.8836*LN(DP133)+0.284)</f>
        <v>54.95975389514858</v>
      </c>
      <c r="DR133" s="20">
        <f t="shared" si="124"/>
        <v>485.66541136738346</v>
      </c>
      <c r="DS133" s="59">
        <f t="shared" si="125"/>
        <v>778.99874470071677</v>
      </c>
      <c r="DT133" s="59">
        <f ca="1">AVERAGE(OFFSET($DS$3,0,0,'Données projet'!$E$14+1,1))-AVERAGE(OFFSET($H$3,0,0,'Données projet'!$E$14+1,1))</f>
        <v>203.21935660591021</v>
      </c>
      <c r="DU133" s="59">
        <f t="shared" ref="DU133:DU196" si="152">$DU$3</f>
        <v>180.54762778843178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0.13836656324054314</v>
      </c>
      <c r="EB133" s="21">
        <f>EXP(-LN(2)/25)*EB132+(1-EXP(-LN(2)/25))/(LN(2)/25)*Calculateur!DW133*Calculateur!DY133*VLOOKUP('Données projet'!$B$14,Paramètres!$A$1:$I$89,3,0)*0.475*44/12</f>
        <v>0.36273130966514022</v>
      </c>
      <c r="EC133" s="21">
        <f>EXP(-LN(2)/2)*EC132+(1-EXP(-LN(2)/2))/(LN(2)/2)*DW133*DZ133*VLOOKUP('Données projet'!$B$14,Paramètres!$A$1:$I$89,3,0)*0.475*44/12</f>
        <v>8.0492808155518449E-15</v>
      </c>
      <c r="ED133" s="22">
        <f t="shared" si="126"/>
        <v>0.50109787290569152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-5.1159076974727213E-13</v>
      </c>
      <c r="EK133" s="17">
        <f>EJ133*VLOOKUP('Données projet'!$B$15,Paramètres!$A$1:$I$89,3,0)*VLOOKUP('Données projet'!$B$15,Paramètres!$A$1:$I$89,5,0)</f>
        <v>-3.4317508834647017E-13</v>
      </c>
      <c r="EL133" s="13" t="e">
        <f t="shared" ref="EL133:EL153" si="153">EXP(-1.0587+0.8836*LN(EK133)+0.284)</f>
        <v>#NUM!</v>
      </c>
      <c r="EM133" s="20" t="e">
        <f t="shared" si="127"/>
        <v>#NUM!</v>
      </c>
      <c r="EN133" s="59" t="e">
        <f t="shared" si="128"/>
        <v>#NUM!</v>
      </c>
      <c r="EO133" s="59">
        <f ca="1">AVERAGE(OFFSET($EN$3,0,0,'Données projet'!$E$15+1,1))-AVERAGE(OFFSET($H$3,0,0,'Données projet'!$E$15+1,1))</f>
        <v>207.93042467236967</v>
      </c>
      <c r="EP133" s="59">
        <f t="shared" ref="EP133:EP196" si="154">$EP$3</f>
        <v>250.70954318710835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0.37968931185089855</v>
      </c>
      <c r="EW133" s="21">
        <f>EXP(-LN(2)/25)*EW132+(1-EXP(-LN(2)/25))/(LN(2)/25)*Calculateur!ER133*Calculateur!ET133*VLOOKUP('Données projet'!$B$15,Paramètres!$A$1:$I$89,3,0)*0.475*44/12</f>
        <v>1.08130259456651</v>
      </c>
      <c r="EX133" s="21">
        <f>EXP(-LN(2)/2)*EX132+(1-EXP(-LN(2)/2))/(LN(2)/2)*ER133*EU133*VLOOKUP('Données projet'!$B$15,Paramètres!$A$1:$I$89,3,0)*0.475*44/12</f>
        <v>1.8001782598243907E-14</v>
      </c>
      <c r="EY133" s="22">
        <f t="shared" si="129"/>
        <v>1.4609919064174266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-2.2737367544323206E-13</v>
      </c>
      <c r="O134" s="13">
        <f>N134*VLOOKUP('Données projet'!$B$9,Paramètres!$A$1:$I$89,3,0)*VLOOKUP('Données projet'!$B$9,Paramètres!$A$1:$I$89,5,0)</f>
        <v>-1.2710188457276673E-13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255.5374979188561</v>
      </c>
      <c r="T134" s="59">
        <f t="shared" si="142"/>
        <v>343.10418468620901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0.41809758729699825</v>
      </c>
      <c r="AA134" s="21">
        <f>EXP(-LN(2)/25)*AA133+(1-EXP(-LN(2)/25))/(LN(2)/25)*Calculateur!V134*Calculateur!X134*VLOOKUP('Données projet'!$B$9,Paramètres!$A$1:$I$89,3,0)*0.475*44/12</f>
        <v>0.97023906281483174</v>
      </c>
      <c r="AB134" s="21">
        <f>EXP(-LN(2)/2)*AB133+(1-EXP(-LN(2)/2))/(LN(2)/2)*V134*Y134*VLOOKUP('Données projet'!$B$9,Paramètres!$A$1:$I$89,3,0)*0.475*44/12</f>
        <v>1.0630481060504956E-15</v>
      </c>
      <c r="AC134" s="22">
        <f t="shared" si="111"/>
        <v>1.388336650111831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1.5961632016114892E-13</v>
      </c>
      <c r="AK134" s="13">
        <f t="shared" si="143"/>
        <v>2.2708641912150958E-12</v>
      </c>
      <c r="AL134" s="20">
        <f t="shared" si="112"/>
        <v>4.2330868906469593E-12</v>
      </c>
      <c r="AM134" s="59">
        <f t="shared" si="113"/>
        <v>293.33333333333752</v>
      </c>
      <c r="AN134" s="59">
        <f ca="1">AVERAGE(OFFSET($AM$3,0,0,'Données projet'!$E$10+1,1))-AVERAGE(OFFSET($H$3,0,0,'Données projet'!$E$10+1,1))</f>
        <v>158.58786357608489</v>
      </c>
      <c r="AO134" s="59">
        <f t="shared" si="144"/>
        <v>163.20074068819849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553.99999999999955</v>
      </c>
      <c r="BE134" s="13">
        <f>BD134*VLOOKUP('Données projet'!$B$11,Paramètres!$A$1:$I$89,3,0)*VLOOKUP('Données projet'!$B$11,Paramètres!$A$1:$I$89,5,0)</f>
        <v>331.29199999999975</v>
      </c>
      <c r="BF134" s="13">
        <f t="shared" si="145"/>
        <v>77.698110787752</v>
      </c>
      <c r="BG134" s="20">
        <f t="shared" si="115"/>
        <v>712.32444295533423</v>
      </c>
      <c r="BH134" s="59">
        <f t="shared" si="116"/>
        <v>1005.6577762886675</v>
      </c>
      <c r="BI134" s="59">
        <f ca="1">AVERAGE(OFFSET($BH$3,0,0,'Données projet'!$E$11+1,1))-AVERAGE(OFFSET($H$3,0,0,'Données projet'!$E$11+1,1))</f>
        <v>316.58509520829671</v>
      </c>
      <c r="BJ134" s="59">
        <f t="shared" si="146"/>
        <v>240.71332110643596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0.34293660491310118</v>
      </c>
      <c r="BQ134" s="21">
        <f>EXP(-LN(2)/25)*BQ133+(1-EXP(-LN(2)/25))/(LN(2)/25)*Calculateur!BL134*Calculateur!BN134*VLOOKUP('Données projet'!$B$11,Paramètres!$A$1:$I$89,3,0)*0.475*44/12</f>
        <v>0.92815152884471797</v>
      </c>
      <c r="BR134" s="21">
        <f>EXP(-LN(2)/2)*BR133+(1-EXP(-LN(2)/2))/(LN(2)/2)*BL134*BO134*VLOOKUP('Données projet'!$B$11,Paramètres!$A$1:$I$89,3,0)*0.475*44/12</f>
        <v>1.3778718841161767E-14</v>
      </c>
      <c r="BS134" s="22">
        <f t="shared" si="117"/>
        <v>1.271088133757833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-5.1159076974727213E-13</v>
      </c>
      <c r="BZ134" s="13">
        <f>BY134*VLOOKUP('Données projet'!$B$12,Paramètres!$A$1:$I$89,3,0)*VLOOKUP('Données projet'!$B$12,Paramètres!$A$1:$I$89,5,0)</f>
        <v>-4.0702161641092972E-13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260.20517190557814</v>
      </c>
      <c r="CE134" s="59">
        <f t="shared" si="148"/>
        <v>307.22009971147133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0.44149850320206752</v>
      </c>
      <c r="CL134" s="21">
        <f>EXP(-LN(2)/25)*CL133+(1-EXP(-LN(2)/25))/(LN(2)/25)*Calculateur!CG134*Calculateur!CI134*VLOOKUP('Données projet'!$B$12,Paramètres!$A$1:$I$89,3,0)*0.475*44/12</f>
        <v>1.247405819325526</v>
      </c>
      <c r="CM134" s="21">
        <f>EXP(-LN(2)/2)*CM133+(1-EXP(-LN(2)/2))/(LN(2)/2)*CG134*CJ134*VLOOKUP('Données projet'!$B$12,Paramètres!$A$1:$I$89,3,0)*0.475*44/12</f>
        <v>1.5097402557718069E-14</v>
      </c>
      <c r="CN134" s="22">
        <f t="shared" si="120"/>
        <v>1.6889043225276086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>
        <f>VLOOKUP(A134,'Données projet'!$A$139:$I$159,2,0)</f>
        <v>110.91025641025641</v>
      </c>
      <c r="CR134" s="12">
        <f>VLOOKUP(A134,'Données projet'!$A$139:$I$159,9,0)</f>
        <v>1.5064102564102591</v>
      </c>
      <c r="CS134" s="12">
        <f t="array" ref="CS134">INDEX(CR:CR,MIN(IF(ISNUMBER(CR134:CR330),ROW(CR134:CR330),"")))</f>
        <v>1.5064102564102591</v>
      </c>
      <c r="CT134" s="12">
        <f>IF('Données projet'!$A$140&gt;35,CT133+CS134-DB133,IF(A134&lt;'Données projet'!$A$140,$CQ$205^A134,IF(A134='Données projet'!$A$140,'Données projet'!$B$140,CT133+CS134-DB133)))</f>
        <v>110.91025641025686</v>
      </c>
      <c r="CU134" s="17">
        <f>CT134*VLOOKUP('Données projet'!$B$13,Paramètres!$A$1:$I$89,3,0)*VLOOKUP('Données projet'!$B$13,Paramètres!$A$1:$I$89,5,0)</f>
        <v>112.46300000000048</v>
      </c>
      <c r="CV134" s="13">
        <f t="shared" si="149"/>
        <v>29.910536589672532</v>
      </c>
      <c r="CW134" s="20">
        <f t="shared" si="121"/>
        <v>247.96724289368044</v>
      </c>
      <c r="CX134" s="59">
        <f t="shared" si="122"/>
        <v>541.30057622701372</v>
      </c>
      <c r="CY134" s="59">
        <f ca="1">AVERAGE(OFFSET($CX$3,0,0,'Données projet'!$E$13+1,1))-AVERAGE(OFFSET($H$3,0,0,'Données projet'!$E$13+1,1))</f>
        <v>263.15518481854753</v>
      </c>
      <c r="CZ134" s="59">
        <f t="shared" si="150"/>
        <v>210.80755370263819</v>
      </c>
      <c r="DA134" s="15">
        <f>IF(ISNA(VLOOKUP(A134,'Données projet'!$A$139:$I$159,3,0)),0,VLOOKUP(A134,'Données projet'!$A$139:$I$159,3,0))</f>
        <v>14</v>
      </c>
      <c r="DB134" s="15">
        <f>IF(ISNA(VLOOKUP(A134,'Données projet'!$A$139:$I$159,4,0)),0,VLOOKUP(A134,'Données projet'!$A$139:$I$159,4,0))</f>
        <v>110.91025641025641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0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275.99999999999972</v>
      </c>
      <c r="DP134" s="17">
        <f>DO134*VLOOKUP('Données projet'!$B$14,Paramètres!$A$1:$I$89,3,0)*VLOOKUP('Données projet'!$B$14,Paramètres!$A$1:$I$89,5,0)</f>
        <v>223.8911999999998</v>
      </c>
      <c r="DQ134" s="13">
        <f t="shared" si="151"/>
        <v>54.95975389514858</v>
      </c>
      <c r="DR134" s="20">
        <f t="shared" si="124"/>
        <v>485.66541136738346</v>
      </c>
      <c r="DS134" s="59">
        <f t="shared" si="125"/>
        <v>778.99874470071677</v>
      </c>
      <c r="DT134" s="59">
        <f ca="1">AVERAGE(OFFSET($DS$3,0,0,'Données projet'!$E$14+1,1))-AVERAGE(OFFSET($H$3,0,0,'Données projet'!$E$14+1,1))</f>
        <v>203.21935660591021</v>
      </c>
      <c r="DU134" s="59">
        <f t="shared" si="152"/>
        <v>180.54762778843178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0.13565327933066632</v>
      </c>
      <c r="EB134" s="21">
        <f>EXP(-LN(2)/25)*EB133+(1-EXP(-LN(2)/25))/(LN(2)/25)*Calculateur!DW134*Calculateur!DY134*VLOOKUP('Données projet'!$B$14,Paramètres!$A$1:$I$89,3,0)*0.475*44/12</f>
        <v>0.35281240292713645</v>
      </c>
      <c r="EC134" s="21">
        <f>EXP(-LN(2)/2)*EC133+(1-EXP(-LN(2)/2))/(LN(2)/2)*DW134*DZ134*VLOOKUP('Données projet'!$B$14,Paramètres!$A$1:$I$89,3,0)*0.475*44/12</f>
        <v>5.6917010483514933E-15</v>
      </c>
      <c r="ED134" s="22">
        <f t="shared" si="126"/>
        <v>0.48846568225780845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-5.1159076974727213E-13</v>
      </c>
      <c r="EK134" s="17">
        <f>EJ134*VLOOKUP('Données projet'!$B$15,Paramètres!$A$1:$I$89,3,0)*VLOOKUP('Données projet'!$B$15,Paramètres!$A$1:$I$89,5,0)</f>
        <v>-3.4317508834647017E-13</v>
      </c>
      <c r="EL134" s="13" t="e">
        <f t="shared" si="153"/>
        <v>#NUM!</v>
      </c>
      <c r="EM134" s="20" t="e">
        <f t="shared" si="127"/>
        <v>#NUM!</v>
      </c>
      <c r="EN134" s="59" t="e">
        <f t="shared" si="128"/>
        <v>#NUM!</v>
      </c>
      <c r="EO134" s="59">
        <f ca="1">AVERAGE(OFFSET($EN$3,0,0,'Données projet'!$E$15+1,1))-AVERAGE(OFFSET($H$3,0,0,'Données projet'!$E$15+1,1))</f>
        <v>207.93042467236967</v>
      </c>
      <c r="EP134" s="59">
        <f t="shared" si="154"/>
        <v>250.70954318710835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0.37224383603311528</v>
      </c>
      <c r="EW134" s="21">
        <f>EXP(-LN(2)/25)*EW133+(1-EXP(-LN(2)/25))/(LN(2)/25)*Calculateur!ER134*Calculateur!ET134*VLOOKUP('Données projet'!$B$15,Paramètres!$A$1:$I$89,3,0)*0.475*44/12</f>
        <v>1.0517343182548566</v>
      </c>
      <c r="EX134" s="21">
        <f>EXP(-LN(2)/2)*EX133+(1-EXP(-LN(2)/2))/(LN(2)/2)*ER134*EU134*VLOOKUP('Données projet'!$B$15,Paramètres!$A$1:$I$89,3,0)*0.475*44/12</f>
        <v>1.2729182548664254E-14</v>
      </c>
      <c r="EY134" s="22">
        <f t="shared" si="129"/>
        <v>1.4239781542879846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-2.2737367544323206E-13</v>
      </c>
      <c r="O135" s="13">
        <f>N135*VLOOKUP('Données projet'!$B$9,Paramètres!$A$1:$I$89,3,0)*VLOOKUP('Données projet'!$B$9,Paramètres!$A$1:$I$89,5,0)</f>
        <v>-1.2710188457276673E-13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255.5374979188561</v>
      </c>
      <c r="T135" s="59">
        <f t="shared" si="142"/>
        <v>343.10418468620901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0.40989894862445181</v>
      </c>
      <c r="AA135" s="21">
        <f>EXP(-LN(2)/25)*AA134+(1-EXP(-LN(2)/25))/(LN(2)/25)*Calculateur!V135*Calculateur!X135*VLOOKUP('Données projet'!$B$9,Paramètres!$A$1:$I$89,3,0)*0.475*44/12</f>
        <v>0.94370782461950542</v>
      </c>
      <c r="AB135" s="21">
        <f>EXP(-LN(2)/2)*AB134+(1-EXP(-LN(2)/2))/(LN(2)/2)*V135*Y135*VLOOKUP('Données projet'!$B$9,Paramètres!$A$1:$I$89,3,0)*0.475*44/12</f>
        <v>7.5168852451582159E-16</v>
      </c>
      <c r="AC135" s="22">
        <f t="shared" si="111"/>
        <v>1.3536067732439578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1.5961632016114892E-13</v>
      </c>
      <c r="AK135" s="13">
        <f t="shared" si="143"/>
        <v>2.2708641912150958E-12</v>
      </c>
      <c r="AL135" s="20">
        <f t="shared" si="112"/>
        <v>4.2330868906469593E-12</v>
      </c>
      <c r="AM135" s="59">
        <f t="shared" si="113"/>
        <v>293.33333333333752</v>
      </c>
      <c r="AN135" s="59">
        <f ca="1">AVERAGE(OFFSET($AM$3,0,0,'Données projet'!$E$10+1,1))-AVERAGE(OFFSET($H$3,0,0,'Données projet'!$E$10+1,1))</f>
        <v>158.58786357608489</v>
      </c>
      <c r="AO135" s="59">
        <f t="shared" si="144"/>
        <v>163.20074068819849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553.99999999999955</v>
      </c>
      <c r="BE135" s="13">
        <f>BD135*VLOOKUP('Données projet'!$B$11,Paramètres!$A$1:$I$89,3,0)*VLOOKUP('Données projet'!$B$11,Paramètres!$A$1:$I$89,5,0)</f>
        <v>331.29199999999975</v>
      </c>
      <c r="BF135" s="13">
        <f t="shared" si="145"/>
        <v>77.698110787752</v>
      </c>
      <c r="BG135" s="20">
        <f t="shared" si="115"/>
        <v>712.32444295533423</v>
      </c>
      <c r="BH135" s="59">
        <f t="shared" si="116"/>
        <v>1005.6577762886675</v>
      </c>
      <c r="BI135" s="59">
        <f ca="1">AVERAGE(OFFSET($BH$3,0,0,'Données projet'!$E$11+1,1))-AVERAGE(OFFSET($H$3,0,0,'Données projet'!$E$11+1,1))</f>
        <v>316.58509520829671</v>
      </c>
      <c r="BJ135" s="59">
        <f t="shared" si="146"/>
        <v>240.71332110643596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0.3362118272614304</v>
      </c>
      <c r="BQ135" s="21">
        <f>EXP(-LN(2)/25)*BQ134+(1-EXP(-LN(2)/25))/(LN(2)/25)*Calculateur!BL135*Calculateur!BN135*VLOOKUP('Données projet'!$B$11,Paramètres!$A$1:$I$89,3,0)*0.475*44/12</f>
        <v>0.90277117647909155</v>
      </c>
      <c r="BR135" s="21">
        <f>EXP(-LN(2)/2)*BR134+(1-EXP(-LN(2)/2))/(LN(2)/2)*BL135*BO135*VLOOKUP('Données projet'!$B$11,Paramètres!$A$1:$I$89,3,0)*0.475*44/12</f>
        <v>9.7430255286483335E-15</v>
      </c>
      <c r="BS135" s="22">
        <f t="shared" si="117"/>
        <v>1.2389830037405316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-5.1159076974727213E-13</v>
      </c>
      <c r="BZ135" s="13">
        <f>BY135*VLOOKUP('Données projet'!$B$12,Paramètres!$A$1:$I$89,3,0)*VLOOKUP('Données projet'!$B$12,Paramètres!$A$1:$I$89,5,0)</f>
        <v>-4.0702161641092972E-13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260.20517190557814</v>
      </c>
      <c r="CE135" s="59">
        <f t="shared" si="148"/>
        <v>307.22009971147133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0.43284098684177197</v>
      </c>
      <c r="CL135" s="21">
        <f>EXP(-LN(2)/25)*CL134+(1-EXP(-LN(2)/25))/(LN(2)/25)*Calculateur!CG135*Calculateur!CI135*VLOOKUP('Données projet'!$B$12,Paramètres!$A$1:$I$89,3,0)*0.475*44/12</f>
        <v>1.2132954415978483</v>
      </c>
      <c r="CM135" s="21">
        <f>EXP(-LN(2)/2)*CM134+(1-EXP(-LN(2)/2))/(LN(2)/2)*CG135*CJ135*VLOOKUP('Données projet'!$B$12,Paramètres!$A$1:$I$89,3,0)*0.475*44/12</f>
        <v>1.0675475726865574E-14</v>
      </c>
      <c r="CN135" s="22">
        <f t="shared" si="120"/>
        <v>1.6461364284396309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4.5474735088646412E-13</v>
      </c>
      <c r="CU135" s="17">
        <f>CT135*VLOOKUP('Données projet'!$B$13,Paramètres!$A$1:$I$89,3,0)*VLOOKUP('Données projet'!$B$13,Paramètres!$A$1:$I$89,5,0)</f>
        <v>4.6111381379887462E-13</v>
      </c>
      <c r="CV135" s="13">
        <f t="shared" si="149"/>
        <v>5.7981965206434308E-12</v>
      </c>
      <c r="CW135" s="20">
        <f t="shared" si="121"/>
        <v>1.0901632165820347E-11</v>
      </c>
      <c r="CX135" s="59">
        <f t="shared" si="122"/>
        <v>293.33333333334423</v>
      </c>
      <c r="CY135" s="59">
        <f ca="1">AVERAGE(OFFSET($CX$3,0,0,'Données projet'!$E$13+1,1))-AVERAGE(OFFSET($H$3,0,0,'Données projet'!$E$13+1,1))</f>
        <v>263.15518481854753</v>
      </c>
      <c r="CZ135" s="59">
        <f t="shared" si="150"/>
        <v>210.80755370263819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0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275.99999999999972</v>
      </c>
      <c r="DP135" s="17">
        <f>DO135*VLOOKUP('Données projet'!$B$14,Paramètres!$A$1:$I$89,3,0)*VLOOKUP('Données projet'!$B$14,Paramètres!$A$1:$I$89,5,0)</f>
        <v>223.8911999999998</v>
      </c>
      <c r="DQ135" s="13">
        <f t="shared" si="151"/>
        <v>54.95975389514858</v>
      </c>
      <c r="DR135" s="20">
        <f t="shared" si="124"/>
        <v>485.66541136738346</v>
      </c>
      <c r="DS135" s="59">
        <f t="shared" si="125"/>
        <v>778.99874470071677</v>
      </c>
      <c r="DT135" s="59">
        <f ca="1">AVERAGE(OFFSET($DS$3,0,0,'Données projet'!$E$14+1,1))-AVERAGE(OFFSET($H$3,0,0,'Données projet'!$E$14+1,1))</f>
        <v>203.21935660591021</v>
      </c>
      <c r="DU135" s="59">
        <f t="shared" si="152"/>
        <v>180.54762778843178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0.13299320126332242</v>
      </c>
      <c r="EB135" s="21">
        <f>EXP(-LN(2)/25)*EB134+(1-EXP(-LN(2)/25))/(LN(2)/25)*Calculateur!DW135*Calculateur!DY135*VLOOKUP('Données projet'!$B$14,Paramètres!$A$1:$I$89,3,0)*0.475*44/12</f>
        <v>0.34316472921549601</v>
      </c>
      <c r="EC135" s="21">
        <f>EXP(-LN(2)/2)*EC134+(1-EXP(-LN(2)/2))/(LN(2)/2)*DW135*DZ135*VLOOKUP('Données projet'!$B$14,Paramètres!$A$1:$I$89,3,0)*0.475*44/12</f>
        <v>4.0246404077759224E-15</v>
      </c>
      <c r="ED135" s="22">
        <f t="shared" si="126"/>
        <v>0.47615793047882249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-5.1159076974727213E-13</v>
      </c>
      <c r="EK135" s="17">
        <f>EJ135*VLOOKUP('Données projet'!$B$15,Paramètres!$A$1:$I$89,3,0)*VLOOKUP('Données projet'!$B$15,Paramètres!$A$1:$I$89,5,0)</f>
        <v>-3.4317508834647017E-13</v>
      </c>
      <c r="EL135" s="13" t="e">
        <f t="shared" si="153"/>
        <v>#NUM!</v>
      </c>
      <c r="EM135" s="20" t="e">
        <f t="shared" si="127"/>
        <v>#NUM!</v>
      </c>
      <c r="EN135" s="59" t="e">
        <f t="shared" si="128"/>
        <v>#NUM!</v>
      </c>
      <c r="EO135" s="59">
        <f ca="1">AVERAGE(OFFSET($EN$3,0,0,'Données projet'!$E$15+1,1))-AVERAGE(OFFSET($H$3,0,0,'Données projet'!$E$15+1,1))</f>
        <v>207.93042467236967</v>
      </c>
      <c r="EP135" s="59">
        <f t="shared" si="154"/>
        <v>250.70954318710835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0.36494436145482689</v>
      </c>
      <c r="EW135" s="21">
        <f>EXP(-LN(2)/25)*EW134+(1-EXP(-LN(2)/25))/(LN(2)/25)*Calculateur!ER135*Calculateur!ET135*VLOOKUP('Données projet'!$B$15,Paramètres!$A$1:$I$89,3,0)*0.475*44/12</f>
        <v>1.0229745880138736</v>
      </c>
      <c r="EX135" s="21">
        <f>EXP(-LN(2)/2)*EX134+(1-EXP(-LN(2)/2))/(LN(2)/2)*ER135*EU135*VLOOKUP('Données projet'!$B$15,Paramètres!$A$1:$I$89,3,0)*0.475*44/12</f>
        <v>9.0008912991219536E-15</v>
      </c>
      <c r="EY135" s="22">
        <f t="shared" si="129"/>
        <v>1.3879189494687096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-2.2737367544323206E-13</v>
      </c>
      <c r="O136" s="13">
        <f>N136*VLOOKUP('Données projet'!$B$9,Paramètres!$A$1:$I$89,3,0)*VLOOKUP('Données projet'!$B$9,Paramètres!$A$1:$I$89,5,0)</f>
        <v>-1.2710188457276673E-13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255.5374979188561</v>
      </c>
      <c r="T136" s="59">
        <f t="shared" si="142"/>
        <v>343.10418468620901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0.40186108025559819</v>
      </c>
      <c r="AA136" s="21">
        <f>EXP(-LN(2)/25)*AA135+(1-EXP(-LN(2)/25))/(LN(2)/25)*Calculateur!V136*Calculateur!X136*VLOOKUP('Données projet'!$B$9,Paramètres!$A$1:$I$89,3,0)*0.475*44/12</f>
        <v>0.91790208452784738</v>
      </c>
      <c r="AB136" s="21">
        <f>EXP(-LN(2)/2)*AB135+(1-EXP(-LN(2)/2))/(LN(2)/2)*V136*Y136*VLOOKUP('Données projet'!$B$9,Paramètres!$A$1:$I$89,3,0)*0.475*44/12</f>
        <v>5.3152405302524782E-16</v>
      </c>
      <c r="AC136" s="22">
        <f t="shared" si="111"/>
        <v>1.319763164783446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1.5961632016114892E-13</v>
      </c>
      <c r="AK136" s="13">
        <f t="shared" si="143"/>
        <v>2.2708641912150958E-12</v>
      </c>
      <c r="AL136" s="20">
        <f t="shared" si="112"/>
        <v>4.2330868906469593E-12</v>
      </c>
      <c r="AM136" s="59">
        <f t="shared" si="113"/>
        <v>293.33333333333752</v>
      </c>
      <c r="AN136" s="59">
        <f ca="1">AVERAGE(OFFSET($AM$3,0,0,'Données projet'!$E$10+1,1))-AVERAGE(OFFSET($H$3,0,0,'Données projet'!$E$10+1,1))</f>
        <v>158.58786357608489</v>
      </c>
      <c r="AO136" s="59">
        <f t="shared" si="144"/>
        <v>163.20074068819849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553.99999999999955</v>
      </c>
      <c r="BE136" s="13">
        <f>BD136*VLOOKUP('Données projet'!$B$11,Paramètres!$A$1:$I$89,3,0)*VLOOKUP('Données projet'!$B$11,Paramètres!$A$1:$I$89,5,0)</f>
        <v>331.29199999999975</v>
      </c>
      <c r="BF136" s="13">
        <f t="shared" si="145"/>
        <v>77.698110787752</v>
      </c>
      <c r="BG136" s="20">
        <f t="shared" si="115"/>
        <v>712.32444295533423</v>
      </c>
      <c r="BH136" s="59">
        <f t="shared" si="116"/>
        <v>1005.6577762886675</v>
      </c>
      <c r="BI136" s="59">
        <f ca="1">AVERAGE(OFFSET($BH$3,0,0,'Données projet'!$E$11+1,1))-AVERAGE(OFFSET($H$3,0,0,'Données projet'!$E$11+1,1))</f>
        <v>316.58509520829671</v>
      </c>
      <c r="BJ136" s="59">
        <f t="shared" si="146"/>
        <v>240.71332110643596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0.3296189183977995</v>
      </c>
      <c r="BQ136" s="21">
        <f>EXP(-LN(2)/25)*BQ135+(1-EXP(-LN(2)/25))/(LN(2)/25)*Calculateur!BL136*Calculateur!BN136*VLOOKUP('Données projet'!$B$11,Paramètres!$A$1:$I$89,3,0)*0.475*44/12</f>
        <v>0.87808485118359791</v>
      </c>
      <c r="BR136" s="21">
        <f>EXP(-LN(2)/2)*BR135+(1-EXP(-LN(2)/2))/(LN(2)/2)*BL136*BO136*VLOOKUP('Données projet'!$B$11,Paramètres!$A$1:$I$89,3,0)*0.475*44/12</f>
        <v>6.8893594205808837E-15</v>
      </c>
      <c r="BS136" s="22">
        <f t="shared" si="117"/>
        <v>1.2077037695814044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-5.1159076974727213E-13</v>
      </c>
      <c r="BZ136" s="13">
        <f>BY136*VLOOKUP('Données projet'!$B$12,Paramètres!$A$1:$I$89,3,0)*VLOOKUP('Données projet'!$B$12,Paramètres!$A$1:$I$89,5,0)</f>
        <v>-4.0702161641092972E-13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260.20517190557814</v>
      </c>
      <c r="CE136" s="59">
        <f t="shared" si="148"/>
        <v>307.22009971147133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0.42435323909673828</v>
      </c>
      <c r="CL136" s="21">
        <f>EXP(-LN(2)/25)*CL135+(1-EXP(-LN(2)/25))/(LN(2)/25)*Calculateur!CG136*Calculateur!CI136*VLOOKUP('Données projet'!$B$12,Paramètres!$A$1:$I$89,3,0)*0.475*44/12</f>
        <v>1.1801178139429209</v>
      </c>
      <c r="CM136" s="21">
        <f>EXP(-LN(2)/2)*CM135+(1-EXP(-LN(2)/2))/(LN(2)/2)*CG136*CJ136*VLOOKUP('Données projet'!$B$12,Paramètres!$A$1:$I$89,3,0)*0.475*44/12</f>
        <v>7.5487012788590345E-15</v>
      </c>
      <c r="CN136" s="22">
        <f t="shared" si="120"/>
        <v>1.6044710530396666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4.5474735088646412E-13</v>
      </c>
      <c r="CU136" s="17">
        <f>CT136*VLOOKUP('Données projet'!$B$13,Paramètres!$A$1:$I$89,3,0)*VLOOKUP('Données projet'!$B$13,Paramètres!$A$1:$I$89,5,0)</f>
        <v>4.6111381379887462E-13</v>
      </c>
      <c r="CV136" s="13">
        <f t="shared" si="149"/>
        <v>5.7981965206434308E-12</v>
      </c>
      <c r="CW136" s="20">
        <f t="shared" si="121"/>
        <v>1.0901632165820347E-11</v>
      </c>
      <c r="CX136" s="59">
        <f t="shared" si="122"/>
        <v>293.33333333334423</v>
      </c>
      <c r="CY136" s="59">
        <f ca="1">AVERAGE(OFFSET($CX$3,0,0,'Données projet'!$E$13+1,1))-AVERAGE(OFFSET($H$3,0,0,'Données projet'!$E$13+1,1))</f>
        <v>263.15518481854753</v>
      </c>
      <c r="CZ136" s="59">
        <f t="shared" si="150"/>
        <v>210.80755370263819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0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275.99999999999972</v>
      </c>
      <c r="DP136" s="17">
        <f>DO136*VLOOKUP('Données projet'!$B$14,Paramètres!$A$1:$I$89,3,0)*VLOOKUP('Données projet'!$B$14,Paramètres!$A$1:$I$89,5,0)</f>
        <v>223.8911999999998</v>
      </c>
      <c r="DQ136" s="13">
        <f t="shared" si="151"/>
        <v>54.95975389514858</v>
      </c>
      <c r="DR136" s="20">
        <f t="shared" si="124"/>
        <v>485.66541136738346</v>
      </c>
      <c r="DS136" s="59">
        <f t="shared" si="125"/>
        <v>778.99874470071677</v>
      </c>
      <c r="DT136" s="59">
        <f ca="1">AVERAGE(OFFSET($DS$3,0,0,'Données projet'!$E$14+1,1))-AVERAGE(OFFSET($H$3,0,0,'Données projet'!$E$14+1,1))</f>
        <v>203.21935660591021</v>
      </c>
      <c r="DU136" s="59">
        <f t="shared" si="152"/>
        <v>180.54762778843178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0.13038528570439173</v>
      </c>
      <c r="EB136" s="21">
        <f>EXP(-LN(2)/25)*EB135+(1-EXP(-LN(2)/25))/(LN(2)/25)*Calculateur!DW136*Calculateur!DY136*VLOOKUP('Données projet'!$B$14,Paramètres!$A$1:$I$89,3,0)*0.475*44/12</f>
        <v>0.33378087164884945</v>
      </c>
      <c r="EC136" s="21">
        <f>EXP(-LN(2)/2)*EC135+(1-EXP(-LN(2)/2))/(LN(2)/2)*DW136*DZ136*VLOOKUP('Données projet'!$B$14,Paramètres!$A$1:$I$89,3,0)*0.475*44/12</f>
        <v>2.8458505241757466E-15</v>
      </c>
      <c r="ED136" s="22">
        <f t="shared" si="126"/>
        <v>0.46416615735324401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-5.1159076974727213E-13</v>
      </c>
      <c r="EK136" s="17">
        <f>EJ136*VLOOKUP('Données projet'!$B$15,Paramètres!$A$1:$I$89,3,0)*VLOOKUP('Données projet'!$B$15,Paramètres!$A$1:$I$89,5,0)</f>
        <v>-3.4317508834647017E-13</v>
      </c>
      <c r="EL136" s="13" t="e">
        <f t="shared" si="153"/>
        <v>#NUM!</v>
      </c>
      <c r="EM136" s="20" t="e">
        <f t="shared" si="127"/>
        <v>#NUM!</v>
      </c>
      <c r="EN136" s="59" t="e">
        <f t="shared" si="128"/>
        <v>#NUM!</v>
      </c>
      <c r="EO136" s="59">
        <f ca="1">AVERAGE(OFFSET($EN$3,0,0,'Données projet'!$E$15+1,1))-AVERAGE(OFFSET($H$3,0,0,'Données projet'!$E$15+1,1))</f>
        <v>207.93042467236967</v>
      </c>
      <c r="EP136" s="59">
        <f t="shared" si="154"/>
        <v>250.70954318710835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0.3577880251207789</v>
      </c>
      <c r="EW136" s="21">
        <f>EXP(-LN(2)/25)*EW135+(1-EXP(-LN(2)/25))/(LN(2)/25)*Calculateur!ER136*Calculateur!ET136*VLOOKUP('Données projet'!$B$15,Paramètres!$A$1:$I$89,3,0)*0.475*44/12</f>
        <v>0.99500129410873872</v>
      </c>
      <c r="EX136" s="21">
        <f>EXP(-LN(2)/2)*EX135+(1-EXP(-LN(2)/2))/(LN(2)/2)*ER136*EU136*VLOOKUP('Données projet'!$B$15,Paramètres!$A$1:$I$89,3,0)*0.475*44/12</f>
        <v>6.3645912743321268E-15</v>
      </c>
      <c r="EY136" s="22">
        <f t="shared" si="129"/>
        <v>1.3527893192295239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-2.2737367544323206E-13</v>
      </c>
      <c r="O137" s="13">
        <f>N137*VLOOKUP('Données projet'!$B$9,Paramètres!$A$1:$I$89,3,0)*VLOOKUP('Données projet'!$B$9,Paramètres!$A$1:$I$89,5,0)</f>
        <v>-1.2710188457276673E-13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255.5374979188561</v>
      </c>
      <c r="T137" s="59">
        <f t="shared" si="142"/>
        <v>343.10418468620901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0.39398082958284214</v>
      </c>
      <c r="AA137" s="21">
        <f>EXP(-LN(2)/25)*AA136+(1-EXP(-LN(2)/25))/(LN(2)/25)*Calculateur!V137*Calculateur!X137*VLOOKUP('Données projet'!$B$9,Paramètres!$A$1:$I$89,3,0)*0.475*44/12</f>
        <v>0.89280200375606067</v>
      </c>
      <c r="AB137" s="21">
        <f>EXP(-LN(2)/2)*AB136+(1-EXP(-LN(2)/2))/(LN(2)/2)*V137*Y137*VLOOKUP('Données projet'!$B$9,Paramètres!$A$1:$I$89,3,0)*0.475*44/12</f>
        <v>3.758442622579108E-16</v>
      </c>
      <c r="AC137" s="22">
        <f t="shared" si="111"/>
        <v>1.2867828333389033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1.5961632016114892E-13</v>
      </c>
      <c r="AK137" s="13">
        <f t="shared" si="143"/>
        <v>2.2708641912150958E-12</v>
      </c>
      <c r="AL137" s="20">
        <f t="shared" si="112"/>
        <v>4.2330868906469593E-12</v>
      </c>
      <c r="AM137" s="59">
        <f t="shared" si="113"/>
        <v>293.33333333333752</v>
      </c>
      <c r="AN137" s="59">
        <f ca="1">AVERAGE(OFFSET($AM$3,0,0,'Données projet'!$E$10+1,1))-AVERAGE(OFFSET($H$3,0,0,'Données projet'!$E$10+1,1))</f>
        <v>158.58786357608489</v>
      </c>
      <c r="AO137" s="59">
        <f t="shared" si="144"/>
        <v>163.20074068819849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553.99999999999955</v>
      </c>
      <c r="BE137" s="13">
        <f>BD137*VLOOKUP('Données projet'!$B$11,Paramètres!$A$1:$I$89,3,0)*VLOOKUP('Données projet'!$B$11,Paramètres!$A$1:$I$89,5,0)</f>
        <v>331.29199999999975</v>
      </c>
      <c r="BF137" s="13">
        <f t="shared" si="145"/>
        <v>77.698110787752</v>
      </c>
      <c r="BG137" s="20">
        <f t="shared" si="115"/>
        <v>712.32444295533423</v>
      </c>
      <c r="BH137" s="59">
        <f t="shared" si="116"/>
        <v>1005.6577762886675</v>
      </c>
      <c r="BI137" s="59">
        <f ca="1">AVERAGE(OFFSET($BH$3,0,0,'Données projet'!$E$11+1,1))-AVERAGE(OFFSET($H$3,0,0,'Données projet'!$E$11+1,1))</f>
        <v>316.58509520829671</v>
      </c>
      <c r="BJ137" s="59">
        <f t="shared" si="146"/>
        <v>240.71332110643596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0.32315529245570707</v>
      </c>
      <c r="BQ137" s="21">
        <f>EXP(-LN(2)/25)*BQ136+(1-EXP(-LN(2)/25))/(LN(2)/25)*Calculateur!BL137*Calculateur!BN137*VLOOKUP('Données projet'!$B$11,Paramètres!$A$1:$I$89,3,0)*0.475*44/12</f>
        <v>0.85407357475150703</v>
      </c>
      <c r="BR137" s="21">
        <f>EXP(-LN(2)/2)*BR136+(1-EXP(-LN(2)/2))/(LN(2)/2)*BL137*BO137*VLOOKUP('Données projet'!$B$11,Paramètres!$A$1:$I$89,3,0)*0.475*44/12</f>
        <v>4.8715127643241667E-15</v>
      </c>
      <c r="BS137" s="22">
        <f t="shared" si="117"/>
        <v>1.1772288672072189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-5.1159076974727213E-13</v>
      </c>
      <c r="BZ137" s="13">
        <f>BY137*VLOOKUP('Données projet'!$B$12,Paramètres!$A$1:$I$89,3,0)*VLOOKUP('Données projet'!$B$12,Paramètres!$A$1:$I$89,5,0)</f>
        <v>-4.0702161641092972E-13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260.20517190557814</v>
      </c>
      <c r="CE137" s="59">
        <f t="shared" si="148"/>
        <v>307.22009971147133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0.41603193090796975</v>
      </c>
      <c r="CL137" s="21">
        <f>EXP(-LN(2)/25)*CL136+(1-EXP(-LN(2)/25))/(LN(2)/25)*Calculateur!CG137*Calculateur!CI137*VLOOKUP('Données projet'!$B$12,Paramètres!$A$1:$I$89,3,0)*0.475*44/12</f>
        <v>1.1478474302609531</v>
      </c>
      <c r="CM137" s="21">
        <f>EXP(-LN(2)/2)*CM136+(1-EXP(-LN(2)/2))/(LN(2)/2)*CG137*CJ137*VLOOKUP('Données projet'!$B$12,Paramètres!$A$1:$I$89,3,0)*0.475*44/12</f>
        <v>5.3377378634327868E-15</v>
      </c>
      <c r="CN137" s="22">
        <f t="shared" si="120"/>
        <v>1.5638793611689281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4.5474735088646412E-13</v>
      </c>
      <c r="CU137" s="17">
        <f>CT137*VLOOKUP('Données projet'!$B$13,Paramètres!$A$1:$I$89,3,0)*VLOOKUP('Données projet'!$B$13,Paramètres!$A$1:$I$89,5,0)</f>
        <v>4.6111381379887462E-13</v>
      </c>
      <c r="CV137" s="13">
        <f t="shared" si="149"/>
        <v>5.7981965206434308E-12</v>
      </c>
      <c r="CW137" s="20">
        <f t="shared" si="121"/>
        <v>1.0901632165820347E-11</v>
      </c>
      <c r="CX137" s="59">
        <f t="shared" si="122"/>
        <v>293.33333333334423</v>
      </c>
      <c r="CY137" s="59">
        <f ca="1">AVERAGE(OFFSET($CX$3,0,0,'Données projet'!$E$13+1,1))-AVERAGE(OFFSET($H$3,0,0,'Données projet'!$E$13+1,1))</f>
        <v>263.15518481854753</v>
      </c>
      <c r="CZ137" s="59">
        <f t="shared" si="150"/>
        <v>210.80755370263819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0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275.99999999999972</v>
      </c>
      <c r="DP137" s="17">
        <f>DO137*VLOOKUP('Données projet'!$B$14,Paramètres!$A$1:$I$89,3,0)*VLOOKUP('Données projet'!$B$14,Paramètres!$A$1:$I$89,5,0)</f>
        <v>223.8911999999998</v>
      </c>
      <c r="DQ137" s="13">
        <f t="shared" si="151"/>
        <v>54.95975389514858</v>
      </c>
      <c r="DR137" s="20">
        <f t="shared" si="124"/>
        <v>485.66541136738346</v>
      </c>
      <c r="DS137" s="59">
        <f t="shared" si="125"/>
        <v>778.99874470071677</v>
      </c>
      <c r="DT137" s="59">
        <f ca="1">AVERAGE(OFFSET($DS$3,0,0,'Données projet'!$E$14+1,1))-AVERAGE(OFFSET($H$3,0,0,'Données projet'!$E$14+1,1))</f>
        <v>203.21935660591021</v>
      </c>
      <c r="DU137" s="59">
        <f t="shared" si="152"/>
        <v>180.54762778843178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0.12782850977890023</v>
      </c>
      <c r="EB137" s="21">
        <f>EXP(-LN(2)/25)*EB136+(1-EXP(-LN(2)/25))/(LN(2)/25)*Calculateur!DW137*Calculateur!DY137*VLOOKUP('Données projet'!$B$14,Paramètres!$A$1:$I$89,3,0)*0.475*44/12</f>
        <v>0.32465361616083849</v>
      </c>
      <c r="EC137" s="21">
        <f>EXP(-LN(2)/2)*EC136+(1-EXP(-LN(2)/2))/(LN(2)/2)*DW137*DZ137*VLOOKUP('Données projet'!$B$14,Paramètres!$A$1:$I$89,3,0)*0.475*44/12</f>
        <v>2.0123202038879612E-15</v>
      </c>
      <c r="ED137" s="22">
        <f t="shared" si="126"/>
        <v>0.45248212593974069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-5.1159076974727213E-13</v>
      </c>
      <c r="EK137" s="17">
        <f>EJ137*VLOOKUP('Données projet'!$B$15,Paramètres!$A$1:$I$89,3,0)*VLOOKUP('Données projet'!$B$15,Paramètres!$A$1:$I$89,5,0)</f>
        <v>-3.4317508834647017E-13</v>
      </c>
      <c r="EL137" s="13" t="e">
        <f t="shared" si="153"/>
        <v>#NUM!</v>
      </c>
      <c r="EM137" s="20" t="e">
        <f t="shared" si="127"/>
        <v>#NUM!</v>
      </c>
      <c r="EN137" s="59" t="e">
        <f t="shared" si="128"/>
        <v>#NUM!</v>
      </c>
      <c r="EO137" s="59">
        <f ca="1">AVERAGE(OFFSET($EN$3,0,0,'Données projet'!$E$15+1,1))-AVERAGE(OFFSET($H$3,0,0,'Données projet'!$E$15+1,1))</f>
        <v>207.93042467236967</v>
      </c>
      <c r="EP137" s="59">
        <f t="shared" si="154"/>
        <v>250.70954318710835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0.35077202017730741</v>
      </c>
      <c r="EW137" s="21">
        <f>EXP(-LN(2)/25)*EW136+(1-EXP(-LN(2)/25))/(LN(2)/25)*Calculateur!ER137*Calculateur!ET137*VLOOKUP('Données projet'!$B$15,Paramètres!$A$1:$I$89,3,0)*0.475*44/12</f>
        <v>0.96779293139649136</v>
      </c>
      <c r="EX137" s="21">
        <f>EXP(-LN(2)/2)*EX136+(1-EXP(-LN(2)/2))/(LN(2)/2)*ER137*EU137*VLOOKUP('Données projet'!$B$15,Paramètres!$A$1:$I$89,3,0)*0.475*44/12</f>
        <v>4.5004456495609768E-15</v>
      </c>
      <c r="EY137" s="22">
        <f t="shared" si="129"/>
        <v>1.3185649515738032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-2.2737367544323206E-13</v>
      </c>
      <c r="O138" s="13">
        <f>N138*VLOOKUP('Données projet'!$B$9,Paramètres!$A$1:$I$89,3,0)*VLOOKUP('Données projet'!$B$9,Paramètres!$A$1:$I$89,5,0)</f>
        <v>-1.2710188457276673E-13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255.5374979188561</v>
      </c>
      <c r="T138" s="59">
        <f t="shared" si="142"/>
        <v>343.10418468620901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0.38625510581930056</v>
      </c>
      <c r="AA138" s="21">
        <f>EXP(-LN(2)/25)*AA137+(1-EXP(-LN(2)/25))/(LN(2)/25)*Calculateur!V138*Calculateur!X138*VLOOKUP('Données projet'!$B$9,Paramètres!$A$1:$I$89,3,0)*0.475*44/12</f>
        <v>0.86838828601293439</v>
      </c>
      <c r="AB138" s="21">
        <f>EXP(-LN(2)/2)*AB137+(1-EXP(-LN(2)/2))/(LN(2)/2)*V138*Y138*VLOOKUP('Données projet'!$B$9,Paramètres!$A$1:$I$89,3,0)*0.475*44/12</f>
        <v>2.6576202651262391E-16</v>
      </c>
      <c r="AC138" s="22">
        <f t="shared" si="111"/>
        <v>1.2546433918322351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1.5961632016114892E-13</v>
      </c>
      <c r="AK138" s="13">
        <f t="shared" si="143"/>
        <v>2.2708641912150958E-12</v>
      </c>
      <c r="AL138" s="20">
        <f t="shared" si="112"/>
        <v>4.2330868906469593E-12</v>
      </c>
      <c r="AM138" s="59">
        <f t="shared" si="113"/>
        <v>293.33333333333752</v>
      </c>
      <c r="AN138" s="59">
        <f ca="1">AVERAGE(OFFSET($AM$3,0,0,'Données projet'!$E$10+1,1))-AVERAGE(OFFSET($H$3,0,0,'Données projet'!$E$10+1,1))</f>
        <v>158.58786357608489</v>
      </c>
      <c r="AO138" s="59">
        <f t="shared" si="144"/>
        <v>163.20074068819849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553.99999999999955</v>
      </c>
      <c r="BE138" s="13">
        <f>BD138*VLOOKUP('Données projet'!$B$11,Paramètres!$A$1:$I$89,3,0)*VLOOKUP('Données projet'!$B$11,Paramètres!$A$1:$I$89,5,0)</f>
        <v>331.29199999999975</v>
      </c>
      <c r="BF138" s="13">
        <f t="shared" si="145"/>
        <v>77.698110787752</v>
      </c>
      <c r="BG138" s="20">
        <f t="shared" si="115"/>
        <v>712.32444295533423</v>
      </c>
      <c r="BH138" s="59">
        <f t="shared" si="116"/>
        <v>1005.6577762886675</v>
      </c>
      <c r="BI138" s="59">
        <f ca="1">AVERAGE(OFFSET($BH$3,0,0,'Données projet'!$E$11+1,1))-AVERAGE(OFFSET($H$3,0,0,'Données projet'!$E$11+1,1))</f>
        <v>316.58509520829671</v>
      </c>
      <c r="BJ138" s="59">
        <f t="shared" si="146"/>
        <v>240.71332110643596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0.3168184142759165</v>
      </c>
      <c r="BQ138" s="21">
        <f>EXP(-LN(2)/25)*BQ137+(1-EXP(-LN(2)/25))/(LN(2)/25)*Calculateur!BL138*Calculateur!BN138*VLOOKUP('Données projet'!$B$11,Paramètres!$A$1:$I$89,3,0)*0.475*44/12</f>
        <v>0.83071888793614979</v>
      </c>
      <c r="BR138" s="21">
        <f>EXP(-LN(2)/2)*BR137+(1-EXP(-LN(2)/2))/(LN(2)/2)*BL138*BO138*VLOOKUP('Données projet'!$B$11,Paramètres!$A$1:$I$89,3,0)*0.475*44/12</f>
        <v>3.4446797102904419E-15</v>
      </c>
      <c r="BS138" s="22">
        <f t="shared" si="117"/>
        <v>1.1475373022120698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-5.1159076974727213E-13</v>
      </c>
      <c r="BZ138" s="13">
        <f>BY138*VLOOKUP('Données projet'!$B$12,Paramètres!$A$1:$I$89,3,0)*VLOOKUP('Données projet'!$B$12,Paramètres!$A$1:$I$89,5,0)</f>
        <v>-4.0702161641092972E-13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260.20517190557814</v>
      </c>
      <c r="CE138" s="59">
        <f t="shared" si="148"/>
        <v>307.22009971147133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0.40787379849728617</v>
      </c>
      <c r="CL138" s="21">
        <f>EXP(-LN(2)/25)*CL137+(1-EXP(-LN(2)/25))/(LN(2)/25)*Calculateur!CG138*Calculateur!CI138*VLOOKUP('Données projet'!$B$12,Paramètres!$A$1:$I$89,3,0)*0.475*44/12</f>
        <v>1.1164594819177944</v>
      </c>
      <c r="CM138" s="21">
        <f>EXP(-LN(2)/2)*CM137+(1-EXP(-LN(2)/2))/(LN(2)/2)*CG138*CJ138*VLOOKUP('Données projet'!$B$12,Paramètres!$A$1:$I$89,3,0)*0.475*44/12</f>
        <v>3.7743506394295173E-15</v>
      </c>
      <c r="CN138" s="22">
        <f t="shared" si="120"/>
        <v>1.5243332804150844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4.5474735088646412E-13</v>
      </c>
      <c r="CU138" s="17">
        <f>CT138*VLOOKUP('Données projet'!$B$13,Paramètres!$A$1:$I$89,3,0)*VLOOKUP('Données projet'!$B$13,Paramètres!$A$1:$I$89,5,0)</f>
        <v>4.6111381379887462E-13</v>
      </c>
      <c r="CV138" s="13">
        <f t="shared" si="149"/>
        <v>5.7981965206434308E-12</v>
      </c>
      <c r="CW138" s="20">
        <f t="shared" si="121"/>
        <v>1.0901632165820347E-11</v>
      </c>
      <c r="CX138" s="59">
        <f t="shared" si="122"/>
        <v>293.33333333334423</v>
      </c>
      <c r="CY138" s="59">
        <f ca="1">AVERAGE(OFFSET($CX$3,0,0,'Données projet'!$E$13+1,1))-AVERAGE(OFFSET($H$3,0,0,'Données projet'!$E$13+1,1))</f>
        <v>263.15518481854753</v>
      </c>
      <c r="CZ138" s="59">
        <f t="shared" si="150"/>
        <v>210.80755370263819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0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275.99999999999972</v>
      </c>
      <c r="DP138" s="17">
        <f>DO138*VLOOKUP('Données projet'!$B$14,Paramètres!$A$1:$I$89,3,0)*VLOOKUP('Données projet'!$B$14,Paramètres!$A$1:$I$89,5,0)</f>
        <v>223.8911999999998</v>
      </c>
      <c r="DQ138" s="13">
        <f t="shared" si="151"/>
        <v>54.95975389514858</v>
      </c>
      <c r="DR138" s="20">
        <f t="shared" si="124"/>
        <v>485.66541136738346</v>
      </c>
      <c r="DS138" s="59">
        <f t="shared" si="125"/>
        <v>778.99874470071677</v>
      </c>
      <c r="DT138" s="59">
        <f ca="1">AVERAGE(OFFSET($DS$3,0,0,'Données projet'!$E$14+1,1))-AVERAGE(OFFSET($H$3,0,0,'Données projet'!$E$14+1,1))</f>
        <v>203.21935660591021</v>
      </c>
      <c r="DU138" s="59">
        <f t="shared" si="152"/>
        <v>180.54762778843178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0.12532187066982828</v>
      </c>
      <c r="EB138" s="21">
        <f>EXP(-LN(2)/25)*EB137+(1-EXP(-LN(2)/25))/(LN(2)/25)*Calculateur!DW138*Calculateur!DY138*VLOOKUP('Données projet'!$B$14,Paramètres!$A$1:$I$89,3,0)*0.475*44/12</f>
        <v>0.31577594595412867</v>
      </c>
      <c r="EC138" s="21">
        <f>EXP(-LN(2)/2)*EC137+(1-EXP(-LN(2)/2))/(LN(2)/2)*DW138*DZ138*VLOOKUP('Données projet'!$B$14,Paramètres!$A$1:$I$89,3,0)*0.475*44/12</f>
        <v>1.4229252620878733E-15</v>
      </c>
      <c r="ED138" s="22">
        <f t="shared" si="126"/>
        <v>0.44109781662395842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-5.1159076974727213E-13</v>
      </c>
      <c r="EK138" s="17">
        <f>EJ138*VLOOKUP('Données projet'!$B$15,Paramètres!$A$1:$I$89,3,0)*VLOOKUP('Données projet'!$B$15,Paramètres!$A$1:$I$89,5,0)</f>
        <v>-3.4317508834647017E-13</v>
      </c>
      <c r="EL138" s="13" t="e">
        <f t="shared" si="153"/>
        <v>#NUM!</v>
      </c>
      <c r="EM138" s="20" t="e">
        <f t="shared" si="127"/>
        <v>#NUM!</v>
      </c>
      <c r="EN138" s="59" t="e">
        <f t="shared" si="128"/>
        <v>#NUM!</v>
      </c>
      <c r="EO138" s="59">
        <f ca="1">AVERAGE(OFFSET($EN$3,0,0,'Données projet'!$E$15+1,1))-AVERAGE(OFFSET($H$3,0,0,'Données projet'!$E$15+1,1))</f>
        <v>207.93042467236967</v>
      </c>
      <c r="EP138" s="59">
        <f t="shared" si="154"/>
        <v>250.70954318710835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0.34389359481143694</v>
      </c>
      <c r="EW138" s="21">
        <f>EXP(-LN(2)/25)*EW137+(1-EXP(-LN(2)/25))/(LN(2)/25)*Calculateur!ER138*Calculateur!ET138*VLOOKUP('Données projet'!$B$15,Paramètres!$A$1:$I$89,3,0)*0.475*44/12</f>
        <v>0.94132858279343601</v>
      </c>
      <c r="EX138" s="21">
        <f>EXP(-LN(2)/2)*EX137+(1-EXP(-LN(2)/2))/(LN(2)/2)*ER138*EU138*VLOOKUP('Données projet'!$B$15,Paramètres!$A$1:$I$89,3,0)*0.475*44/12</f>
        <v>3.1822956371660634E-15</v>
      </c>
      <c r="EY138" s="22">
        <f t="shared" si="129"/>
        <v>1.285222177604876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-2.2737367544323206E-13</v>
      </c>
      <c r="O139" s="13">
        <f>N139*VLOOKUP('Données projet'!$B$9,Paramètres!$A$1:$I$89,3,0)*VLOOKUP('Données projet'!$B$9,Paramètres!$A$1:$I$89,5,0)</f>
        <v>-1.2710188457276673E-13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255.5374979188561</v>
      </c>
      <c r="T139" s="59">
        <f t="shared" si="142"/>
        <v>343.10418468620901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0.37868087878653584</v>
      </c>
      <c r="AA139" s="21">
        <f>EXP(-LN(2)/25)*AA138+(1-EXP(-LN(2)/25))/(LN(2)/25)*Calculateur!V139*Calculateur!X139*VLOOKUP('Données projet'!$B$9,Paramètres!$A$1:$I$89,3,0)*0.475*44/12</f>
        <v>0.84464216266535541</v>
      </c>
      <c r="AB139" s="21">
        <f>EXP(-LN(2)/2)*AB138+(1-EXP(-LN(2)/2))/(LN(2)/2)*V139*Y139*VLOOKUP('Données projet'!$B$9,Paramètres!$A$1:$I$89,3,0)*0.475*44/12</f>
        <v>1.879221311289554E-16</v>
      </c>
      <c r="AC139" s="22">
        <f t="shared" si="111"/>
        <v>1.2233230414518914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1.5961632016114892E-13</v>
      </c>
      <c r="AK139" s="13">
        <f t="shared" si="143"/>
        <v>2.2708641912150958E-12</v>
      </c>
      <c r="AL139" s="20">
        <f t="shared" si="112"/>
        <v>4.2330868906469593E-12</v>
      </c>
      <c r="AM139" s="59">
        <f t="shared" si="113"/>
        <v>293.33333333333752</v>
      </c>
      <c r="AN139" s="59">
        <f ca="1">AVERAGE(OFFSET($AM$3,0,0,'Données projet'!$E$10+1,1))-AVERAGE(OFFSET($H$3,0,0,'Données projet'!$E$10+1,1))</f>
        <v>158.58786357608489</v>
      </c>
      <c r="AO139" s="59">
        <f t="shared" si="144"/>
        <v>163.20074068819849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553.99999999999955</v>
      </c>
      <c r="BE139" s="13">
        <f>BD139*VLOOKUP('Données projet'!$B$11,Paramètres!$A$1:$I$89,3,0)*VLOOKUP('Données projet'!$B$11,Paramètres!$A$1:$I$89,5,0)</f>
        <v>331.29199999999975</v>
      </c>
      <c r="BF139" s="13">
        <f t="shared" si="145"/>
        <v>77.698110787752</v>
      </c>
      <c r="BG139" s="20">
        <f t="shared" si="115"/>
        <v>712.32444295533423</v>
      </c>
      <c r="BH139" s="59">
        <f t="shared" si="116"/>
        <v>1005.6577762886675</v>
      </c>
      <c r="BI139" s="59">
        <f ca="1">AVERAGE(OFFSET($BH$3,0,0,'Données projet'!$E$11+1,1))-AVERAGE(OFFSET($H$3,0,0,'Données projet'!$E$11+1,1))</f>
        <v>316.58509520829671</v>
      </c>
      <c r="BJ139" s="59">
        <f t="shared" si="146"/>
        <v>240.71332110643596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0.31060579841211761</v>
      </c>
      <c r="BQ139" s="21">
        <f>EXP(-LN(2)/25)*BQ138+(1-EXP(-LN(2)/25))/(LN(2)/25)*Calculateur!BL139*Calculateur!BN139*VLOOKUP('Données projet'!$B$11,Paramètres!$A$1:$I$89,3,0)*0.475*44/12</f>
        <v>0.80800283625992808</v>
      </c>
      <c r="BR139" s="21">
        <f>EXP(-LN(2)/2)*BR138+(1-EXP(-LN(2)/2))/(LN(2)/2)*BL139*BO139*VLOOKUP('Données projet'!$B$11,Paramètres!$A$1:$I$89,3,0)*0.475*44/12</f>
        <v>2.4357563821620834E-15</v>
      </c>
      <c r="BS139" s="22">
        <f t="shared" si="117"/>
        <v>1.1186086346720481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-5.1159076974727213E-13</v>
      </c>
      <c r="BZ139" s="13">
        <f>BY139*VLOOKUP('Données projet'!$B$12,Paramètres!$A$1:$I$89,3,0)*VLOOKUP('Données projet'!$B$12,Paramètres!$A$1:$I$89,5,0)</f>
        <v>-4.0702161641092972E-13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260.20517190557814</v>
      </c>
      <c r="CE139" s="59">
        <f t="shared" si="148"/>
        <v>307.22009971147133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0.39987564208720666</v>
      </c>
      <c r="CL139" s="21">
        <f>EXP(-LN(2)/25)*CL138+(1-EXP(-LN(2)/25))/(LN(2)/25)*Calculateur!CG139*Calculateur!CI139*VLOOKUP('Données projet'!$B$12,Paramètres!$A$1:$I$89,3,0)*0.475*44/12</f>
        <v>1.0859298386726999</v>
      </c>
      <c r="CM139" s="21">
        <f>EXP(-LN(2)/2)*CM138+(1-EXP(-LN(2)/2))/(LN(2)/2)*CG139*CJ139*VLOOKUP('Données projet'!$B$12,Paramètres!$A$1:$I$89,3,0)*0.475*44/12</f>
        <v>2.6688689317163934E-15</v>
      </c>
      <c r="CN139" s="22">
        <f t="shared" si="120"/>
        <v>1.4858054807599093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4.5474735088646412E-13</v>
      </c>
      <c r="CU139" s="17">
        <f>CT139*VLOOKUP('Données projet'!$B$13,Paramètres!$A$1:$I$89,3,0)*VLOOKUP('Données projet'!$B$13,Paramètres!$A$1:$I$89,5,0)</f>
        <v>4.6111381379887462E-13</v>
      </c>
      <c r="CV139" s="13">
        <f t="shared" si="149"/>
        <v>5.7981965206434308E-12</v>
      </c>
      <c r="CW139" s="20">
        <f t="shared" si="121"/>
        <v>1.0901632165820347E-11</v>
      </c>
      <c r="CX139" s="59">
        <f t="shared" si="122"/>
        <v>293.33333333334423</v>
      </c>
      <c r="CY139" s="59">
        <f ca="1">AVERAGE(OFFSET($CX$3,0,0,'Données projet'!$E$13+1,1))-AVERAGE(OFFSET($H$3,0,0,'Données projet'!$E$13+1,1))</f>
        <v>263.15518481854753</v>
      </c>
      <c r="CZ139" s="59">
        <f t="shared" si="150"/>
        <v>210.80755370263819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0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275.99999999999972</v>
      </c>
      <c r="DP139" s="17">
        <f>DO139*VLOOKUP('Données projet'!$B$14,Paramètres!$A$1:$I$89,3,0)*VLOOKUP('Données projet'!$B$14,Paramètres!$A$1:$I$89,5,0)</f>
        <v>223.8911999999998</v>
      </c>
      <c r="DQ139" s="13">
        <f t="shared" si="151"/>
        <v>54.95975389514858</v>
      </c>
      <c r="DR139" s="20">
        <f t="shared" si="124"/>
        <v>485.66541136738346</v>
      </c>
      <c r="DS139" s="59">
        <f t="shared" si="125"/>
        <v>778.99874470071677</v>
      </c>
      <c r="DT139" s="59">
        <f ca="1">AVERAGE(OFFSET($DS$3,0,0,'Données projet'!$E$14+1,1))-AVERAGE(OFFSET($H$3,0,0,'Données projet'!$E$14+1,1))</f>
        <v>203.21935660591021</v>
      </c>
      <c r="DU139" s="59">
        <f t="shared" si="152"/>
        <v>180.54762778843178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0.12286438522478635</v>
      </c>
      <c r="EB139" s="21">
        <f>EXP(-LN(2)/25)*EB138+(1-EXP(-LN(2)/25))/(LN(2)/25)*Calculateur!DW139*Calculateur!DY139*VLOOKUP('Données projet'!$B$14,Paramètres!$A$1:$I$89,3,0)*0.475*44/12</f>
        <v>0.30714103610607774</v>
      </c>
      <c r="EC139" s="21">
        <f>EXP(-LN(2)/2)*EC138+(1-EXP(-LN(2)/2))/(LN(2)/2)*DW139*DZ139*VLOOKUP('Données projet'!$B$14,Paramètres!$A$1:$I$89,3,0)*0.475*44/12</f>
        <v>1.0061601019439806E-15</v>
      </c>
      <c r="ED139" s="22">
        <f t="shared" si="126"/>
        <v>0.43000542133086506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-5.1159076974727213E-13</v>
      </c>
      <c r="EK139" s="17">
        <f>EJ139*VLOOKUP('Données projet'!$B$15,Paramètres!$A$1:$I$89,3,0)*VLOOKUP('Données projet'!$B$15,Paramètres!$A$1:$I$89,5,0)</f>
        <v>-3.4317508834647017E-13</v>
      </c>
      <c r="EL139" s="13" t="e">
        <f t="shared" si="153"/>
        <v>#NUM!</v>
      </c>
      <c r="EM139" s="20" t="e">
        <f t="shared" si="127"/>
        <v>#NUM!</v>
      </c>
      <c r="EN139" s="59" t="e">
        <f t="shared" si="128"/>
        <v>#NUM!</v>
      </c>
      <c r="EO139" s="59">
        <f ca="1">AVERAGE(OFFSET($EN$3,0,0,'Données projet'!$E$15+1,1))-AVERAGE(OFFSET($H$3,0,0,'Données projet'!$E$15+1,1))</f>
        <v>207.93042467236967</v>
      </c>
      <c r="EP139" s="59">
        <f t="shared" si="154"/>
        <v>250.70954318710835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0.33715005117156599</v>
      </c>
      <c r="EW139" s="21">
        <f>EXP(-LN(2)/25)*EW138+(1-EXP(-LN(2)/25))/(LN(2)/25)*Calculateur!ER139*Calculateur!ET139*VLOOKUP('Données projet'!$B$15,Paramètres!$A$1:$I$89,3,0)*0.475*44/12</f>
        <v>0.91558790319463079</v>
      </c>
      <c r="EX139" s="21">
        <f>EXP(-LN(2)/2)*EX138+(1-EXP(-LN(2)/2))/(LN(2)/2)*ER139*EU139*VLOOKUP('Données projet'!$B$15,Paramètres!$A$1:$I$89,3,0)*0.475*44/12</f>
        <v>2.2502228247804884E-15</v>
      </c>
      <c r="EY139" s="22">
        <f t="shared" si="129"/>
        <v>1.2527379543661989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-2.2737367544323206E-13</v>
      </c>
      <c r="O140" s="13">
        <f>N140*VLOOKUP('Données projet'!$B$9,Paramètres!$A$1:$I$89,3,0)*VLOOKUP('Données projet'!$B$9,Paramètres!$A$1:$I$89,5,0)</f>
        <v>-1.2710188457276673E-13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255.5374979188561</v>
      </c>
      <c r="T140" s="59">
        <f t="shared" si="142"/>
        <v>343.10418468620901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0.37125517772606126</v>
      </c>
      <c r="AA140" s="21">
        <f>EXP(-LN(2)/25)*AA139+(1-EXP(-LN(2)/25))/(LN(2)/25)*Calculateur!V140*Calculateur!X140*VLOOKUP('Données projet'!$B$9,Paramètres!$A$1:$I$89,3,0)*0.475*44/12</f>
        <v>0.82154537830947039</v>
      </c>
      <c r="AB140" s="21">
        <f>EXP(-LN(2)/2)*AB139+(1-EXP(-LN(2)/2))/(LN(2)/2)*V140*Y140*VLOOKUP('Données projet'!$B$9,Paramètres!$A$1:$I$89,3,0)*0.475*44/12</f>
        <v>1.3288101325631195E-16</v>
      </c>
      <c r="AC140" s="22">
        <f t="shared" si="111"/>
        <v>1.1928005560355319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1.5961632016114892E-13</v>
      </c>
      <c r="AK140" s="13">
        <f t="shared" si="143"/>
        <v>2.2708641912150958E-12</v>
      </c>
      <c r="AL140" s="20">
        <f t="shared" si="112"/>
        <v>4.2330868906469593E-12</v>
      </c>
      <c r="AM140" s="59">
        <f t="shared" si="113"/>
        <v>293.33333333333752</v>
      </c>
      <c r="AN140" s="59">
        <f ca="1">AVERAGE(OFFSET($AM$3,0,0,'Données projet'!$E$10+1,1))-AVERAGE(OFFSET($H$3,0,0,'Données projet'!$E$10+1,1))</f>
        <v>158.58786357608489</v>
      </c>
      <c r="AO140" s="59">
        <f t="shared" si="144"/>
        <v>163.20074068819849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553.99999999999955</v>
      </c>
      <c r="BE140" s="13">
        <f>BD140*VLOOKUP('Données projet'!$B$11,Paramètres!$A$1:$I$89,3,0)*VLOOKUP('Données projet'!$B$11,Paramètres!$A$1:$I$89,5,0)</f>
        <v>331.29199999999975</v>
      </c>
      <c r="BF140" s="13">
        <f t="shared" si="145"/>
        <v>77.698110787752</v>
      </c>
      <c r="BG140" s="20">
        <f t="shared" si="115"/>
        <v>712.32444295533423</v>
      </c>
      <c r="BH140" s="59">
        <f t="shared" si="116"/>
        <v>1005.6577762886675</v>
      </c>
      <c r="BI140" s="59">
        <f ca="1">AVERAGE(OFFSET($BH$3,0,0,'Données projet'!$E$11+1,1))-AVERAGE(OFFSET($H$3,0,0,'Données projet'!$E$11+1,1))</f>
        <v>316.58509520829671</v>
      </c>
      <c r="BJ140" s="59">
        <f t="shared" si="146"/>
        <v>240.71332110643596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0.30451500815608629</v>
      </c>
      <c r="BQ140" s="21">
        <f>EXP(-LN(2)/25)*BQ139+(1-EXP(-LN(2)/25))/(LN(2)/25)*Calculateur!BL140*Calculateur!BN140*VLOOKUP('Données projet'!$B$11,Paramètres!$A$1:$I$89,3,0)*0.475*44/12</f>
        <v>0.78590795621137788</v>
      </c>
      <c r="BR140" s="21">
        <f>EXP(-LN(2)/2)*BR139+(1-EXP(-LN(2)/2))/(LN(2)/2)*BL140*BO140*VLOOKUP('Données projet'!$B$11,Paramètres!$A$1:$I$89,3,0)*0.475*44/12</f>
        <v>1.7223398551452209E-15</v>
      </c>
      <c r="BS140" s="22">
        <f t="shared" si="117"/>
        <v>1.0904229643674659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-5.1159076974727213E-13</v>
      </c>
      <c r="BZ140" s="13">
        <f>BY140*VLOOKUP('Données projet'!$B$12,Paramètres!$A$1:$I$89,3,0)*VLOOKUP('Données projet'!$B$12,Paramètres!$A$1:$I$89,5,0)</f>
        <v>-4.0702161641092972E-13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260.20517190557814</v>
      </c>
      <c r="CE140" s="59">
        <f t="shared" si="148"/>
        <v>307.22009971147133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0.39203432464593507</v>
      </c>
      <c r="CL140" s="21">
        <f>EXP(-LN(2)/25)*CL139+(1-EXP(-LN(2)/25))/(LN(2)/25)*Calculateur!CG140*Calculateur!CI140*VLOOKUP('Données projet'!$B$12,Paramètres!$A$1:$I$89,3,0)*0.475*44/12</f>
        <v>1.0562350301276267</v>
      </c>
      <c r="CM140" s="21">
        <f>EXP(-LN(2)/2)*CM139+(1-EXP(-LN(2)/2))/(LN(2)/2)*CG140*CJ140*VLOOKUP('Données projet'!$B$12,Paramètres!$A$1:$I$89,3,0)*0.475*44/12</f>
        <v>1.8871753197147586E-15</v>
      </c>
      <c r="CN140" s="22">
        <f t="shared" si="120"/>
        <v>1.4482693547735634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4.5474735088646412E-13</v>
      </c>
      <c r="CU140" s="17">
        <f>CT140*VLOOKUP('Données projet'!$B$13,Paramètres!$A$1:$I$89,3,0)*VLOOKUP('Données projet'!$B$13,Paramètres!$A$1:$I$89,5,0)</f>
        <v>4.6111381379887462E-13</v>
      </c>
      <c r="CV140" s="13">
        <f t="shared" si="149"/>
        <v>5.7981965206434308E-12</v>
      </c>
      <c r="CW140" s="20">
        <f t="shared" si="121"/>
        <v>1.0901632165820347E-11</v>
      </c>
      <c r="CX140" s="59">
        <f t="shared" si="122"/>
        <v>293.33333333334423</v>
      </c>
      <c r="CY140" s="59">
        <f ca="1">AVERAGE(OFFSET($CX$3,0,0,'Données projet'!$E$13+1,1))-AVERAGE(OFFSET($H$3,0,0,'Données projet'!$E$13+1,1))</f>
        <v>263.15518481854753</v>
      </c>
      <c r="CZ140" s="59">
        <f t="shared" si="150"/>
        <v>210.80755370263819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0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275.99999999999972</v>
      </c>
      <c r="DP140" s="17">
        <f>DO140*VLOOKUP('Données projet'!$B$14,Paramètres!$A$1:$I$89,3,0)*VLOOKUP('Données projet'!$B$14,Paramètres!$A$1:$I$89,5,0)</f>
        <v>223.8911999999998</v>
      </c>
      <c r="DQ140" s="13">
        <f t="shared" si="151"/>
        <v>54.95975389514858</v>
      </c>
      <c r="DR140" s="20">
        <f t="shared" si="124"/>
        <v>485.66541136738346</v>
      </c>
      <c r="DS140" s="59">
        <f t="shared" si="125"/>
        <v>778.99874470071677</v>
      </c>
      <c r="DT140" s="59">
        <f ca="1">AVERAGE(OFFSET($DS$3,0,0,'Données projet'!$E$14+1,1))-AVERAGE(OFFSET($H$3,0,0,'Données projet'!$E$14+1,1))</f>
        <v>203.21935660591021</v>
      </c>
      <c r="DU140" s="59">
        <f t="shared" si="152"/>
        <v>180.54762778843178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0.12045508957040357</v>
      </c>
      <c r="EB140" s="21">
        <f>EXP(-LN(2)/25)*EB139+(1-EXP(-LN(2)/25))/(LN(2)/25)*Calculateur!DW140*Calculateur!DY140*VLOOKUP('Données projet'!$B$14,Paramètres!$A$1:$I$89,3,0)*0.475*44/12</f>
        <v>0.29874224832191193</v>
      </c>
      <c r="EC140" s="21">
        <f>EXP(-LN(2)/2)*EC139+(1-EXP(-LN(2)/2))/(LN(2)/2)*DW140*DZ140*VLOOKUP('Données projet'!$B$14,Paramètres!$A$1:$I$89,3,0)*0.475*44/12</f>
        <v>7.1146263104393666E-16</v>
      </c>
      <c r="ED140" s="22">
        <f t="shared" si="126"/>
        <v>0.41919733789231622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-5.1159076974727213E-13</v>
      </c>
      <c r="EK140" s="17">
        <f>EJ140*VLOOKUP('Données projet'!$B$15,Paramètres!$A$1:$I$89,3,0)*VLOOKUP('Données projet'!$B$15,Paramètres!$A$1:$I$89,5,0)</f>
        <v>-3.4317508834647017E-13</v>
      </c>
      <c r="EL140" s="13" t="e">
        <f t="shared" si="153"/>
        <v>#NUM!</v>
      </c>
      <c r="EM140" s="20" t="e">
        <f t="shared" si="127"/>
        <v>#NUM!</v>
      </c>
      <c r="EN140" s="59" t="e">
        <f t="shared" si="128"/>
        <v>#NUM!</v>
      </c>
      <c r="EO140" s="59">
        <f ca="1">AVERAGE(OFFSET($EN$3,0,0,'Données projet'!$E$15+1,1))-AVERAGE(OFFSET($H$3,0,0,'Données projet'!$E$15+1,1))</f>
        <v>207.93042467236967</v>
      </c>
      <c r="EP140" s="59">
        <f t="shared" si="154"/>
        <v>250.70954318710835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0.3305387443093174</v>
      </c>
      <c r="EW140" s="21">
        <f>EXP(-LN(2)/25)*EW139+(1-EXP(-LN(2)/25))/(LN(2)/25)*Calculateur!ER140*Calculateur!ET140*VLOOKUP('Données projet'!$B$15,Paramètres!$A$1:$I$89,3,0)*0.475*44/12</f>
        <v>0.89055110383309843</v>
      </c>
      <c r="EX140" s="21">
        <f>EXP(-LN(2)/2)*EX139+(1-EXP(-LN(2)/2))/(LN(2)/2)*ER140*EU140*VLOOKUP('Données projet'!$B$15,Paramètres!$A$1:$I$89,3,0)*0.475*44/12</f>
        <v>1.5911478185830317E-15</v>
      </c>
      <c r="EY140" s="22">
        <f t="shared" si="129"/>
        <v>1.2210898481424175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-2.2737367544323206E-13</v>
      </c>
      <c r="O141" s="13">
        <f>N141*VLOOKUP('Données projet'!$B$9,Paramètres!$A$1:$I$89,3,0)*VLOOKUP('Données projet'!$B$9,Paramètres!$A$1:$I$89,5,0)</f>
        <v>-1.2710188457276673E-13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255.5374979188561</v>
      </c>
      <c r="T141" s="59">
        <f t="shared" si="142"/>
        <v>343.10418468620901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0.36397509013415219</v>
      </c>
      <c r="AA141" s="21">
        <f>EXP(-LN(2)/25)*AA140+(1-EXP(-LN(2)/25))/(LN(2)/25)*Calculateur!V141*Calculateur!X141*VLOOKUP('Données projet'!$B$9,Paramètres!$A$1:$I$89,3,0)*0.475*44/12</f>
        <v>0.79908017673640419</v>
      </c>
      <c r="AB141" s="21">
        <f>EXP(-LN(2)/2)*AB140+(1-EXP(-LN(2)/2))/(LN(2)/2)*V141*Y141*VLOOKUP('Données projet'!$B$9,Paramètres!$A$1:$I$89,3,0)*0.475*44/12</f>
        <v>9.3961065564477699E-17</v>
      </c>
      <c r="AC141" s="22">
        <f t="shared" si="111"/>
        <v>1.1630552668705563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1.5961632016114892E-13</v>
      </c>
      <c r="AK141" s="13">
        <f t="shared" si="143"/>
        <v>2.2708641912150958E-12</v>
      </c>
      <c r="AL141" s="20">
        <f t="shared" si="112"/>
        <v>4.2330868906469593E-12</v>
      </c>
      <c r="AM141" s="59">
        <f t="shared" si="113"/>
        <v>293.33333333333752</v>
      </c>
      <c r="AN141" s="59">
        <f ca="1">AVERAGE(OFFSET($AM$3,0,0,'Données projet'!$E$10+1,1))-AVERAGE(OFFSET($H$3,0,0,'Données projet'!$E$10+1,1))</f>
        <v>158.58786357608489</v>
      </c>
      <c r="AO141" s="59">
        <f t="shared" si="144"/>
        <v>163.20074068819849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553.99999999999955</v>
      </c>
      <c r="BE141" s="13">
        <f>BD141*VLOOKUP('Données projet'!$B$11,Paramètres!$A$1:$I$89,3,0)*VLOOKUP('Données projet'!$B$11,Paramètres!$A$1:$I$89,5,0)</f>
        <v>331.29199999999975</v>
      </c>
      <c r="BF141" s="13">
        <f t="shared" si="145"/>
        <v>77.698110787752</v>
      </c>
      <c r="BG141" s="20">
        <f t="shared" si="115"/>
        <v>712.32444295533423</v>
      </c>
      <c r="BH141" s="59">
        <f t="shared" si="116"/>
        <v>1005.6577762886675</v>
      </c>
      <c r="BI141" s="59">
        <f ca="1">AVERAGE(OFFSET($BH$3,0,0,'Données projet'!$E$11+1,1))-AVERAGE(OFFSET($H$3,0,0,'Données projet'!$E$11+1,1))</f>
        <v>316.58509520829671</v>
      </c>
      <c r="BJ141" s="59">
        <f t="shared" si="146"/>
        <v>240.71332110643596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0.29854365458196053</v>
      </c>
      <c r="BQ141" s="21">
        <f>EXP(-LN(2)/25)*BQ140+(1-EXP(-LN(2)/25))/(LN(2)/25)*Calculateur!BL141*Calculateur!BN141*VLOOKUP('Données projet'!$B$11,Paramètres!$A$1:$I$89,3,0)*0.475*44/12</f>
        <v>0.76441726181967451</v>
      </c>
      <c r="BR141" s="21">
        <f>EXP(-LN(2)/2)*BR140+(1-EXP(-LN(2)/2))/(LN(2)/2)*BL141*BO141*VLOOKUP('Données projet'!$B$11,Paramètres!$A$1:$I$89,3,0)*0.475*44/12</f>
        <v>1.2178781910810417E-15</v>
      </c>
      <c r="BS141" s="22">
        <f t="shared" si="117"/>
        <v>1.062960916401636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-5.1159076974727213E-13</v>
      </c>
      <c r="BZ141" s="13">
        <f>BY141*VLOOKUP('Données projet'!$B$12,Paramètres!$A$1:$I$89,3,0)*VLOOKUP('Données projet'!$B$12,Paramètres!$A$1:$I$89,5,0)</f>
        <v>-4.0702161641092972E-13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260.20517190557814</v>
      </c>
      <c r="CE141" s="59">
        <f t="shared" si="148"/>
        <v>307.22009971147133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0.38434677065695544</v>
      </c>
      <c r="CL141" s="21">
        <f>EXP(-LN(2)/25)*CL140+(1-EXP(-LN(2)/25))/(LN(2)/25)*Calculateur!CG141*Calculateur!CI141*VLOOKUP('Données projet'!$B$12,Paramètres!$A$1:$I$89,3,0)*0.475*44/12</f>
        <v>1.0273522276838005</v>
      </c>
      <c r="CM141" s="21">
        <f>EXP(-LN(2)/2)*CM140+(1-EXP(-LN(2)/2))/(LN(2)/2)*CG141*CJ141*VLOOKUP('Données projet'!$B$12,Paramètres!$A$1:$I$89,3,0)*0.475*44/12</f>
        <v>1.3344344658581967E-15</v>
      </c>
      <c r="CN141" s="22">
        <f t="shared" si="120"/>
        <v>1.4116989983407573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4.5474735088646412E-13</v>
      </c>
      <c r="CU141" s="17">
        <f>CT141*VLOOKUP('Données projet'!$B$13,Paramètres!$A$1:$I$89,3,0)*VLOOKUP('Données projet'!$B$13,Paramètres!$A$1:$I$89,5,0)</f>
        <v>4.6111381379887462E-13</v>
      </c>
      <c r="CV141" s="13">
        <f t="shared" si="149"/>
        <v>5.7981965206434308E-12</v>
      </c>
      <c r="CW141" s="20">
        <f t="shared" si="121"/>
        <v>1.0901632165820347E-11</v>
      </c>
      <c r="CX141" s="59">
        <f t="shared" si="122"/>
        <v>293.33333333334423</v>
      </c>
      <c r="CY141" s="59">
        <f ca="1">AVERAGE(OFFSET($CX$3,0,0,'Données projet'!$E$13+1,1))-AVERAGE(OFFSET($H$3,0,0,'Données projet'!$E$13+1,1))</f>
        <v>263.15518481854753</v>
      </c>
      <c r="CZ141" s="59">
        <f t="shared" si="150"/>
        <v>210.80755370263819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0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275.99999999999972</v>
      </c>
      <c r="DP141" s="17">
        <f>DO141*VLOOKUP('Données projet'!$B$14,Paramètres!$A$1:$I$89,3,0)*VLOOKUP('Données projet'!$B$14,Paramètres!$A$1:$I$89,5,0)</f>
        <v>223.8911999999998</v>
      </c>
      <c r="DQ141" s="13">
        <f t="shared" si="151"/>
        <v>54.95975389514858</v>
      </c>
      <c r="DR141" s="20">
        <f t="shared" si="124"/>
        <v>485.66541136738346</v>
      </c>
      <c r="DS141" s="59">
        <f t="shared" si="125"/>
        <v>778.99874470071677</v>
      </c>
      <c r="DT141" s="59">
        <f ca="1">AVERAGE(OFFSET($DS$3,0,0,'Données projet'!$E$14+1,1))-AVERAGE(OFFSET($H$3,0,0,'Données projet'!$E$14+1,1))</f>
        <v>203.21935660591021</v>
      </c>
      <c r="DU141" s="59">
        <f t="shared" si="152"/>
        <v>180.54762778843178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0.118093038734278</v>
      </c>
      <c r="EB141" s="21">
        <f>EXP(-LN(2)/25)*EB140+(1-EXP(-LN(2)/25))/(LN(2)/25)*Calculateur!DW141*Calculateur!DY141*VLOOKUP('Données projet'!$B$14,Paramètres!$A$1:$I$89,3,0)*0.475*44/12</f>
        <v>0.29057312583137718</v>
      </c>
      <c r="EC141" s="21">
        <f>EXP(-LN(2)/2)*EC140+(1-EXP(-LN(2)/2))/(LN(2)/2)*DW141*DZ141*VLOOKUP('Données projet'!$B$14,Paramètres!$A$1:$I$89,3,0)*0.475*44/12</f>
        <v>5.030800509719903E-16</v>
      </c>
      <c r="ED141" s="22">
        <f t="shared" si="126"/>
        <v>0.40866616456565569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-5.1159076974727213E-13</v>
      </c>
      <c r="EK141" s="17">
        <f>EJ141*VLOOKUP('Données projet'!$B$15,Paramètres!$A$1:$I$89,3,0)*VLOOKUP('Données projet'!$B$15,Paramètres!$A$1:$I$89,5,0)</f>
        <v>-3.4317508834647017E-13</v>
      </c>
      <c r="EL141" s="13" t="e">
        <f t="shared" si="153"/>
        <v>#NUM!</v>
      </c>
      <c r="EM141" s="20" t="e">
        <f t="shared" si="127"/>
        <v>#NUM!</v>
      </c>
      <c r="EN141" s="59" t="e">
        <f t="shared" si="128"/>
        <v>#NUM!</v>
      </c>
      <c r="EO141" s="59">
        <f ca="1">AVERAGE(OFFSET($EN$3,0,0,'Données projet'!$E$15+1,1))-AVERAGE(OFFSET($H$3,0,0,'Données projet'!$E$15+1,1))</f>
        <v>207.93042467236967</v>
      </c>
      <c r="EP141" s="59">
        <f t="shared" si="154"/>
        <v>250.70954318710835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0.32405708114213849</v>
      </c>
      <c r="EW141" s="21">
        <f>EXP(-LN(2)/25)*EW140+(1-EXP(-LN(2)/25))/(LN(2)/25)*Calculateur!ER141*Calculateur!ET141*VLOOKUP('Données projet'!$B$15,Paramètres!$A$1:$I$89,3,0)*0.475*44/12</f>
        <v>0.86619893706673523</v>
      </c>
      <c r="EX141" s="21">
        <f>EXP(-LN(2)/2)*EX140+(1-EXP(-LN(2)/2))/(LN(2)/2)*ER141*EU141*VLOOKUP('Données projet'!$B$15,Paramètres!$A$1:$I$89,3,0)*0.475*44/12</f>
        <v>1.1251114123902442E-15</v>
      </c>
      <c r="EY141" s="22">
        <f t="shared" si="129"/>
        <v>1.1902560182088748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-2.2737367544323206E-13</v>
      </c>
      <c r="O142" s="13">
        <f>N142*VLOOKUP('Données projet'!$B$9,Paramètres!$A$1:$I$89,3,0)*VLOOKUP('Données projet'!$B$9,Paramètres!$A$1:$I$89,5,0)</f>
        <v>-1.2710188457276673E-13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255.5374979188561</v>
      </c>
      <c r="T142" s="59">
        <f t="shared" si="142"/>
        <v>343.10418468620901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0.35683776061950551</v>
      </c>
      <c r="AA142" s="21">
        <f>EXP(-LN(2)/25)*AA141+(1-EXP(-LN(2)/25))/(LN(2)/25)*Calculateur!V142*Calculateur!X142*VLOOKUP('Données projet'!$B$9,Paramètres!$A$1:$I$89,3,0)*0.475*44/12</f>
        <v>0.77722928728174701</v>
      </c>
      <c r="AB142" s="21">
        <f>EXP(-LN(2)/2)*AB141+(1-EXP(-LN(2)/2))/(LN(2)/2)*V142*Y142*VLOOKUP('Données projet'!$B$9,Paramètres!$A$1:$I$89,3,0)*0.475*44/12</f>
        <v>6.6440506628155977E-17</v>
      </c>
      <c r="AC142" s="22">
        <f t="shared" si="111"/>
        <v>1.1340670479012525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1.5961632016114892E-13</v>
      </c>
      <c r="AK142" s="13">
        <f t="shared" si="143"/>
        <v>2.2708641912150958E-12</v>
      </c>
      <c r="AL142" s="20">
        <f t="shared" si="112"/>
        <v>4.2330868906469593E-12</v>
      </c>
      <c r="AM142" s="59">
        <f t="shared" si="113"/>
        <v>293.33333333333752</v>
      </c>
      <c r="AN142" s="59">
        <f ca="1">AVERAGE(OFFSET($AM$3,0,0,'Données projet'!$E$10+1,1))-AVERAGE(OFFSET($H$3,0,0,'Données projet'!$E$10+1,1))</f>
        <v>158.58786357608489</v>
      </c>
      <c r="AO142" s="59">
        <f t="shared" si="144"/>
        <v>163.20074068819849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553.99999999999955</v>
      </c>
      <c r="BE142" s="13">
        <f>BD142*VLOOKUP('Données projet'!$B$11,Paramètres!$A$1:$I$89,3,0)*VLOOKUP('Données projet'!$B$11,Paramètres!$A$1:$I$89,5,0)</f>
        <v>331.29199999999975</v>
      </c>
      <c r="BF142" s="13">
        <f t="shared" si="145"/>
        <v>77.698110787752</v>
      </c>
      <c r="BG142" s="20">
        <f t="shared" si="115"/>
        <v>712.32444295533423</v>
      </c>
      <c r="BH142" s="59">
        <f t="shared" si="116"/>
        <v>1005.6577762886675</v>
      </c>
      <c r="BI142" s="59">
        <f ca="1">AVERAGE(OFFSET($BH$3,0,0,'Données projet'!$E$11+1,1))-AVERAGE(OFFSET($H$3,0,0,'Données projet'!$E$11+1,1))</f>
        <v>316.58509520829671</v>
      </c>
      <c r="BJ142" s="59">
        <f t="shared" si="146"/>
        <v>240.71332110643596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0.29268939560925733</v>
      </c>
      <c r="BQ142" s="21">
        <f>EXP(-LN(2)/25)*BQ141+(1-EXP(-LN(2)/25))/(LN(2)/25)*Calculateur!BL142*Calculateur!BN142*VLOOKUP('Données projet'!$B$11,Paramètres!$A$1:$I$89,3,0)*0.475*44/12</f>
        <v>0.74351423159625885</v>
      </c>
      <c r="BR142" s="21">
        <f>EXP(-LN(2)/2)*BR141+(1-EXP(-LN(2)/2))/(LN(2)/2)*BL142*BO142*VLOOKUP('Données projet'!$B$11,Paramètres!$A$1:$I$89,3,0)*0.475*44/12</f>
        <v>8.6116992757261047E-16</v>
      </c>
      <c r="BS142" s="22">
        <f t="shared" si="117"/>
        <v>1.0362036272055171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-5.1159076974727213E-13</v>
      </c>
      <c r="BZ142" s="13">
        <f>BY142*VLOOKUP('Données projet'!$B$12,Paramètres!$A$1:$I$89,3,0)*VLOOKUP('Données projet'!$B$12,Paramètres!$A$1:$I$89,5,0)</f>
        <v>-4.0702161641092972E-13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260.20517190557814</v>
      </c>
      <c r="CE142" s="59">
        <f t="shared" si="148"/>
        <v>307.22009971147133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0.37680996491275476</v>
      </c>
      <c r="CL142" s="21">
        <f>EXP(-LN(2)/25)*CL141+(1-EXP(-LN(2)/25))/(LN(2)/25)*Calculateur!CG142*Calculateur!CI142*VLOOKUP('Données projet'!$B$12,Paramètres!$A$1:$I$89,3,0)*0.475*44/12</f>
        <v>0.99925922699168135</v>
      </c>
      <c r="CM142" s="21">
        <f>EXP(-LN(2)/2)*CM141+(1-EXP(-LN(2)/2))/(LN(2)/2)*CG142*CJ142*VLOOKUP('Données projet'!$B$12,Paramètres!$A$1:$I$89,3,0)*0.475*44/12</f>
        <v>9.4358765985737932E-16</v>
      </c>
      <c r="CN142" s="22">
        <f t="shared" si="120"/>
        <v>1.376069191904437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4.5474735088646412E-13</v>
      </c>
      <c r="CU142" s="17">
        <f>CT142*VLOOKUP('Données projet'!$B$13,Paramètres!$A$1:$I$89,3,0)*VLOOKUP('Données projet'!$B$13,Paramètres!$A$1:$I$89,5,0)</f>
        <v>4.6111381379887462E-13</v>
      </c>
      <c r="CV142" s="13">
        <f t="shared" si="149"/>
        <v>5.7981965206434308E-12</v>
      </c>
      <c r="CW142" s="20">
        <f t="shared" si="121"/>
        <v>1.0901632165820347E-11</v>
      </c>
      <c r="CX142" s="59">
        <f t="shared" si="122"/>
        <v>293.33333333334423</v>
      </c>
      <c r="CY142" s="59">
        <f ca="1">AVERAGE(OFFSET($CX$3,0,0,'Données projet'!$E$13+1,1))-AVERAGE(OFFSET($H$3,0,0,'Données projet'!$E$13+1,1))</f>
        <v>263.15518481854753</v>
      </c>
      <c r="CZ142" s="59">
        <f t="shared" si="150"/>
        <v>210.80755370263819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0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275.99999999999972</v>
      </c>
      <c r="DP142" s="17">
        <f>DO142*VLOOKUP('Données projet'!$B$14,Paramètres!$A$1:$I$89,3,0)*VLOOKUP('Données projet'!$B$14,Paramètres!$A$1:$I$89,5,0)</f>
        <v>223.8911999999998</v>
      </c>
      <c r="DQ142" s="13">
        <f t="shared" si="151"/>
        <v>54.95975389514858</v>
      </c>
      <c r="DR142" s="20">
        <f t="shared" si="124"/>
        <v>485.66541136738346</v>
      </c>
      <c r="DS142" s="59">
        <f t="shared" si="125"/>
        <v>778.99874470071677</v>
      </c>
      <c r="DT142" s="59">
        <f ca="1">AVERAGE(OFFSET($DS$3,0,0,'Données projet'!$E$14+1,1))-AVERAGE(OFFSET($H$3,0,0,'Données projet'!$E$14+1,1))</f>
        <v>203.21935660591021</v>
      </c>
      <c r="DU142" s="59">
        <f t="shared" si="152"/>
        <v>180.54762778843178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0.1157773062743401</v>
      </c>
      <c r="EB142" s="21">
        <f>EXP(-LN(2)/25)*EB141+(1-EXP(-LN(2)/25))/(LN(2)/25)*Calculateur!DW142*Calculateur!DY142*VLOOKUP('Données projet'!$B$14,Paramètres!$A$1:$I$89,3,0)*0.475*44/12</f>
        <v>0.28262738842494162</v>
      </c>
      <c r="EC142" s="21">
        <f>EXP(-LN(2)/2)*EC141+(1-EXP(-LN(2)/2))/(LN(2)/2)*DW142*DZ142*VLOOKUP('Données projet'!$B$14,Paramètres!$A$1:$I$89,3,0)*0.475*44/12</f>
        <v>3.5573131552196833E-16</v>
      </c>
      <c r="ED142" s="22">
        <f t="shared" si="126"/>
        <v>0.39840469469928208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-5.1159076974727213E-13</v>
      </c>
      <c r="EK142" s="17">
        <f>EJ142*VLOOKUP('Données projet'!$B$15,Paramètres!$A$1:$I$89,3,0)*VLOOKUP('Données projet'!$B$15,Paramètres!$A$1:$I$89,5,0)</f>
        <v>-3.4317508834647017E-13</v>
      </c>
      <c r="EL142" s="13" t="e">
        <f t="shared" si="153"/>
        <v>#NUM!</v>
      </c>
      <c r="EM142" s="20" t="e">
        <f t="shared" si="127"/>
        <v>#NUM!</v>
      </c>
      <c r="EN142" s="59" t="e">
        <f t="shared" si="128"/>
        <v>#NUM!</v>
      </c>
      <c r="EO142" s="59">
        <f ca="1">AVERAGE(OFFSET($EN$3,0,0,'Données projet'!$E$15+1,1))-AVERAGE(OFFSET($H$3,0,0,'Données projet'!$E$15+1,1))</f>
        <v>207.93042467236967</v>
      </c>
      <c r="EP142" s="59">
        <f t="shared" si="154"/>
        <v>250.70954318710835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0.31770251943624384</v>
      </c>
      <c r="EW142" s="21">
        <f>EXP(-LN(2)/25)*EW141+(1-EXP(-LN(2)/25))/(LN(2)/25)*Calculateur!ER142*Calculateur!ET142*VLOOKUP('Données projet'!$B$15,Paramètres!$A$1:$I$89,3,0)*0.475*44/12</f>
        <v>0.84251268158122294</v>
      </c>
      <c r="EX142" s="21">
        <f>EXP(-LN(2)/2)*EX141+(1-EXP(-LN(2)/2))/(LN(2)/2)*ER142*EU142*VLOOKUP('Données projet'!$B$15,Paramètres!$A$1:$I$89,3,0)*0.475*44/12</f>
        <v>7.9557390929151585E-16</v>
      </c>
      <c r="EY142" s="22">
        <f t="shared" si="129"/>
        <v>1.1602152010174676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-2.2737367544323206E-13</v>
      </c>
      <c r="O143" s="13">
        <f>N143*VLOOKUP('Données projet'!$B$9,Paramètres!$A$1:$I$89,3,0)*VLOOKUP('Données projet'!$B$9,Paramètres!$A$1:$I$89,5,0)</f>
        <v>-1.2710188457276673E-13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255.5374979188561</v>
      </c>
      <c r="T143" s="59">
        <f t="shared" si="142"/>
        <v>343.10418468620901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0.3498403897832999</v>
      </c>
      <c r="AA143" s="21">
        <f>EXP(-LN(2)/25)*AA142+(1-EXP(-LN(2)/25))/(LN(2)/25)*Calculateur!V143*Calculateur!X143*VLOOKUP('Données projet'!$B$9,Paramètres!$A$1:$I$89,3,0)*0.475*44/12</f>
        <v>0.75597591154831578</v>
      </c>
      <c r="AB143" s="21">
        <f>EXP(-LN(2)/2)*AB142+(1-EXP(-LN(2)/2))/(LN(2)/2)*V143*Y143*VLOOKUP('Données projet'!$B$9,Paramètres!$A$1:$I$89,3,0)*0.475*44/12</f>
        <v>4.698053278223885E-17</v>
      </c>
      <c r="AC143" s="22">
        <f t="shared" si="111"/>
        <v>1.1058163013316156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1.5961632016114892E-13</v>
      </c>
      <c r="AK143" s="13">
        <f t="shared" si="143"/>
        <v>2.2708641912150958E-12</v>
      </c>
      <c r="AL143" s="20">
        <f t="shared" si="112"/>
        <v>4.2330868906469593E-12</v>
      </c>
      <c r="AM143" s="59">
        <f t="shared" si="113"/>
        <v>293.33333333333752</v>
      </c>
      <c r="AN143" s="59">
        <f ca="1">AVERAGE(OFFSET($AM$3,0,0,'Données projet'!$E$10+1,1))-AVERAGE(OFFSET($H$3,0,0,'Données projet'!$E$10+1,1))</f>
        <v>158.58786357608489</v>
      </c>
      <c r="AO143" s="59">
        <f t="shared" si="144"/>
        <v>163.20074068819849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553.99999999999955</v>
      </c>
      <c r="BE143" s="13">
        <f>BD143*VLOOKUP('Données projet'!$B$11,Paramètres!$A$1:$I$89,3,0)*VLOOKUP('Données projet'!$B$11,Paramètres!$A$1:$I$89,5,0)</f>
        <v>331.29199999999975</v>
      </c>
      <c r="BF143" s="13">
        <f t="shared" si="145"/>
        <v>77.698110787752</v>
      </c>
      <c r="BG143" s="20">
        <f t="shared" si="115"/>
        <v>712.32444295533423</v>
      </c>
      <c r="BH143" s="59">
        <f t="shared" si="116"/>
        <v>1005.6577762886675</v>
      </c>
      <c r="BI143" s="59">
        <f ca="1">AVERAGE(OFFSET($BH$3,0,0,'Données projet'!$E$11+1,1))-AVERAGE(OFFSET($H$3,0,0,'Données projet'!$E$11+1,1))</f>
        <v>316.58509520829671</v>
      </c>
      <c r="BJ143" s="59">
        <f t="shared" si="146"/>
        <v>240.71332110643596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0.28694993508426342</v>
      </c>
      <c r="BQ143" s="21">
        <f>EXP(-LN(2)/25)*BQ142+(1-EXP(-LN(2)/25))/(LN(2)/25)*Calculateur!BL143*Calculateur!BN143*VLOOKUP('Données projet'!$B$11,Paramètres!$A$1:$I$89,3,0)*0.475*44/12</f>
        <v>0.72318279583354506</v>
      </c>
      <c r="BR143" s="21">
        <f>EXP(-LN(2)/2)*BR142+(1-EXP(-LN(2)/2))/(LN(2)/2)*BL143*BO143*VLOOKUP('Données projet'!$B$11,Paramètres!$A$1:$I$89,3,0)*0.475*44/12</f>
        <v>6.0893909554052084E-16</v>
      </c>
      <c r="BS143" s="22">
        <f t="shared" si="117"/>
        <v>1.0101327309178092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-5.1159076974727213E-13</v>
      </c>
      <c r="BZ143" s="13">
        <f>BY143*VLOOKUP('Données projet'!$B$12,Paramètres!$A$1:$I$89,3,0)*VLOOKUP('Données projet'!$B$12,Paramètres!$A$1:$I$89,5,0)</f>
        <v>-4.0702161641092972E-13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260.20517190557814</v>
      </c>
      <c r="CE143" s="59">
        <f t="shared" si="148"/>
        <v>307.22009971147133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0.36942095133220026</v>
      </c>
      <c r="CL143" s="21">
        <f>EXP(-LN(2)/25)*CL142+(1-EXP(-LN(2)/25))/(LN(2)/25)*Calculateur!CG143*Calculateur!CI143*VLOOKUP('Données projet'!$B$12,Paramètres!$A$1:$I$89,3,0)*0.475*44/12</f>
        <v>0.97193443088083487</v>
      </c>
      <c r="CM143" s="21">
        <f>EXP(-LN(2)/2)*CM142+(1-EXP(-LN(2)/2))/(LN(2)/2)*CG143*CJ143*VLOOKUP('Données projet'!$B$12,Paramètres!$A$1:$I$89,3,0)*0.475*44/12</f>
        <v>6.6721723292909835E-16</v>
      </c>
      <c r="CN143" s="22">
        <f t="shared" si="120"/>
        <v>1.3413553822130357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4.5474735088646412E-13</v>
      </c>
      <c r="CU143" s="17">
        <f>CT143*VLOOKUP('Données projet'!$B$13,Paramètres!$A$1:$I$89,3,0)*VLOOKUP('Données projet'!$B$13,Paramètres!$A$1:$I$89,5,0)</f>
        <v>4.6111381379887462E-13</v>
      </c>
      <c r="CV143" s="13">
        <f t="shared" si="149"/>
        <v>5.7981965206434308E-12</v>
      </c>
      <c r="CW143" s="20">
        <f t="shared" si="121"/>
        <v>1.0901632165820347E-11</v>
      </c>
      <c r="CX143" s="59">
        <f t="shared" si="122"/>
        <v>293.33333333334423</v>
      </c>
      <c r="CY143" s="59">
        <f ca="1">AVERAGE(OFFSET($CX$3,0,0,'Données projet'!$E$13+1,1))-AVERAGE(OFFSET($H$3,0,0,'Données projet'!$E$13+1,1))</f>
        <v>263.15518481854753</v>
      </c>
      <c r="CZ143" s="59">
        <f t="shared" si="150"/>
        <v>210.80755370263819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0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275.99999999999972</v>
      </c>
      <c r="DP143" s="17">
        <f>DO143*VLOOKUP('Données projet'!$B$14,Paramètres!$A$1:$I$89,3,0)*VLOOKUP('Données projet'!$B$14,Paramètres!$A$1:$I$89,5,0)</f>
        <v>223.8911999999998</v>
      </c>
      <c r="DQ143" s="13">
        <f t="shared" si="151"/>
        <v>54.95975389514858</v>
      </c>
      <c r="DR143" s="20">
        <f t="shared" si="124"/>
        <v>485.66541136738346</v>
      </c>
      <c r="DS143" s="59">
        <f t="shared" si="125"/>
        <v>778.99874470071677</v>
      </c>
      <c r="DT143" s="59">
        <f ca="1">AVERAGE(OFFSET($DS$3,0,0,'Données projet'!$E$14+1,1))-AVERAGE(OFFSET($H$3,0,0,'Données projet'!$E$14+1,1))</f>
        <v>203.21935660591021</v>
      </c>
      <c r="DU143" s="59">
        <f t="shared" si="152"/>
        <v>180.54762778843178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0.11350698391548425</v>
      </c>
      <c r="EB143" s="21">
        <f>EXP(-LN(2)/25)*EB142+(1-EXP(-LN(2)/25))/(LN(2)/25)*Calculateur!DW143*Calculateur!DY143*VLOOKUP('Données projet'!$B$14,Paramètres!$A$1:$I$89,3,0)*0.475*44/12</f>
        <v>0.2748989276257332</v>
      </c>
      <c r="EC143" s="21">
        <f>EXP(-LN(2)/2)*EC142+(1-EXP(-LN(2)/2))/(LN(2)/2)*DW143*DZ143*VLOOKUP('Données projet'!$B$14,Paramètres!$A$1:$I$89,3,0)*0.475*44/12</f>
        <v>2.5154002548599515E-16</v>
      </c>
      <c r="ED143" s="22">
        <f t="shared" si="126"/>
        <v>0.38840591154121773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-5.1159076974727213E-13</v>
      </c>
      <c r="EK143" s="17">
        <f>EJ143*VLOOKUP('Données projet'!$B$15,Paramètres!$A$1:$I$89,3,0)*VLOOKUP('Données projet'!$B$15,Paramètres!$A$1:$I$89,5,0)</f>
        <v>-3.4317508834647017E-13</v>
      </c>
      <c r="EL143" s="13" t="e">
        <f t="shared" si="153"/>
        <v>#NUM!</v>
      </c>
      <c r="EM143" s="20" t="e">
        <f t="shared" si="127"/>
        <v>#NUM!</v>
      </c>
      <c r="EN143" s="59" t="e">
        <f t="shared" si="128"/>
        <v>#NUM!</v>
      </c>
      <c r="EO143" s="59">
        <f ca="1">AVERAGE(OFFSET($EN$3,0,0,'Données projet'!$E$15+1,1))-AVERAGE(OFFSET($H$3,0,0,'Données projet'!$E$15+1,1))</f>
        <v>207.93042467236967</v>
      </c>
      <c r="EP143" s="59">
        <f t="shared" si="154"/>
        <v>250.70954318710835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0.31147256680950181</v>
      </c>
      <c r="EW143" s="21">
        <f>EXP(-LN(2)/25)*EW142+(1-EXP(-LN(2)/25))/(LN(2)/25)*Calculateur!ER143*Calculateur!ET143*VLOOKUP('Données projet'!$B$15,Paramètres!$A$1:$I$89,3,0)*0.475*44/12</f>
        <v>0.81947412799756802</v>
      </c>
      <c r="EX143" s="21">
        <f>EXP(-LN(2)/2)*EX142+(1-EXP(-LN(2)/2))/(LN(2)/2)*ER143*EU143*VLOOKUP('Données projet'!$B$15,Paramètres!$A$1:$I$89,3,0)*0.475*44/12</f>
        <v>5.625557061951221E-16</v>
      </c>
      <c r="EY143" s="22">
        <f t="shared" si="129"/>
        <v>1.1309466948070706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-2.2737367544323206E-13</v>
      </c>
      <c r="O144" s="13">
        <f>N144*VLOOKUP('Données projet'!$B$9,Paramètres!$A$1:$I$89,3,0)*VLOOKUP('Données projet'!$B$9,Paramètres!$A$1:$I$89,5,0)</f>
        <v>-1.2710188457276673E-13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255.5374979188561</v>
      </c>
      <c r="T144" s="59">
        <f t="shared" si="142"/>
        <v>343.10418468620901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0.34298023312121745</v>
      </c>
      <c r="AA144" s="21">
        <f>EXP(-LN(2)/25)*AA143+(1-EXP(-LN(2)/25))/(LN(2)/25)*Calculateur!V144*Calculateur!X144*VLOOKUP('Données projet'!$B$9,Paramètres!$A$1:$I$89,3,0)*0.475*44/12</f>
        <v>0.73530371049198173</v>
      </c>
      <c r="AB144" s="21">
        <f>EXP(-LN(2)/2)*AB143+(1-EXP(-LN(2)/2))/(LN(2)/2)*V144*Y144*VLOOKUP('Données projet'!$B$9,Paramètres!$A$1:$I$89,3,0)*0.475*44/12</f>
        <v>3.3220253314077988E-17</v>
      </c>
      <c r="AC144" s="22">
        <f t="shared" si="111"/>
        <v>1.0782839436131992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1.5961632016114892E-13</v>
      </c>
      <c r="AK144" s="13">
        <f t="shared" si="143"/>
        <v>2.2708641912150958E-12</v>
      </c>
      <c r="AL144" s="20">
        <f t="shared" si="112"/>
        <v>4.2330868906469593E-12</v>
      </c>
      <c r="AM144" s="59">
        <f t="shared" si="113"/>
        <v>293.33333333333752</v>
      </c>
      <c r="AN144" s="59">
        <f ca="1">AVERAGE(OFFSET($AM$3,0,0,'Données projet'!$E$10+1,1))-AVERAGE(OFFSET($H$3,0,0,'Données projet'!$E$10+1,1))</f>
        <v>158.58786357608489</v>
      </c>
      <c r="AO144" s="59">
        <f t="shared" si="144"/>
        <v>163.20074068819849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553.99999999999955</v>
      </c>
      <c r="BE144" s="13">
        <f>BD144*VLOOKUP('Données projet'!$B$11,Paramètres!$A$1:$I$89,3,0)*VLOOKUP('Données projet'!$B$11,Paramètres!$A$1:$I$89,5,0)</f>
        <v>331.29199999999975</v>
      </c>
      <c r="BF144" s="13">
        <f t="shared" si="145"/>
        <v>77.698110787752</v>
      </c>
      <c r="BG144" s="20">
        <f t="shared" si="115"/>
        <v>712.32444295533423</v>
      </c>
      <c r="BH144" s="59">
        <f t="shared" si="116"/>
        <v>1005.6577762886675</v>
      </c>
      <c r="BI144" s="59">
        <f ca="1">AVERAGE(OFFSET($BH$3,0,0,'Données projet'!$E$11+1,1))-AVERAGE(OFFSET($H$3,0,0,'Données projet'!$E$11+1,1))</f>
        <v>316.58509520829671</v>
      </c>
      <c r="BJ144" s="59">
        <f t="shared" si="146"/>
        <v>240.71332110643596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0.28132302187943942</v>
      </c>
      <c r="BQ144" s="21">
        <f>EXP(-LN(2)/25)*BQ143+(1-EXP(-LN(2)/25))/(LN(2)/25)*Calculateur!BL144*Calculateur!BN144*VLOOKUP('Données projet'!$B$11,Paramètres!$A$1:$I$89,3,0)*0.475*44/12</f>
        <v>0.70340732425094643</v>
      </c>
      <c r="BR144" s="21">
        <f>EXP(-LN(2)/2)*BR143+(1-EXP(-LN(2)/2))/(LN(2)/2)*BL144*BO144*VLOOKUP('Données projet'!$B$11,Paramètres!$A$1:$I$89,3,0)*0.475*44/12</f>
        <v>4.3058496378630523E-16</v>
      </c>
      <c r="BS144" s="22">
        <f t="shared" si="117"/>
        <v>0.98473034613038624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-5.1159076974727213E-13</v>
      </c>
      <c r="BZ144" s="13">
        <f>BY144*VLOOKUP('Données projet'!$B$12,Paramètres!$A$1:$I$89,3,0)*VLOOKUP('Données projet'!$B$12,Paramètres!$A$1:$I$89,5,0)</f>
        <v>-4.0702161641092972E-13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260.20517190557814</v>
      </c>
      <c r="CE144" s="59">
        <f t="shared" si="148"/>
        <v>307.22009971147133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0.36217683180110716</v>
      </c>
      <c r="CL144" s="21">
        <f>EXP(-LN(2)/25)*CL143+(1-EXP(-LN(2)/25))/(LN(2)/25)*Calculateur!CG144*Calculateur!CI144*VLOOKUP('Données projet'!$B$12,Paramètres!$A$1:$I$89,3,0)*0.475*44/12</f>
        <v>0.94535683275658811</v>
      </c>
      <c r="CM144" s="21">
        <f>EXP(-LN(2)/2)*CM143+(1-EXP(-LN(2)/2))/(LN(2)/2)*CG144*CJ144*VLOOKUP('Données projet'!$B$12,Paramètres!$A$1:$I$89,3,0)*0.475*44/12</f>
        <v>4.7179382992868966E-16</v>
      </c>
      <c r="CN144" s="22">
        <f t="shared" si="120"/>
        <v>1.3075336645576958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4.5474735088646412E-13</v>
      </c>
      <c r="CU144" s="17">
        <f>CT144*VLOOKUP('Données projet'!$B$13,Paramètres!$A$1:$I$89,3,0)*VLOOKUP('Données projet'!$B$13,Paramètres!$A$1:$I$89,5,0)</f>
        <v>4.6111381379887462E-13</v>
      </c>
      <c r="CV144" s="13">
        <f t="shared" si="149"/>
        <v>5.7981965206434308E-12</v>
      </c>
      <c r="CW144" s="20">
        <f t="shared" si="121"/>
        <v>1.0901632165820347E-11</v>
      </c>
      <c r="CX144" s="59">
        <f t="shared" si="122"/>
        <v>293.33333333334423</v>
      </c>
      <c r="CY144" s="59">
        <f ca="1">AVERAGE(OFFSET($CX$3,0,0,'Données projet'!$E$13+1,1))-AVERAGE(OFFSET($H$3,0,0,'Données projet'!$E$13+1,1))</f>
        <v>263.15518481854753</v>
      </c>
      <c r="CZ144" s="59">
        <f t="shared" si="150"/>
        <v>210.80755370263819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0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275.99999999999972</v>
      </c>
      <c r="DP144" s="17">
        <f>DO144*VLOOKUP('Données projet'!$B$14,Paramètres!$A$1:$I$89,3,0)*VLOOKUP('Données projet'!$B$14,Paramètres!$A$1:$I$89,5,0)</f>
        <v>223.8911999999998</v>
      </c>
      <c r="DQ144" s="13">
        <f t="shared" si="151"/>
        <v>54.95975389514858</v>
      </c>
      <c r="DR144" s="20">
        <f t="shared" si="124"/>
        <v>485.66541136738346</v>
      </c>
      <c r="DS144" s="59">
        <f t="shared" si="125"/>
        <v>778.99874470071677</v>
      </c>
      <c r="DT144" s="59">
        <f ca="1">AVERAGE(OFFSET($DS$3,0,0,'Données projet'!$E$14+1,1))-AVERAGE(OFFSET($H$3,0,0,'Données projet'!$E$14+1,1))</f>
        <v>203.21935660591021</v>
      </c>
      <c r="DU144" s="59">
        <f t="shared" si="152"/>
        <v>180.54762778843178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0.11128118119332565</v>
      </c>
      <c r="EB144" s="21">
        <f>EXP(-LN(2)/25)*EB143+(1-EXP(-LN(2)/25))/(LN(2)/25)*Calculateur!DW144*Calculateur!DY144*VLOOKUP('Données projet'!$B$14,Paramètres!$A$1:$I$89,3,0)*0.475*44/12</f>
        <v>0.2673818019935012</v>
      </c>
      <c r="EC144" s="21">
        <f>EXP(-LN(2)/2)*EC143+(1-EXP(-LN(2)/2))/(LN(2)/2)*DW144*DZ144*VLOOKUP('Données projet'!$B$14,Paramètres!$A$1:$I$89,3,0)*0.475*44/12</f>
        <v>1.7786565776098417E-16</v>
      </c>
      <c r="ED144" s="22">
        <f t="shared" si="126"/>
        <v>0.37866298318682701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-5.1159076974727213E-13</v>
      </c>
      <c r="EK144" s="17">
        <f>EJ144*VLOOKUP('Données projet'!$B$15,Paramètres!$A$1:$I$89,3,0)*VLOOKUP('Données projet'!$B$15,Paramètres!$A$1:$I$89,5,0)</f>
        <v>-3.4317508834647017E-13</v>
      </c>
      <c r="EL144" s="13" t="e">
        <f t="shared" si="153"/>
        <v>#NUM!</v>
      </c>
      <c r="EM144" s="20" t="e">
        <f t="shared" si="127"/>
        <v>#NUM!</v>
      </c>
      <c r="EN144" s="59" t="e">
        <f t="shared" si="128"/>
        <v>#NUM!</v>
      </c>
      <c r="EO144" s="59">
        <f ca="1">AVERAGE(OFFSET($EN$3,0,0,'Données projet'!$E$15+1,1))-AVERAGE(OFFSET($H$3,0,0,'Données projet'!$E$15+1,1))</f>
        <v>207.93042467236967</v>
      </c>
      <c r="EP144" s="59">
        <f t="shared" si="154"/>
        <v>250.70954318710835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0.30536477975387433</v>
      </c>
      <c r="EW144" s="21">
        <f>EXP(-LN(2)/25)*EW143+(1-EXP(-LN(2)/25))/(LN(2)/25)*Calculateur!ER144*Calculateur!ET144*VLOOKUP('Données projet'!$B$15,Paramètres!$A$1:$I$89,3,0)*0.475*44/12</f>
        <v>0.79706556487320301</v>
      </c>
      <c r="EX144" s="21">
        <f>EXP(-LN(2)/2)*EX143+(1-EXP(-LN(2)/2))/(LN(2)/2)*ER144*EU144*VLOOKUP('Données projet'!$B$15,Paramètres!$A$1:$I$89,3,0)*0.475*44/12</f>
        <v>3.9778695464575793E-16</v>
      </c>
      <c r="EY144" s="22">
        <f t="shared" si="129"/>
        <v>1.1024303446270778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-2.2737367544323206E-13</v>
      </c>
      <c r="O145" s="13">
        <f>N145*VLOOKUP('Données projet'!$B$9,Paramètres!$A$1:$I$89,3,0)*VLOOKUP('Données projet'!$B$9,Paramètres!$A$1:$I$89,5,0)</f>
        <v>-1.2710188457276673E-13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255.5374979188561</v>
      </c>
      <c r="T145" s="59">
        <f t="shared" si="142"/>
        <v>343.10418468620901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0.33625459994699608</v>
      </c>
      <c r="AA145" s="21">
        <f>EXP(-LN(2)/25)*AA144+(1-EXP(-LN(2)/25))/(LN(2)/25)*Calculateur!V145*Calculateur!X145*VLOOKUP('Données projet'!$B$9,Paramètres!$A$1:$I$89,3,0)*0.475*44/12</f>
        <v>0.71519679186063689</v>
      </c>
      <c r="AB145" s="21">
        <f>EXP(-LN(2)/2)*AB144+(1-EXP(-LN(2)/2))/(LN(2)/2)*V145*Y145*VLOOKUP('Données projet'!$B$9,Paramètres!$A$1:$I$89,3,0)*0.475*44/12</f>
        <v>2.3490266391119425E-17</v>
      </c>
      <c r="AC145" s="22">
        <f t="shared" si="111"/>
        <v>1.0514513918076329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1.5961632016114892E-13</v>
      </c>
      <c r="AK145" s="13">
        <f t="shared" si="143"/>
        <v>2.2708641912150958E-12</v>
      </c>
      <c r="AL145" s="20">
        <f t="shared" si="112"/>
        <v>4.2330868906469593E-12</v>
      </c>
      <c r="AM145" s="59">
        <f t="shared" si="113"/>
        <v>293.33333333333752</v>
      </c>
      <c r="AN145" s="59">
        <f ca="1">AVERAGE(OFFSET($AM$3,0,0,'Données projet'!$E$10+1,1))-AVERAGE(OFFSET($H$3,0,0,'Données projet'!$E$10+1,1))</f>
        <v>158.58786357608489</v>
      </c>
      <c r="AO145" s="59">
        <f t="shared" si="144"/>
        <v>163.20074068819849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553.99999999999955</v>
      </c>
      <c r="BE145" s="13">
        <f>BD145*VLOOKUP('Données projet'!$B$11,Paramètres!$A$1:$I$89,3,0)*VLOOKUP('Données projet'!$B$11,Paramètres!$A$1:$I$89,5,0)</f>
        <v>331.29199999999975</v>
      </c>
      <c r="BF145" s="13">
        <f t="shared" si="145"/>
        <v>77.698110787752</v>
      </c>
      <c r="BG145" s="20">
        <f t="shared" si="115"/>
        <v>712.32444295533423</v>
      </c>
      <c r="BH145" s="59">
        <f t="shared" si="116"/>
        <v>1005.6577762886675</v>
      </c>
      <c r="BI145" s="59">
        <f ca="1">AVERAGE(OFFSET($BH$3,0,0,'Données projet'!$E$11+1,1))-AVERAGE(OFFSET($H$3,0,0,'Données projet'!$E$11+1,1))</f>
        <v>316.58509520829671</v>
      </c>
      <c r="BJ145" s="59">
        <f t="shared" si="146"/>
        <v>240.71332110643596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0.27580644901048385</v>
      </c>
      <c r="BQ145" s="21">
        <f>EXP(-LN(2)/25)*BQ144+(1-EXP(-LN(2)/25))/(LN(2)/25)*Calculateur!BL145*Calculateur!BN145*VLOOKUP('Données projet'!$B$11,Paramètres!$A$1:$I$89,3,0)*0.475*44/12</f>
        <v>0.68417261397872076</v>
      </c>
      <c r="BR145" s="21">
        <f>EXP(-LN(2)/2)*BR144+(1-EXP(-LN(2)/2))/(LN(2)/2)*BL145*BO145*VLOOKUP('Données projet'!$B$11,Paramètres!$A$1:$I$89,3,0)*0.475*44/12</f>
        <v>3.0446954777026042E-16</v>
      </c>
      <c r="BS145" s="22">
        <f t="shared" si="117"/>
        <v>0.95997906298920499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-5.1159076974727213E-13</v>
      </c>
      <c r="BZ145" s="13">
        <f>BY145*VLOOKUP('Données projet'!$B$12,Paramètres!$A$1:$I$89,3,0)*VLOOKUP('Données projet'!$B$12,Paramètres!$A$1:$I$89,5,0)</f>
        <v>-4.0702161641092972E-13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260.20517190557814</v>
      </c>
      <c r="CE145" s="59">
        <f t="shared" si="148"/>
        <v>307.22009971147133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0.35507476503554219</v>
      </c>
      <c r="CL145" s="21">
        <f>EXP(-LN(2)/25)*CL144+(1-EXP(-LN(2)/25))/(LN(2)/25)*Calculateur!CG145*Calculateur!CI145*VLOOKUP('Données projet'!$B$12,Paramètres!$A$1:$I$89,3,0)*0.475*44/12</f>
        <v>0.91950600045070396</v>
      </c>
      <c r="CM145" s="21">
        <f>EXP(-LN(2)/2)*CM144+(1-EXP(-LN(2)/2))/(LN(2)/2)*CG145*CJ145*VLOOKUP('Données projet'!$B$12,Paramètres!$A$1:$I$89,3,0)*0.475*44/12</f>
        <v>3.3360861646454918E-16</v>
      </c>
      <c r="CN145" s="22">
        <f t="shared" si="120"/>
        <v>1.2745807654862467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4.5474735088646412E-13</v>
      </c>
      <c r="CU145" s="17">
        <f>CT145*VLOOKUP('Données projet'!$B$13,Paramètres!$A$1:$I$89,3,0)*VLOOKUP('Données projet'!$B$13,Paramètres!$A$1:$I$89,5,0)</f>
        <v>4.6111381379887462E-13</v>
      </c>
      <c r="CV145" s="13">
        <f t="shared" si="149"/>
        <v>5.7981965206434308E-12</v>
      </c>
      <c r="CW145" s="20">
        <f t="shared" si="121"/>
        <v>1.0901632165820347E-11</v>
      </c>
      <c r="CX145" s="59">
        <f t="shared" si="122"/>
        <v>293.33333333334423</v>
      </c>
      <c r="CY145" s="59">
        <f ca="1">AVERAGE(OFFSET($CX$3,0,0,'Données projet'!$E$13+1,1))-AVERAGE(OFFSET($H$3,0,0,'Données projet'!$E$13+1,1))</f>
        <v>263.15518481854753</v>
      </c>
      <c r="CZ145" s="59">
        <f t="shared" si="150"/>
        <v>210.80755370263819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0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275.99999999999972</v>
      </c>
      <c r="DP145" s="17">
        <f>DO145*VLOOKUP('Données projet'!$B$14,Paramètres!$A$1:$I$89,3,0)*VLOOKUP('Données projet'!$B$14,Paramètres!$A$1:$I$89,5,0)</f>
        <v>223.8911999999998</v>
      </c>
      <c r="DQ145" s="13">
        <f t="shared" si="151"/>
        <v>54.95975389514858</v>
      </c>
      <c r="DR145" s="20">
        <f t="shared" si="124"/>
        <v>485.66541136738346</v>
      </c>
      <c r="DS145" s="59">
        <f t="shared" si="125"/>
        <v>778.99874470071677</v>
      </c>
      <c r="DT145" s="59">
        <f ca="1">AVERAGE(OFFSET($DS$3,0,0,'Données projet'!$E$14+1,1))-AVERAGE(OFFSET($H$3,0,0,'Données projet'!$E$14+1,1))</f>
        <v>203.21935660591021</v>
      </c>
      <c r="DU145" s="59">
        <f t="shared" si="152"/>
        <v>180.54762778843178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0.10909902510494299</v>
      </c>
      <c r="EB145" s="21">
        <f>EXP(-LN(2)/25)*EB144+(1-EXP(-LN(2)/25))/(LN(2)/25)*Calculateur!DW145*Calculateur!DY145*VLOOKUP('Données projet'!$B$14,Paramètres!$A$1:$I$89,3,0)*0.475*44/12</f>
        <v>0.26007023255699108</v>
      </c>
      <c r="EC145" s="21">
        <f>EXP(-LN(2)/2)*EC144+(1-EXP(-LN(2)/2))/(LN(2)/2)*DW145*DZ145*VLOOKUP('Données projet'!$B$14,Paramètres!$A$1:$I$89,3,0)*0.475*44/12</f>
        <v>1.2577001274299758E-16</v>
      </c>
      <c r="ED145" s="22">
        <f t="shared" si="126"/>
        <v>0.3691692576619342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-5.1159076974727213E-13</v>
      </c>
      <c r="EK145" s="17">
        <f>EJ145*VLOOKUP('Données projet'!$B$15,Paramètres!$A$1:$I$89,3,0)*VLOOKUP('Données projet'!$B$15,Paramètres!$A$1:$I$89,5,0)</f>
        <v>-3.4317508834647017E-13</v>
      </c>
      <c r="EL145" s="13" t="e">
        <f t="shared" si="153"/>
        <v>#NUM!</v>
      </c>
      <c r="EM145" s="20" t="e">
        <f t="shared" si="127"/>
        <v>#NUM!</v>
      </c>
      <c r="EN145" s="59" t="e">
        <f t="shared" si="128"/>
        <v>#NUM!</v>
      </c>
      <c r="EO145" s="59">
        <f ca="1">AVERAGE(OFFSET($EN$3,0,0,'Données projet'!$E$15+1,1))-AVERAGE(OFFSET($H$3,0,0,'Données projet'!$E$15+1,1))</f>
        <v>207.93042467236967</v>
      </c>
      <c r="EP145" s="59">
        <f t="shared" si="154"/>
        <v>250.70954318710835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0.29937676267702545</v>
      </c>
      <c r="EW145" s="21">
        <f>EXP(-LN(2)/25)*EW144+(1-EXP(-LN(2)/25))/(LN(2)/25)*Calculateur!ER145*Calculateur!ET145*VLOOKUP('Données projet'!$B$15,Paramètres!$A$1:$I$89,3,0)*0.475*44/12</f>
        <v>0.77526976508588896</v>
      </c>
      <c r="EX145" s="21">
        <f>EXP(-LN(2)/2)*EX144+(1-EXP(-LN(2)/2))/(LN(2)/2)*ER145*EU145*VLOOKUP('Données projet'!$B$15,Paramètres!$A$1:$I$89,3,0)*0.475*44/12</f>
        <v>2.8127785309756105E-16</v>
      </c>
      <c r="EY145" s="22">
        <f t="shared" si="129"/>
        <v>1.0746465277629147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-2.2737367544323206E-13</v>
      </c>
      <c r="O146" s="13">
        <f>N146*VLOOKUP('Données projet'!$B$9,Paramètres!$A$1:$I$89,3,0)*VLOOKUP('Données projet'!$B$9,Paramètres!$A$1:$I$89,5,0)</f>
        <v>-1.2710188457276673E-13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255.5374979188561</v>
      </c>
      <c r="T146" s="59">
        <f t="shared" si="142"/>
        <v>343.10418468620901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0.32966085233709003</v>
      </c>
      <c r="AA146" s="21">
        <f>EXP(-LN(2)/25)*AA145+(1-EXP(-LN(2)/25))/(LN(2)/25)*Calculateur!V146*Calculateur!X146*VLOOKUP('Données projet'!$B$9,Paramètres!$A$1:$I$89,3,0)*0.475*44/12</f>
        <v>0.69563969797664305</v>
      </c>
      <c r="AB146" s="21">
        <f>EXP(-LN(2)/2)*AB145+(1-EXP(-LN(2)/2))/(LN(2)/2)*V146*Y146*VLOOKUP('Données projet'!$B$9,Paramètres!$A$1:$I$89,3,0)*0.475*44/12</f>
        <v>1.6610126657038994E-17</v>
      </c>
      <c r="AC146" s="22">
        <f t="shared" si="111"/>
        <v>1.0253005503137331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1.5961632016114892E-13</v>
      </c>
      <c r="AK146" s="13">
        <f t="shared" si="143"/>
        <v>2.2708641912150958E-12</v>
      </c>
      <c r="AL146" s="20">
        <f t="shared" si="112"/>
        <v>4.2330868906469593E-12</v>
      </c>
      <c r="AM146" s="59">
        <f t="shared" si="113"/>
        <v>293.33333333333752</v>
      </c>
      <c r="AN146" s="59">
        <f ca="1">AVERAGE(OFFSET($AM$3,0,0,'Données projet'!$E$10+1,1))-AVERAGE(OFFSET($H$3,0,0,'Données projet'!$E$10+1,1))</f>
        <v>158.58786357608489</v>
      </c>
      <c r="AO146" s="59">
        <f t="shared" si="144"/>
        <v>163.20074068819849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553.99999999999955</v>
      </c>
      <c r="BE146" s="13">
        <f>BD146*VLOOKUP('Données projet'!$B$11,Paramètres!$A$1:$I$89,3,0)*VLOOKUP('Données projet'!$B$11,Paramètres!$A$1:$I$89,5,0)</f>
        <v>331.29199999999975</v>
      </c>
      <c r="BF146" s="13">
        <f t="shared" si="145"/>
        <v>77.698110787752</v>
      </c>
      <c r="BG146" s="20">
        <f t="shared" si="115"/>
        <v>712.32444295533423</v>
      </c>
      <c r="BH146" s="59">
        <f t="shared" si="116"/>
        <v>1005.6577762886675</v>
      </c>
      <c r="BI146" s="59">
        <f ca="1">AVERAGE(OFFSET($BH$3,0,0,'Données projet'!$E$11+1,1))-AVERAGE(OFFSET($H$3,0,0,'Données projet'!$E$11+1,1))</f>
        <v>316.58509520829671</v>
      </c>
      <c r="BJ146" s="59">
        <f t="shared" si="146"/>
        <v>240.71332110643596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0.27039805277071127</v>
      </c>
      <c r="BQ146" s="21">
        <f>EXP(-LN(2)/25)*BQ145+(1-EXP(-LN(2)/25))/(LN(2)/25)*Calculateur!BL146*Calculateur!BN146*VLOOKUP('Données projet'!$B$11,Paramètres!$A$1:$I$89,3,0)*0.475*44/12</f>
        <v>0.66546387787039851</v>
      </c>
      <c r="BR146" s="21">
        <f>EXP(-LN(2)/2)*BR145+(1-EXP(-LN(2)/2))/(LN(2)/2)*BL146*BO146*VLOOKUP('Données projet'!$B$11,Paramètres!$A$1:$I$89,3,0)*0.475*44/12</f>
        <v>2.1529248189315262E-16</v>
      </c>
      <c r="BS146" s="22">
        <f t="shared" si="117"/>
        <v>0.93586193064111001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-5.1159076974727213E-13</v>
      </c>
      <c r="BZ146" s="13">
        <f>BY146*VLOOKUP('Données projet'!$B$12,Paramètres!$A$1:$I$89,3,0)*VLOOKUP('Données projet'!$B$12,Paramètres!$A$1:$I$89,5,0)</f>
        <v>-4.0702161641092972E-13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260.20517190557814</v>
      </c>
      <c r="CE146" s="59">
        <f t="shared" si="148"/>
        <v>307.22009971147133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0.34811196546741696</v>
      </c>
      <c r="CL146" s="21">
        <f>EXP(-LN(2)/25)*CL145+(1-EXP(-LN(2)/25))/(LN(2)/25)*Calculateur!CG146*Calculateur!CI146*VLOOKUP('Données projet'!$B$12,Paramètres!$A$1:$I$89,3,0)*0.475*44/12</f>
        <v>0.89436206051366041</v>
      </c>
      <c r="CM146" s="21">
        <f>EXP(-LN(2)/2)*CM145+(1-EXP(-LN(2)/2))/(LN(2)/2)*CG146*CJ146*VLOOKUP('Données projet'!$B$12,Paramètres!$A$1:$I$89,3,0)*0.475*44/12</f>
        <v>2.3589691496434483E-16</v>
      </c>
      <c r="CN146" s="22">
        <f t="shared" si="120"/>
        <v>1.2424740259810776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4.5474735088646412E-13</v>
      </c>
      <c r="CU146" s="17">
        <f>CT146*VLOOKUP('Données projet'!$B$13,Paramètres!$A$1:$I$89,3,0)*VLOOKUP('Données projet'!$B$13,Paramètres!$A$1:$I$89,5,0)</f>
        <v>4.6111381379887462E-13</v>
      </c>
      <c r="CV146" s="13">
        <f t="shared" si="149"/>
        <v>5.7981965206434308E-12</v>
      </c>
      <c r="CW146" s="20">
        <f t="shared" si="121"/>
        <v>1.0901632165820347E-11</v>
      </c>
      <c r="CX146" s="59">
        <f t="shared" si="122"/>
        <v>293.33333333334423</v>
      </c>
      <c r="CY146" s="59">
        <f ca="1">AVERAGE(OFFSET($CX$3,0,0,'Données projet'!$E$13+1,1))-AVERAGE(OFFSET($H$3,0,0,'Données projet'!$E$13+1,1))</f>
        <v>263.15518481854753</v>
      </c>
      <c r="CZ146" s="59">
        <f t="shared" si="150"/>
        <v>210.80755370263819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0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275.99999999999972</v>
      </c>
      <c r="DP146" s="17">
        <f>DO146*VLOOKUP('Données projet'!$B$14,Paramètres!$A$1:$I$89,3,0)*VLOOKUP('Données projet'!$B$14,Paramètres!$A$1:$I$89,5,0)</f>
        <v>223.8911999999998</v>
      </c>
      <c r="DQ146" s="13">
        <f t="shared" si="151"/>
        <v>54.95975389514858</v>
      </c>
      <c r="DR146" s="20">
        <f t="shared" si="124"/>
        <v>485.66541136738346</v>
      </c>
      <c r="DS146" s="59">
        <f t="shared" si="125"/>
        <v>778.99874470071677</v>
      </c>
      <c r="DT146" s="59">
        <f ca="1">AVERAGE(OFFSET($DS$3,0,0,'Données projet'!$E$14+1,1))-AVERAGE(OFFSET($H$3,0,0,'Données projet'!$E$14+1,1))</f>
        <v>203.21935660591021</v>
      </c>
      <c r="DU146" s="59">
        <f t="shared" si="152"/>
        <v>180.54762778843178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0.10695965976646971</v>
      </c>
      <c r="EB146" s="21">
        <f>EXP(-LN(2)/25)*EB145+(1-EXP(-LN(2)/25))/(LN(2)/25)*Calculateur!DW146*Calculateur!DY146*VLOOKUP('Données projet'!$B$14,Paramètres!$A$1:$I$89,3,0)*0.475*44/12</f>
        <v>0.25295859837122103</v>
      </c>
      <c r="EC146" s="21">
        <f>EXP(-LN(2)/2)*EC145+(1-EXP(-LN(2)/2))/(LN(2)/2)*DW146*DZ146*VLOOKUP('Données projet'!$B$14,Paramètres!$A$1:$I$89,3,0)*0.475*44/12</f>
        <v>8.8932828880492083E-17</v>
      </c>
      <c r="ED146" s="22">
        <f t="shared" si="126"/>
        <v>0.35991825813769085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-5.1159076974727213E-13</v>
      </c>
      <c r="EK146" s="17">
        <f>EJ146*VLOOKUP('Données projet'!$B$15,Paramètres!$A$1:$I$89,3,0)*VLOOKUP('Données projet'!$B$15,Paramètres!$A$1:$I$89,5,0)</f>
        <v>-3.4317508834647017E-13</v>
      </c>
      <c r="EL146" s="13" t="e">
        <f t="shared" si="153"/>
        <v>#NUM!</v>
      </c>
      <c r="EM146" s="20" t="e">
        <f t="shared" si="127"/>
        <v>#NUM!</v>
      </c>
      <c r="EN146" s="59" t="e">
        <f t="shared" si="128"/>
        <v>#NUM!</v>
      </c>
      <c r="EO146" s="59">
        <f ca="1">AVERAGE(OFFSET($EN$3,0,0,'Données projet'!$E$15+1,1))-AVERAGE(OFFSET($H$3,0,0,'Données projet'!$E$15+1,1))</f>
        <v>207.93042467236967</v>
      </c>
      <c r="EP146" s="59">
        <f t="shared" si="154"/>
        <v>250.70954318710835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0.2935061669627238</v>
      </c>
      <c r="EW146" s="21">
        <f>EXP(-LN(2)/25)*EW145+(1-EXP(-LN(2)/25))/(LN(2)/25)*Calculateur!ER146*Calculateur!ET146*VLOOKUP('Données projet'!$B$15,Paramètres!$A$1:$I$89,3,0)*0.475*44/12</f>
        <v>0.75406997258995023</v>
      </c>
      <c r="EX146" s="21">
        <f>EXP(-LN(2)/2)*EX145+(1-EXP(-LN(2)/2))/(LN(2)/2)*ER146*EU146*VLOOKUP('Données projet'!$B$15,Paramètres!$A$1:$I$89,3,0)*0.475*44/12</f>
        <v>1.9889347732287896E-16</v>
      </c>
      <c r="EY146" s="22">
        <f t="shared" si="129"/>
        <v>1.0475761395526744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-2.2737367544323206E-13</v>
      </c>
      <c r="O147" s="13">
        <f>N147*VLOOKUP('Données projet'!$B$9,Paramètres!$A$1:$I$89,3,0)*VLOOKUP('Données projet'!$B$9,Paramètres!$A$1:$I$89,5,0)</f>
        <v>-1.2710188457276673E-13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255.5374979188561</v>
      </c>
      <c r="T147" s="59">
        <f t="shared" si="142"/>
        <v>343.10418468620901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0.32319640409602529</v>
      </c>
      <c r="AA147" s="21">
        <f>EXP(-LN(2)/25)*AA146+(1-EXP(-LN(2)/25))/(LN(2)/25)*Calculateur!V147*Calculateur!X147*VLOOKUP('Données projet'!$B$9,Paramètres!$A$1:$I$89,3,0)*0.475*44/12</f>
        <v>0.67661739385336994</v>
      </c>
      <c r="AB147" s="21">
        <f>EXP(-LN(2)/2)*AB146+(1-EXP(-LN(2)/2))/(LN(2)/2)*V147*Y147*VLOOKUP('Données projet'!$B$9,Paramètres!$A$1:$I$89,3,0)*0.475*44/12</f>
        <v>1.1745133195559712E-17</v>
      </c>
      <c r="AC147" s="22">
        <f t="shared" si="111"/>
        <v>0.99981379794939529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1.5961632016114892E-13</v>
      </c>
      <c r="AK147" s="13">
        <f t="shared" si="143"/>
        <v>2.2708641912150958E-12</v>
      </c>
      <c r="AL147" s="20">
        <f t="shared" si="112"/>
        <v>4.2330868906469593E-12</v>
      </c>
      <c r="AM147" s="59">
        <f t="shared" si="113"/>
        <v>293.33333333333752</v>
      </c>
      <c r="AN147" s="59">
        <f ca="1">AVERAGE(OFFSET($AM$3,0,0,'Données projet'!$E$10+1,1))-AVERAGE(OFFSET($H$3,0,0,'Données projet'!$E$10+1,1))</f>
        <v>158.58786357608489</v>
      </c>
      <c r="AO147" s="59">
        <f t="shared" si="144"/>
        <v>163.20074068819849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553.99999999999955</v>
      </c>
      <c r="BE147" s="13">
        <f>BD147*VLOOKUP('Données projet'!$B$11,Paramètres!$A$1:$I$89,3,0)*VLOOKUP('Données projet'!$B$11,Paramètres!$A$1:$I$89,5,0)</f>
        <v>331.29199999999975</v>
      </c>
      <c r="BF147" s="13">
        <f t="shared" si="145"/>
        <v>77.698110787752</v>
      </c>
      <c r="BG147" s="20">
        <f t="shared" si="115"/>
        <v>712.32444295533423</v>
      </c>
      <c r="BH147" s="59">
        <f t="shared" si="116"/>
        <v>1005.6577762886675</v>
      </c>
      <c r="BI147" s="59">
        <f ca="1">AVERAGE(OFFSET($BH$3,0,0,'Données projet'!$E$11+1,1))-AVERAGE(OFFSET($H$3,0,0,'Données projet'!$E$11+1,1))</f>
        <v>316.58509520829671</v>
      </c>
      <c r="BJ147" s="59">
        <f t="shared" si="146"/>
        <v>240.71332110643596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0.26509571188240466</v>
      </c>
      <c r="BQ147" s="21">
        <f>EXP(-LN(2)/25)*BQ146+(1-EXP(-LN(2)/25))/(LN(2)/25)*Calculateur!BL147*Calculateur!BN147*VLOOKUP('Données projet'!$B$11,Paramètres!$A$1:$I$89,3,0)*0.475*44/12</f>
        <v>0.64726673313480809</v>
      </c>
      <c r="BR147" s="21">
        <f>EXP(-LN(2)/2)*BR146+(1-EXP(-LN(2)/2))/(LN(2)/2)*BL147*BO147*VLOOKUP('Données projet'!$B$11,Paramètres!$A$1:$I$89,3,0)*0.475*44/12</f>
        <v>1.5223477388513021E-16</v>
      </c>
      <c r="BS147" s="22">
        <f t="shared" si="117"/>
        <v>0.91236244501721286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-5.1159076974727213E-13</v>
      </c>
      <c r="BZ147" s="13">
        <f>BY147*VLOOKUP('Données projet'!$B$12,Paramètres!$A$1:$I$89,3,0)*VLOOKUP('Données projet'!$B$12,Paramètres!$A$1:$I$89,5,0)</f>
        <v>-4.0702161641092972E-13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260.20517190557814</v>
      </c>
      <c r="CE147" s="59">
        <f t="shared" si="148"/>
        <v>307.22009971147133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0.34128570215193427</v>
      </c>
      <c r="CL147" s="21">
        <f>EXP(-LN(2)/25)*CL146+(1-EXP(-LN(2)/25))/(LN(2)/25)*Calculateur!CG147*Calculateur!CI147*VLOOKUP('Données projet'!$B$12,Paramètres!$A$1:$I$89,3,0)*0.475*44/12</f>
        <v>0.86990568293645765</v>
      </c>
      <c r="CM147" s="21">
        <f>EXP(-LN(2)/2)*CM146+(1-EXP(-LN(2)/2))/(LN(2)/2)*CG147*CJ147*VLOOKUP('Données projet'!$B$12,Paramètres!$A$1:$I$89,3,0)*0.475*44/12</f>
        <v>1.6680430823227459E-16</v>
      </c>
      <c r="CN147" s="22">
        <f t="shared" si="120"/>
        <v>1.2111913850883922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4.5474735088646412E-13</v>
      </c>
      <c r="CU147" s="17">
        <f>CT147*VLOOKUP('Données projet'!$B$13,Paramètres!$A$1:$I$89,3,0)*VLOOKUP('Données projet'!$B$13,Paramètres!$A$1:$I$89,5,0)</f>
        <v>4.6111381379887462E-13</v>
      </c>
      <c r="CV147" s="13">
        <f t="shared" si="149"/>
        <v>5.7981965206434308E-12</v>
      </c>
      <c r="CW147" s="20">
        <f t="shared" si="121"/>
        <v>1.0901632165820347E-11</v>
      </c>
      <c r="CX147" s="59">
        <f t="shared" si="122"/>
        <v>293.33333333334423</v>
      </c>
      <c r="CY147" s="59">
        <f ca="1">AVERAGE(OFFSET($CX$3,0,0,'Données projet'!$E$13+1,1))-AVERAGE(OFFSET($H$3,0,0,'Données projet'!$E$13+1,1))</f>
        <v>263.15518481854753</v>
      </c>
      <c r="CZ147" s="59">
        <f t="shared" si="150"/>
        <v>210.80755370263819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0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275.99999999999972</v>
      </c>
      <c r="DP147" s="17">
        <f>DO147*VLOOKUP('Données projet'!$B$14,Paramètres!$A$1:$I$89,3,0)*VLOOKUP('Données projet'!$B$14,Paramètres!$A$1:$I$89,5,0)</f>
        <v>223.8911999999998</v>
      </c>
      <c r="DQ147" s="13">
        <f t="shared" si="151"/>
        <v>54.95975389514858</v>
      </c>
      <c r="DR147" s="20">
        <f t="shared" si="124"/>
        <v>485.66541136738346</v>
      </c>
      <c r="DS147" s="59">
        <f t="shared" si="125"/>
        <v>778.99874470071677</v>
      </c>
      <c r="DT147" s="59">
        <f ca="1">AVERAGE(OFFSET($DS$3,0,0,'Données projet'!$E$14+1,1))-AVERAGE(OFFSET($H$3,0,0,'Données projet'!$E$14+1,1))</f>
        <v>203.21935660591021</v>
      </c>
      <c r="DU147" s="59">
        <f t="shared" si="152"/>
        <v>180.54762778843178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0.10486224607739988</v>
      </c>
      <c r="EB147" s="21">
        <f>EXP(-LN(2)/25)*EB146+(1-EXP(-LN(2)/25))/(LN(2)/25)*Calculateur!DW147*Calculateur!DY147*VLOOKUP('Données projet'!$B$14,Paramètres!$A$1:$I$89,3,0)*0.475*44/12</f>
        <v>0.24604143219624544</v>
      </c>
      <c r="EC147" s="21">
        <f>EXP(-LN(2)/2)*EC146+(1-EXP(-LN(2)/2))/(LN(2)/2)*DW147*DZ147*VLOOKUP('Données projet'!$B$14,Paramètres!$A$1:$I$89,3,0)*0.475*44/12</f>
        <v>6.2885006371498788E-17</v>
      </c>
      <c r="ED147" s="22">
        <f t="shared" si="126"/>
        <v>0.35090367827364538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-5.1159076974727213E-13</v>
      </c>
      <c r="EK147" s="17">
        <f>EJ147*VLOOKUP('Données projet'!$B$15,Paramètres!$A$1:$I$89,3,0)*VLOOKUP('Données projet'!$B$15,Paramètres!$A$1:$I$89,5,0)</f>
        <v>-3.4317508834647017E-13</v>
      </c>
      <c r="EL147" s="13" t="e">
        <f t="shared" si="153"/>
        <v>#NUM!</v>
      </c>
      <c r="EM147" s="20" t="e">
        <f t="shared" si="127"/>
        <v>#NUM!</v>
      </c>
      <c r="EN147" s="59" t="e">
        <f t="shared" si="128"/>
        <v>#NUM!</v>
      </c>
      <c r="EO147" s="59">
        <f ca="1">AVERAGE(OFFSET($EN$3,0,0,'Données projet'!$E$15+1,1))-AVERAGE(OFFSET($H$3,0,0,'Données projet'!$E$15+1,1))</f>
        <v>207.93042467236967</v>
      </c>
      <c r="EP147" s="59">
        <f t="shared" si="154"/>
        <v>250.70954318710835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0.2877506900496698</v>
      </c>
      <c r="EW147" s="21">
        <f>EXP(-LN(2)/25)*EW146+(1-EXP(-LN(2)/25))/(LN(2)/25)*Calculateur!ER147*Calculateur!ET147*VLOOKUP('Données projet'!$B$15,Paramètres!$A$1:$I$89,3,0)*0.475*44/12</f>
        <v>0.73344988953466161</v>
      </c>
      <c r="EX147" s="21">
        <f>EXP(-LN(2)/2)*EX146+(1-EXP(-LN(2)/2))/(LN(2)/2)*ER147*EU147*VLOOKUP('Données projet'!$B$15,Paramètres!$A$1:$I$89,3,0)*0.475*44/12</f>
        <v>1.4063892654878053E-16</v>
      </c>
      <c r="EY147" s="22">
        <f t="shared" si="129"/>
        <v>1.0212005795843317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-2.2737367544323206E-13</v>
      </c>
      <c r="O148" s="13">
        <f>N148*VLOOKUP('Données projet'!$B$9,Paramètres!$A$1:$I$89,3,0)*VLOOKUP('Données projet'!$B$9,Paramètres!$A$1:$I$89,5,0)</f>
        <v>-1.2710188457276673E-13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255.5374979188561</v>
      </c>
      <c r="T148" s="59">
        <f t="shared" si="142"/>
        <v>343.10418468620901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0.31685871974204372</v>
      </c>
      <c r="AA148" s="21">
        <f>EXP(-LN(2)/25)*AA147+(1-EXP(-LN(2)/25))/(LN(2)/25)*Calculateur!V148*Calculateur!X148*VLOOKUP('Données projet'!$B$9,Paramètres!$A$1:$I$89,3,0)*0.475*44/12</f>
        <v>0.65811525563668727</v>
      </c>
      <c r="AB148" s="21">
        <f>EXP(-LN(2)/2)*AB147+(1-EXP(-LN(2)/2))/(LN(2)/2)*V148*Y148*VLOOKUP('Données projet'!$B$9,Paramètres!$A$1:$I$89,3,0)*0.475*44/12</f>
        <v>8.3050633285194971E-18</v>
      </c>
      <c r="AC148" s="22">
        <f t="shared" si="111"/>
        <v>0.97497397537873098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1.5961632016114892E-13</v>
      </c>
      <c r="AK148" s="13">
        <f t="shared" si="143"/>
        <v>2.2708641912150958E-12</v>
      </c>
      <c r="AL148" s="20">
        <f t="shared" si="112"/>
        <v>4.2330868906469593E-12</v>
      </c>
      <c r="AM148" s="59">
        <f t="shared" si="113"/>
        <v>293.33333333333752</v>
      </c>
      <c r="AN148" s="59">
        <f ca="1">AVERAGE(OFFSET($AM$3,0,0,'Données projet'!$E$10+1,1))-AVERAGE(OFFSET($H$3,0,0,'Données projet'!$E$10+1,1))</f>
        <v>158.58786357608489</v>
      </c>
      <c r="AO148" s="59">
        <f t="shared" si="144"/>
        <v>163.20074068819849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553.99999999999955</v>
      </c>
      <c r="BE148" s="13">
        <f>BD148*VLOOKUP('Données projet'!$B$11,Paramètres!$A$1:$I$89,3,0)*VLOOKUP('Données projet'!$B$11,Paramètres!$A$1:$I$89,5,0)</f>
        <v>331.29199999999975</v>
      </c>
      <c r="BF148" s="13">
        <f t="shared" si="145"/>
        <v>77.698110787752</v>
      </c>
      <c r="BG148" s="20">
        <f t="shared" si="115"/>
        <v>712.32444295533423</v>
      </c>
      <c r="BH148" s="59">
        <f t="shared" si="116"/>
        <v>1005.6577762886675</v>
      </c>
      <c r="BI148" s="59">
        <f ca="1">AVERAGE(OFFSET($BH$3,0,0,'Données projet'!$E$11+1,1))-AVERAGE(OFFSET($H$3,0,0,'Données projet'!$E$11+1,1))</f>
        <v>316.58509520829671</v>
      </c>
      <c r="BJ148" s="59">
        <f t="shared" si="146"/>
        <v>240.71332110643596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0.25989734666480918</v>
      </c>
      <c r="BQ148" s="21">
        <f>EXP(-LN(2)/25)*BQ147+(1-EXP(-LN(2)/25))/(LN(2)/25)*Calculateur!BL148*Calculateur!BN148*VLOOKUP('Données projet'!$B$11,Paramètres!$A$1:$I$89,3,0)*0.475*44/12</f>
        <v>0.62956719027895858</v>
      </c>
      <c r="BR148" s="21">
        <f>EXP(-LN(2)/2)*BR147+(1-EXP(-LN(2)/2))/(LN(2)/2)*BL148*BO148*VLOOKUP('Données projet'!$B$11,Paramètres!$A$1:$I$89,3,0)*0.475*44/12</f>
        <v>1.0764624094657631E-16</v>
      </c>
      <c r="BS148" s="22">
        <f t="shared" si="117"/>
        <v>0.88946453694376781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-5.1159076974727213E-13</v>
      </c>
      <c r="BZ148" s="13">
        <f>BY148*VLOOKUP('Données projet'!$B$12,Paramètres!$A$1:$I$89,3,0)*VLOOKUP('Données projet'!$B$12,Paramètres!$A$1:$I$89,5,0)</f>
        <v>-4.0702161641092972E-13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260.20517190557814</v>
      </c>
      <c r="CE148" s="59">
        <f t="shared" si="148"/>
        <v>307.22009971147133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0.33459329769645868</v>
      </c>
      <c r="CL148" s="21">
        <f>EXP(-LN(2)/25)*CL147+(1-EXP(-LN(2)/25))/(LN(2)/25)*Calculateur!CG148*Calculateur!CI148*VLOOKUP('Données projet'!$B$12,Paramètres!$A$1:$I$89,3,0)*0.475*44/12</f>
        <v>0.84611806629020858</v>
      </c>
      <c r="CM148" s="21">
        <f>EXP(-LN(2)/2)*CM147+(1-EXP(-LN(2)/2))/(LN(2)/2)*CG148*CJ148*VLOOKUP('Données projet'!$B$12,Paramètres!$A$1:$I$89,3,0)*0.475*44/12</f>
        <v>1.1794845748217241E-16</v>
      </c>
      <c r="CN148" s="22">
        <f t="shared" si="120"/>
        <v>1.1807113639866675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4.5474735088646412E-13</v>
      </c>
      <c r="CU148" s="17">
        <f>CT148*VLOOKUP('Données projet'!$B$13,Paramètres!$A$1:$I$89,3,0)*VLOOKUP('Données projet'!$B$13,Paramètres!$A$1:$I$89,5,0)</f>
        <v>4.6111381379887462E-13</v>
      </c>
      <c r="CV148" s="13">
        <f t="shared" si="149"/>
        <v>5.7981965206434308E-12</v>
      </c>
      <c r="CW148" s="20">
        <f t="shared" si="121"/>
        <v>1.0901632165820347E-11</v>
      </c>
      <c r="CX148" s="59">
        <f t="shared" si="122"/>
        <v>293.33333333334423</v>
      </c>
      <c r="CY148" s="59">
        <f ca="1">AVERAGE(OFFSET($CX$3,0,0,'Données projet'!$E$13+1,1))-AVERAGE(OFFSET($H$3,0,0,'Données projet'!$E$13+1,1))</f>
        <v>263.15518481854753</v>
      </c>
      <c r="CZ148" s="59">
        <f t="shared" si="150"/>
        <v>210.80755370263819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0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275.99999999999972</v>
      </c>
      <c r="DP148" s="17">
        <f>DO148*VLOOKUP('Données projet'!$B$14,Paramètres!$A$1:$I$89,3,0)*VLOOKUP('Données projet'!$B$14,Paramètres!$A$1:$I$89,5,0)</f>
        <v>223.8911999999998</v>
      </c>
      <c r="DQ148" s="13">
        <f t="shared" si="151"/>
        <v>54.95975389514858</v>
      </c>
      <c r="DR148" s="20">
        <f t="shared" si="124"/>
        <v>485.66541136738346</v>
      </c>
      <c r="DS148" s="59">
        <f t="shared" si="125"/>
        <v>778.99874470071677</v>
      </c>
      <c r="DT148" s="59">
        <f ca="1">AVERAGE(OFFSET($DS$3,0,0,'Données projet'!$E$14+1,1))-AVERAGE(OFFSET($H$3,0,0,'Données projet'!$E$14+1,1))</f>
        <v>203.21935660591021</v>
      </c>
      <c r="DU148" s="59">
        <f t="shared" si="152"/>
        <v>180.54762778843178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0.10280596139147669</v>
      </c>
      <c r="EB148" s="21">
        <f>EXP(-LN(2)/25)*EB147+(1-EXP(-LN(2)/25))/(LN(2)/25)*Calculateur!DW148*Calculateur!DY148*VLOOKUP('Données projet'!$B$14,Paramètres!$A$1:$I$89,3,0)*0.475*44/12</f>
        <v>0.23931341629408254</v>
      </c>
      <c r="EC148" s="21">
        <f>EXP(-LN(2)/2)*EC147+(1-EXP(-LN(2)/2))/(LN(2)/2)*DW148*DZ148*VLOOKUP('Données projet'!$B$14,Paramètres!$A$1:$I$89,3,0)*0.475*44/12</f>
        <v>4.4466414440246041E-17</v>
      </c>
      <c r="ED148" s="22">
        <f t="shared" si="126"/>
        <v>0.34211937768555928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-5.1159076974727213E-13</v>
      </c>
      <c r="EK148" s="17">
        <f>EJ148*VLOOKUP('Données projet'!$B$15,Paramètres!$A$1:$I$89,3,0)*VLOOKUP('Données projet'!$B$15,Paramètres!$A$1:$I$89,5,0)</f>
        <v>-3.4317508834647017E-13</v>
      </c>
      <c r="EL148" s="13" t="e">
        <f t="shared" si="153"/>
        <v>#NUM!</v>
      </c>
      <c r="EM148" s="20" t="e">
        <f t="shared" si="127"/>
        <v>#NUM!</v>
      </c>
      <c r="EN148" s="59" t="e">
        <f t="shared" si="128"/>
        <v>#NUM!</v>
      </c>
      <c r="EO148" s="59">
        <f ca="1">AVERAGE(OFFSET($EN$3,0,0,'Données projet'!$E$15+1,1))-AVERAGE(OFFSET($H$3,0,0,'Données projet'!$E$15+1,1))</f>
        <v>207.93042467236967</v>
      </c>
      <c r="EP148" s="59">
        <f t="shared" si="154"/>
        <v>250.70954318710835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0.28210807452838649</v>
      </c>
      <c r="EW148" s="21">
        <f>EXP(-LN(2)/25)*EW147+(1-EXP(-LN(2)/25))/(LN(2)/25)*Calculateur!ER148*Calculateur!ET148*VLOOKUP('Données projet'!$B$15,Paramètres!$A$1:$I$89,3,0)*0.475*44/12</f>
        <v>0.71339366373488289</v>
      </c>
      <c r="EX148" s="21">
        <f>EXP(-LN(2)/2)*EX147+(1-EXP(-LN(2)/2))/(LN(2)/2)*ER148*EU148*VLOOKUP('Données projet'!$B$15,Paramètres!$A$1:$I$89,3,0)*0.475*44/12</f>
        <v>9.9446738661439481E-17</v>
      </c>
      <c r="EY148" s="22">
        <f t="shared" si="129"/>
        <v>0.99550173826326949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-2.2737367544323206E-13</v>
      </c>
      <c r="O149" s="13">
        <f>N149*VLOOKUP('Données projet'!$B$9,Paramètres!$A$1:$I$89,3,0)*VLOOKUP('Données projet'!$B$9,Paramètres!$A$1:$I$89,5,0)</f>
        <v>-1.2710188457276673E-13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255.5374979188561</v>
      </c>
      <c r="T149" s="59">
        <f t="shared" si="142"/>
        <v>343.10418468620901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0.31064531351263797</v>
      </c>
      <c r="AA149" s="21">
        <f>EXP(-LN(2)/25)*AA148+(1-EXP(-LN(2)/25))/(LN(2)/25)*Calculateur!V149*Calculateur!X149*VLOOKUP('Données projet'!$B$9,Paramètres!$A$1:$I$89,3,0)*0.475*44/12</f>
        <v>0.64011905936252489</v>
      </c>
      <c r="AB149" s="21">
        <f>EXP(-LN(2)/2)*AB148+(1-EXP(-LN(2)/2))/(LN(2)/2)*V149*Y149*VLOOKUP('Données projet'!$B$9,Paramètres!$A$1:$I$89,3,0)*0.475*44/12</f>
        <v>5.8725665977798562E-18</v>
      </c>
      <c r="AC149" s="22">
        <f t="shared" si="111"/>
        <v>0.95076437287516291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1.5961632016114892E-13</v>
      </c>
      <c r="AK149" s="13">
        <f t="shared" si="143"/>
        <v>2.2708641912150958E-12</v>
      </c>
      <c r="AL149" s="20">
        <f t="shared" si="112"/>
        <v>4.2330868906469593E-12</v>
      </c>
      <c r="AM149" s="59">
        <f t="shared" si="113"/>
        <v>293.33333333333752</v>
      </c>
      <c r="AN149" s="59">
        <f ca="1">AVERAGE(OFFSET($AM$3,0,0,'Données projet'!$E$10+1,1))-AVERAGE(OFFSET($H$3,0,0,'Données projet'!$E$10+1,1))</f>
        <v>158.58786357608489</v>
      </c>
      <c r="AO149" s="59">
        <f t="shared" si="144"/>
        <v>163.20074068819849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553.99999999999955</v>
      </c>
      <c r="BE149" s="13">
        <f>BD149*VLOOKUP('Données projet'!$B$11,Paramètres!$A$1:$I$89,3,0)*VLOOKUP('Données projet'!$B$11,Paramètres!$A$1:$I$89,5,0)</f>
        <v>331.29199999999975</v>
      </c>
      <c r="BF149" s="13">
        <f t="shared" si="145"/>
        <v>77.698110787752</v>
      </c>
      <c r="BG149" s="20">
        <f t="shared" si="115"/>
        <v>712.32444295533423</v>
      </c>
      <c r="BH149" s="59">
        <f t="shared" si="116"/>
        <v>1005.6577762886675</v>
      </c>
      <c r="BI149" s="59">
        <f ca="1">AVERAGE(OFFSET($BH$3,0,0,'Données projet'!$E$11+1,1))-AVERAGE(OFFSET($H$3,0,0,'Données projet'!$E$11+1,1))</f>
        <v>316.58509520829671</v>
      </c>
      <c r="BJ149" s="59">
        <f t="shared" si="146"/>
        <v>240.71332110643596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0.25480091821844103</v>
      </c>
      <c r="BQ149" s="21">
        <f>EXP(-LN(2)/25)*BQ148+(1-EXP(-LN(2)/25))/(LN(2)/25)*Calculateur!BL149*Calculateur!BN149*VLOOKUP('Données projet'!$B$11,Paramètres!$A$1:$I$89,3,0)*0.475*44/12</f>
        <v>0.61235164235328077</v>
      </c>
      <c r="BR149" s="21">
        <f>EXP(-LN(2)/2)*BR148+(1-EXP(-LN(2)/2))/(LN(2)/2)*BL149*BO149*VLOOKUP('Données projet'!$B$11,Paramètres!$A$1:$I$89,3,0)*0.475*44/12</f>
        <v>7.6117386942565105E-17</v>
      </c>
      <c r="BS149" s="22">
        <f t="shared" si="117"/>
        <v>0.86715256057172196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-5.1159076974727213E-13</v>
      </c>
      <c r="BZ149" s="13">
        <f>BY149*VLOOKUP('Données projet'!$B$12,Paramètres!$A$1:$I$89,3,0)*VLOOKUP('Données projet'!$B$12,Paramètres!$A$1:$I$89,5,0)</f>
        <v>-4.0702161641092972E-13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260.20517190557814</v>
      </c>
      <c r="CE149" s="59">
        <f t="shared" si="148"/>
        <v>307.22009971147133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0.32803212721039132</v>
      </c>
      <c r="CL149" s="21">
        <f>EXP(-LN(2)/25)*CL148+(1-EXP(-LN(2)/25))/(LN(2)/25)*Calculateur!CG149*Calculateur!CI149*VLOOKUP('Données projet'!$B$12,Paramètres!$A$1:$I$89,3,0)*0.475*44/12</f>
        <v>0.82298092327208761</v>
      </c>
      <c r="CM149" s="21">
        <f>EXP(-LN(2)/2)*CM148+(1-EXP(-LN(2)/2))/(LN(2)/2)*CG149*CJ149*VLOOKUP('Données projet'!$B$12,Paramètres!$A$1:$I$89,3,0)*0.475*44/12</f>
        <v>8.3402154116137294E-17</v>
      </c>
      <c r="CN149" s="22">
        <f t="shared" si="120"/>
        <v>1.1510130504824789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4.5474735088646412E-13</v>
      </c>
      <c r="CU149" s="17">
        <f>CT149*VLOOKUP('Données projet'!$B$13,Paramètres!$A$1:$I$89,3,0)*VLOOKUP('Données projet'!$B$13,Paramètres!$A$1:$I$89,5,0)</f>
        <v>4.6111381379887462E-13</v>
      </c>
      <c r="CV149" s="13">
        <f t="shared" si="149"/>
        <v>5.7981965206434308E-12</v>
      </c>
      <c r="CW149" s="20">
        <f t="shared" si="121"/>
        <v>1.0901632165820347E-11</v>
      </c>
      <c r="CX149" s="59">
        <f t="shared" si="122"/>
        <v>293.33333333334423</v>
      </c>
      <c r="CY149" s="59">
        <f ca="1">AVERAGE(OFFSET($CX$3,0,0,'Données projet'!$E$13+1,1))-AVERAGE(OFFSET($H$3,0,0,'Données projet'!$E$13+1,1))</f>
        <v>263.15518481854753</v>
      </c>
      <c r="CZ149" s="59">
        <f t="shared" si="150"/>
        <v>210.80755370263819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0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275.99999999999972</v>
      </c>
      <c r="DP149" s="17">
        <f>DO149*VLOOKUP('Données projet'!$B$14,Paramètres!$A$1:$I$89,3,0)*VLOOKUP('Données projet'!$B$14,Paramètres!$A$1:$I$89,5,0)</f>
        <v>223.8911999999998</v>
      </c>
      <c r="DQ149" s="13">
        <f t="shared" si="151"/>
        <v>54.95975389514858</v>
      </c>
      <c r="DR149" s="20">
        <f t="shared" si="124"/>
        <v>485.66541136738346</v>
      </c>
      <c r="DS149" s="59">
        <f t="shared" si="125"/>
        <v>778.99874470071677</v>
      </c>
      <c r="DT149" s="59">
        <f ca="1">AVERAGE(OFFSET($DS$3,0,0,'Données projet'!$E$14+1,1))-AVERAGE(OFFSET($H$3,0,0,'Données projet'!$E$14+1,1))</f>
        <v>203.21935660591021</v>
      </c>
      <c r="DU149" s="59">
        <f t="shared" si="152"/>
        <v>180.54762778843178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0.10078999919403463</v>
      </c>
      <c r="EB149" s="21">
        <f>EXP(-LN(2)/25)*EB148+(1-EXP(-LN(2)/25))/(LN(2)/25)*Calculateur!DW149*Calculateur!DY149*VLOOKUP('Données projet'!$B$14,Paramètres!$A$1:$I$89,3,0)*0.475*44/12</f>
        <v>0.23276937834057523</v>
      </c>
      <c r="EC149" s="21">
        <f>EXP(-LN(2)/2)*EC148+(1-EXP(-LN(2)/2))/(LN(2)/2)*DW149*DZ149*VLOOKUP('Données projet'!$B$14,Paramètres!$A$1:$I$89,3,0)*0.475*44/12</f>
        <v>3.1442503185749394E-17</v>
      </c>
      <c r="ED149" s="22">
        <f t="shared" si="126"/>
        <v>0.3335593775346099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-5.1159076974727213E-13</v>
      </c>
      <c r="EK149" s="17">
        <f>EJ149*VLOOKUP('Données projet'!$B$15,Paramètres!$A$1:$I$89,3,0)*VLOOKUP('Données projet'!$B$15,Paramètres!$A$1:$I$89,5,0)</f>
        <v>-3.4317508834647017E-13</v>
      </c>
      <c r="EL149" s="13" t="e">
        <f t="shared" si="153"/>
        <v>#NUM!</v>
      </c>
      <c r="EM149" s="20" t="e">
        <f t="shared" si="127"/>
        <v>#NUM!</v>
      </c>
      <c r="EN149" s="59" t="e">
        <f t="shared" si="128"/>
        <v>#NUM!</v>
      </c>
      <c r="EO149" s="59">
        <f ca="1">AVERAGE(OFFSET($EN$3,0,0,'Données projet'!$E$15+1,1))-AVERAGE(OFFSET($H$3,0,0,'Données projet'!$E$15+1,1))</f>
        <v>207.93042467236967</v>
      </c>
      <c r="EP149" s="59">
        <f t="shared" si="154"/>
        <v>250.70954318710835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0.27657610725581988</v>
      </c>
      <c r="EW149" s="21">
        <f>EXP(-LN(2)/25)*EW148+(1-EXP(-LN(2)/25))/(LN(2)/25)*Calculateur!ER149*Calculateur!ET149*VLOOKUP('Données projet'!$B$15,Paramètres!$A$1:$I$89,3,0)*0.475*44/12</f>
        <v>0.69388587648431022</v>
      </c>
      <c r="EX149" s="21">
        <f>EXP(-LN(2)/2)*EX148+(1-EXP(-LN(2)/2))/(LN(2)/2)*ER149*EU149*VLOOKUP('Données projet'!$B$15,Paramètres!$A$1:$I$89,3,0)*0.475*44/12</f>
        <v>7.0319463274390263E-17</v>
      </c>
      <c r="EY149" s="22">
        <f t="shared" si="129"/>
        <v>0.97046198374013015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-2.2737367544323206E-13</v>
      </c>
      <c r="O150" s="13">
        <f>N150*VLOOKUP('Données projet'!$B$9,Paramètres!$A$1:$I$89,3,0)*VLOOKUP('Données projet'!$B$9,Paramètres!$A$1:$I$89,5,0)</f>
        <v>-1.2710188457276673E-13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255.5374979188561</v>
      </c>
      <c r="T150" s="59">
        <f t="shared" si="142"/>
        <v>343.10418468620901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0.30455374838958726</v>
      </c>
      <c r="AA150" s="21">
        <f>EXP(-LN(2)/25)*AA149+(1-EXP(-LN(2)/25))/(LN(2)/25)*Calculateur!V150*Calculateur!X150*VLOOKUP('Données projet'!$B$9,Paramètres!$A$1:$I$89,3,0)*0.475*44/12</f>
        <v>0.62261497002185828</v>
      </c>
      <c r="AB150" s="21">
        <f>EXP(-LN(2)/2)*AB149+(1-EXP(-LN(2)/2))/(LN(2)/2)*V150*Y150*VLOOKUP('Données projet'!$B$9,Paramètres!$A$1:$I$89,3,0)*0.475*44/12</f>
        <v>4.1525316642597486E-18</v>
      </c>
      <c r="AC150" s="22">
        <f t="shared" si="111"/>
        <v>0.92716871841144555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1.5961632016114892E-13</v>
      </c>
      <c r="AK150" s="13">
        <f t="shared" si="143"/>
        <v>2.2708641912150958E-12</v>
      </c>
      <c r="AL150" s="20">
        <f t="shared" si="112"/>
        <v>4.2330868906469593E-12</v>
      </c>
      <c r="AM150" s="59">
        <f t="shared" si="113"/>
        <v>293.33333333333752</v>
      </c>
      <c r="AN150" s="59">
        <f ca="1">AVERAGE(OFFSET($AM$3,0,0,'Données projet'!$E$10+1,1))-AVERAGE(OFFSET($H$3,0,0,'Données projet'!$E$10+1,1))</f>
        <v>158.58786357608489</v>
      </c>
      <c r="AO150" s="59">
        <f t="shared" si="144"/>
        <v>163.20074068819849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553.99999999999955</v>
      </c>
      <c r="BE150" s="13">
        <f>BD150*VLOOKUP('Données projet'!$B$11,Paramètres!$A$1:$I$89,3,0)*VLOOKUP('Données projet'!$B$11,Paramètres!$A$1:$I$89,5,0)</f>
        <v>331.29199999999975</v>
      </c>
      <c r="BF150" s="13">
        <f t="shared" si="145"/>
        <v>77.698110787752</v>
      </c>
      <c r="BG150" s="20">
        <f t="shared" si="115"/>
        <v>712.32444295533423</v>
      </c>
      <c r="BH150" s="59">
        <f t="shared" si="116"/>
        <v>1005.6577762886675</v>
      </c>
      <c r="BI150" s="59">
        <f ca="1">AVERAGE(OFFSET($BH$3,0,0,'Données projet'!$E$11+1,1))-AVERAGE(OFFSET($H$3,0,0,'Données projet'!$E$11+1,1))</f>
        <v>316.58509520829671</v>
      </c>
      <c r="BJ150" s="59">
        <f t="shared" si="146"/>
        <v>240.71332110643596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0.24980442762539173</v>
      </c>
      <c r="BQ150" s="21">
        <f>EXP(-LN(2)/25)*BQ149+(1-EXP(-LN(2)/25))/(LN(2)/25)*Calculateur!BL150*Calculateur!BN150*VLOOKUP('Données projet'!$B$11,Paramètres!$A$1:$I$89,3,0)*0.475*44/12</f>
        <v>0.59560685449095696</v>
      </c>
      <c r="BR150" s="21">
        <f>EXP(-LN(2)/2)*BR149+(1-EXP(-LN(2)/2))/(LN(2)/2)*BL150*BO150*VLOOKUP('Données projet'!$B$11,Paramètres!$A$1:$I$89,3,0)*0.475*44/12</f>
        <v>5.3823120473288154E-17</v>
      </c>
      <c r="BS150" s="22">
        <f t="shared" si="117"/>
        <v>0.84541128211634864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-5.1159076974727213E-13</v>
      </c>
      <c r="BZ150" s="13">
        <f>BY150*VLOOKUP('Données projet'!$B$12,Paramètres!$A$1:$I$89,3,0)*VLOOKUP('Données projet'!$B$12,Paramètres!$A$1:$I$89,5,0)</f>
        <v>-4.0702161641092972E-13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260.20517190557814</v>
      </c>
      <c r="CE150" s="59">
        <f t="shared" si="148"/>
        <v>307.22009971147133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0.32159961727563691</v>
      </c>
      <c r="CL150" s="21">
        <f>EXP(-LN(2)/25)*CL149+(1-EXP(-LN(2)/25))/(LN(2)/25)*Calculateur!CG150*Calculateur!CI150*VLOOKUP('Données projet'!$B$12,Paramètres!$A$1:$I$89,3,0)*0.475*44/12</f>
        <v>0.80047646664652661</v>
      </c>
      <c r="CM150" s="21">
        <f>EXP(-LN(2)/2)*CM149+(1-EXP(-LN(2)/2))/(LN(2)/2)*CG150*CJ150*VLOOKUP('Données projet'!$B$12,Paramètres!$A$1:$I$89,3,0)*0.475*44/12</f>
        <v>5.8974228741086207E-17</v>
      </c>
      <c r="CN150" s="22">
        <f t="shared" si="120"/>
        <v>1.1220760839221635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4.5474735088646412E-13</v>
      </c>
      <c r="CU150" s="17">
        <f>CT150*VLOOKUP('Données projet'!$B$13,Paramètres!$A$1:$I$89,3,0)*VLOOKUP('Données projet'!$B$13,Paramètres!$A$1:$I$89,5,0)</f>
        <v>4.6111381379887462E-13</v>
      </c>
      <c r="CV150" s="13">
        <f t="shared" si="149"/>
        <v>5.7981965206434308E-12</v>
      </c>
      <c r="CW150" s="20">
        <f t="shared" si="121"/>
        <v>1.0901632165820347E-11</v>
      </c>
      <c r="CX150" s="59">
        <f t="shared" si="122"/>
        <v>293.33333333334423</v>
      </c>
      <c r="CY150" s="59">
        <f ca="1">AVERAGE(OFFSET($CX$3,0,0,'Données projet'!$E$13+1,1))-AVERAGE(OFFSET($H$3,0,0,'Données projet'!$E$13+1,1))</f>
        <v>263.15518481854753</v>
      </c>
      <c r="CZ150" s="59">
        <f t="shared" si="150"/>
        <v>210.80755370263819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0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275.99999999999972</v>
      </c>
      <c r="DP150" s="17">
        <f>DO150*VLOOKUP('Données projet'!$B$14,Paramètres!$A$1:$I$89,3,0)*VLOOKUP('Données projet'!$B$14,Paramètres!$A$1:$I$89,5,0)</f>
        <v>223.8911999999998</v>
      </c>
      <c r="DQ150" s="13">
        <f t="shared" si="151"/>
        <v>54.95975389514858</v>
      </c>
      <c r="DR150" s="20">
        <f t="shared" si="124"/>
        <v>485.66541136738346</v>
      </c>
      <c r="DS150" s="59">
        <f t="shared" si="125"/>
        <v>778.99874470071677</v>
      </c>
      <c r="DT150" s="59">
        <f ca="1">AVERAGE(OFFSET($DS$3,0,0,'Données projet'!$E$14+1,1))-AVERAGE(OFFSET($H$3,0,0,'Données projet'!$E$14+1,1))</f>
        <v>203.21935660591021</v>
      </c>
      <c r="DU150" s="59">
        <f t="shared" si="152"/>
        <v>180.54762778843178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9.8813568785668882E-2</v>
      </c>
      <c r="EB150" s="21">
        <f>EXP(-LN(2)/25)*EB149+(1-EXP(-LN(2)/25))/(LN(2)/25)*Calculateur!DW150*Calculateur!DY150*VLOOKUP('Données projet'!$B$14,Paramètres!$A$1:$I$89,3,0)*0.475*44/12</f>
        <v>0.22640428744904259</v>
      </c>
      <c r="EC150" s="21">
        <f>EXP(-LN(2)/2)*EC149+(1-EXP(-LN(2)/2))/(LN(2)/2)*DW150*DZ150*VLOOKUP('Données projet'!$B$14,Paramètres!$A$1:$I$89,3,0)*0.475*44/12</f>
        <v>2.2233207220123021E-17</v>
      </c>
      <c r="ED150" s="22">
        <f t="shared" si="126"/>
        <v>0.32521785623471144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-5.1159076974727213E-13</v>
      </c>
      <c r="EK150" s="17">
        <f>EJ150*VLOOKUP('Données projet'!$B$15,Paramètres!$A$1:$I$89,3,0)*VLOOKUP('Données projet'!$B$15,Paramètres!$A$1:$I$89,5,0)</f>
        <v>-3.4317508834647017E-13</v>
      </c>
      <c r="EL150" s="13" t="e">
        <f t="shared" si="153"/>
        <v>#NUM!</v>
      </c>
      <c r="EM150" s="20" t="e">
        <f t="shared" si="127"/>
        <v>#NUM!</v>
      </c>
      <c r="EN150" s="59" t="e">
        <f t="shared" si="128"/>
        <v>#NUM!</v>
      </c>
      <c r="EO150" s="59">
        <f ca="1">AVERAGE(OFFSET($EN$3,0,0,'Données projet'!$E$15+1,1))-AVERAGE(OFFSET($H$3,0,0,'Données projet'!$E$15+1,1))</f>
        <v>207.93042467236967</v>
      </c>
      <c r="EP150" s="59">
        <f t="shared" si="154"/>
        <v>250.70954318710835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0.27115261848730143</v>
      </c>
      <c r="EW150" s="21">
        <f>EXP(-LN(2)/25)*EW149+(1-EXP(-LN(2)/25))/(LN(2)/25)*Calculateur!ER150*Calculateur!ET150*VLOOKUP('Données projet'!$B$15,Paramètres!$A$1:$I$89,3,0)*0.475*44/12</f>
        <v>0.6749115307019744</v>
      </c>
      <c r="EX150" s="21">
        <f>EXP(-LN(2)/2)*EX149+(1-EXP(-LN(2)/2))/(LN(2)/2)*ER150*EU150*VLOOKUP('Données projet'!$B$15,Paramètres!$A$1:$I$89,3,0)*0.475*44/12</f>
        <v>4.9723369330719741E-17</v>
      </c>
      <c r="EY150" s="22">
        <f t="shared" si="129"/>
        <v>0.94606414918927584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-2.2737367544323206E-13</v>
      </c>
      <c r="O151" s="13">
        <f>N151*VLOOKUP('Données projet'!$B$9,Paramètres!$A$1:$I$89,3,0)*VLOOKUP('Données projet'!$B$9,Paramètres!$A$1:$I$89,5,0)</f>
        <v>-1.2710188457276673E-13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255.5374979188561</v>
      </c>
      <c r="T151" s="59">
        <f t="shared" si="142"/>
        <v>343.10418468620901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0.29858163514311176</v>
      </c>
      <c r="AA151" s="21">
        <f>EXP(-LN(2)/25)*AA150+(1-EXP(-LN(2)/25))/(LN(2)/25)*Calculateur!V151*Calculateur!X151*VLOOKUP('Données projet'!$B$9,Paramètres!$A$1:$I$89,3,0)*0.475*44/12</f>
        <v>0.60558953092471235</v>
      </c>
      <c r="AB151" s="21">
        <f>EXP(-LN(2)/2)*AB150+(1-EXP(-LN(2)/2))/(LN(2)/2)*V151*Y151*VLOOKUP('Données projet'!$B$9,Paramètres!$A$1:$I$89,3,0)*0.475*44/12</f>
        <v>2.9362832988899281E-18</v>
      </c>
      <c r="AC151" s="22">
        <f t="shared" si="111"/>
        <v>0.90417116606782411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1.5961632016114892E-13</v>
      </c>
      <c r="AK151" s="13">
        <f t="shared" si="143"/>
        <v>2.2708641912150958E-12</v>
      </c>
      <c r="AL151" s="20">
        <f t="shared" si="112"/>
        <v>4.2330868906469593E-12</v>
      </c>
      <c r="AM151" s="59">
        <f t="shared" si="113"/>
        <v>293.33333333333752</v>
      </c>
      <c r="AN151" s="59">
        <f ca="1">AVERAGE(OFFSET($AM$3,0,0,'Données projet'!$E$10+1,1))-AVERAGE(OFFSET($H$3,0,0,'Données projet'!$E$10+1,1))</f>
        <v>158.58786357608489</v>
      </c>
      <c r="AO151" s="59">
        <f t="shared" si="144"/>
        <v>163.20074068819849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553.99999999999955</v>
      </c>
      <c r="BE151" s="13">
        <f>BD151*VLOOKUP('Données projet'!$B$11,Paramètres!$A$1:$I$89,3,0)*VLOOKUP('Données projet'!$B$11,Paramètres!$A$1:$I$89,5,0)</f>
        <v>331.29199999999975</v>
      </c>
      <c r="BF151" s="13">
        <f t="shared" si="145"/>
        <v>77.698110787752</v>
      </c>
      <c r="BG151" s="20">
        <f t="shared" si="115"/>
        <v>712.32444295533423</v>
      </c>
      <c r="BH151" s="59">
        <f t="shared" si="116"/>
        <v>1005.6577762886675</v>
      </c>
      <c r="BI151" s="59">
        <f ca="1">AVERAGE(OFFSET($BH$3,0,0,'Données projet'!$E$11+1,1))-AVERAGE(OFFSET($H$3,0,0,'Données projet'!$E$11+1,1))</f>
        <v>316.58509520829671</v>
      </c>
      <c r="BJ151" s="59">
        <f t="shared" si="146"/>
        <v>240.71332110643596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0.24490591516531379</v>
      </c>
      <c r="BQ151" s="21">
        <f>EXP(-LN(2)/25)*BQ150+(1-EXP(-LN(2)/25))/(LN(2)/25)*Calculateur!BL151*Calculateur!BN151*VLOOKUP('Données projet'!$B$11,Paramètres!$A$1:$I$89,3,0)*0.475*44/12</f>
        <v>0.57931995373329859</v>
      </c>
      <c r="BR151" s="21">
        <f>EXP(-LN(2)/2)*BR150+(1-EXP(-LN(2)/2))/(LN(2)/2)*BL151*BO151*VLOOKUP('Données projet'!$B$11,Paramètres!$A$1:$I$89,3,0)*0.475*44/12</f>
        <v>3.8058693471282553E-17</v>
      </c>
      <c r="BS151" s="22">
        <f t="shared" si="117"/>
        <v>0.82422586889861238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-5.1159076974727213E-13</v>
      </c>
      <c r="BZ151" s="13">
        <f>BY151*VLOOKUP('Données projet'!$B$12,Paramètres!$A$1:$I$89,3,0)*VLOOKUP('Données projet'!$B$12,Paramètres!$A$1:$I$89,5,0)</f>
        <v>-4.0702161641092972E-13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260.20517190557814</v>
      </c>
      <c r="CE151" s="59">
        <f t="shared" si="148"/>
        <v>307.22009971147133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0.31529324493725935</v>
      </c>
      <c r="CL151" s="21">
        <f>EXP(-LN(2)/25)*CL150+(1-EXP(-LN(2)/25))/(LN(2)/25)*Calculateur!CG151*Calculateur!CI151*VLOOKUP('Données projet'!$B$12,Paramètres!$A$1:$I$89,3,0)*0.475*44/12</f>
        <v>0.77858739557084944</v>
      </c>
      <c r="CM151" s="21">
        <f>EXP(-LN(2)/2)*CM150+(1-EXP(-LN(2)/2))/(LN(2)/2)*CG151*CJ151*VLOOKUP('Données projet'!$B$12,Paramètres!$A$1:$I$89,3,0)*0.475*44/12</f>
        <v>4.1701077058068647E-17</v>
      </c>
      <c r="CN151" s="22">
        <f t="shared" si="120"/>
        <v>1.0938806405081087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4.5474735088646412E-13</v>
      </c>
      <c r="CU151" s="17">
        <f>CT151*VLOOKUP('Données projet'!$B$13,Paramètres!$A$1:$I$89,3,0)*VLOOKUP('Données projet'!$B$13,Paramètres!$A$1:$I$89,5,0)</f>
        <v>4.6111381379887462E-13</v>
      </c>
      <c r="CV151" s="13">
        <f t="shared" si="149"/>
        <v>5.7981965206434308E-12</v>
      </c>
      <c r="CW151" s="20">
        <f t="shared" si="121"/>
        <v>1.0901632165820347E-11</v>
      </c>
      <c r="CX151" s="59">
        <f t="shared" si="122"/>
        <v>293.33333333334423</v>
      </c>
      <c r="CY151" s="59">
        <f ca="1">AVERAGE(OFFSET($CX$3,0,0,'Données projet'!$E$13+1,1))-AVERAGE(OFFSET($H$3,0,0,'Données projet'!$E$13+1,1))</f>
        <v>263.15518481854753</v>
      </c>
      <c r="CZ151" s="59">
        <f t="shared" si="150"/>
        <v>210.80755370263819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0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275.99999999999972</v>
      </c>
      <c r="DP151" s="17">
        <f>DO151*VLOOKUP('Données projet'!$B$14,Paramètres!$A$1:$I$89,3,0)*VLOOKUP('Données projet'!$B$14,Paramètres!$A$1:$I$89,5,0)</f>
        <v>223.8911999999998</v>
      </c>
      <c r="DQ151" s="13">
        <f t="shared" si="151"/>
        <v>54.95975389514858</v>
      </c>
      <c r="DR151" s="20">
        <f t="shared" si="124"/>
        <v>485.66541136738346</v>
      </c>
      <c r="DS151" s="59">
        <f t="shared" si="125"/>
        <v>778.99874470071677</v>
      </c>
      <c r="DT151" s="59">
        <f ca="1">AVERAGE(OFFSET($DS$3,0,0,'Données projet'!$E$14+1,1))-AVERAGE(OFFSET($H$3,0,0,'Données projet'!$E$14+1,1))</f>
        <v>203.21935660591021</v>
      </c>
      <c r="DU151" s="59">
        <f t="shared" si="152"/>
        <v>180.54762778843178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9.6875894972107676E-2</v>
      </c>
      <c r="EB151" s="21">
        <f>EXP(-LN(2)/25)*EB150+(1-EXP(-LN(2)/25))/(LN(2)/25)*Calculateur!DW151*Calculateur!DY151*VLOOKUP('Données projet'!$B$14,Paramètres!$A$1:$I$89,3,0)*0.475*44/12</f>
        <v>0.2202132503026645</v>
      </c>
      <c r="EC151" s="21">
        <f>EXP(-LN(2)/2)*EC150+(1-EXP(-LN(2)/2))/(LN(2)/2)*DW151*DZ151*VLOOKUP('Données projet'!$B$14,Paramètres!$A$1:$I$89,3,0)*0.475*44/12</f>
        <v>1.5721251592874697E-17</v>
      </c>
      <c r="ED151" s="22">
        <f t="shared" si="126"/>
        <v>0.31708914527477217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-5.1159076974727213E-13</v>
      </c>
      <c r="EK151" s="17">
        <f>EJ151*VLOOKUP('Données projet'!$B$15,Paramètres!$A$1:$I$89,3,0)*VLOOKUP('Données projet'!$B$15,Paramètres!$A$1:$I$89,5,0)</f>
        <v>-3.4317508834647017E-13</v>
      </c>
      <c r="EL151" s="13" t="e">
        <f t="shared" si="153"/>
        <v>#NUM!</v>
      </c>
      <c r="EM151" s="20" t="e">
        <f t="shared" si="127"/>
        <v>#NUM!</v>
      </c>
      <c r="EN151" s="59" t="e">
        <f t="shared" si="128"/>
        <v>#NUM!</v>
      </c>
      <c r="EO151" s="59">
        <f ca="1">AVERAGE(OFFSET($EN$3,0,0,'Données projet'!$E$15+1,1))-AVERAGE(OFFSET($H$3,0,0,'Données projet'!$E$15+1,1))</f>
        <v>207.93042467236967</v>
      </c>
      <c r="EP151" s="59">
        <f t="shared" si="154"/>
        <v>250.70954318710835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0.26583548102553212</v>
      </c>
      <c r="EW151" s="21">
        <f>EXP(-LN(2)/25)*EW150+(1-EXP(-LN(2)/25))/(LN(2)/25)*Calculateur!ER151*Calculateur!ET151*VLOOKUP('Données projet'!$B$15,Paramètres!$A$1:$I$89,3,0)*0.475*44/12</f>
        <v>0.656456039402874</v>
      </c>
      <c r="EX151" s="21">
        <f>EXP(-LN(2)/2)*EX150+(1-EXP(-LN(2)/2))/(LN(2)/2)*ER151*EU151*VLOOKUP('Données projet'!$B$15,Paramètres!$A$1:$I$89,3,0)*0.475*44/12</f>
        <v>3.5159731637195131E-17</v>
      </c>
      <c r="EY151" s="22">
        <f t="shared" si="129"/>
        <v>0.92229152042840612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-2.2737367544323206E-13</v>
      </c>
      <c r="O152" s="13">
        <f>N152*VLOOKUP('Données projet'!$B$9,Paramètres!$A$1:$I$89,3,0)*VLOOKUP('Données projet'!$B$9,Paramètres!$A$1:$I$89,5,0)</f>
        <v>-1.2710188457276673E-13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255.5374979188561</v>
      </c>
      <c r="T152" s="59">
        <f t="shared" si="142"/>
        <v>343.10418468620901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0.29272663139477023</v>
      </c>
      <c r="AA152" s="21">
        <f>EXP(-LN(2)/25)*AA151+(1-EXP(-LN(2)/25))/(LN(2)/25)*Calculateur!V152*Calculateur!X152*VLOOKUP('Données projet'!$B$9,Paramètres!$A$1:$I$89,3,0)*0.475*44/12</f>
        <v>0.58902965335500679</v>
      </c>
      <c r="AB152" s="21">
        <f>EXP(-LN(2)/2)*AB151+(1-EXP(-LN(2)/2))/(LN(2)/2)*V152*Y152*VLOOKUP('Données projet'!$B$9,Paramètres!$A$1:$I$89,3,0)*0.475*44/12</f>
        <v>2.0762658321298743E-18</v>
      </c>
      <c r="AC152" s="22">
        <f t="shared" si="111"/>
        <v>0.88175628474977708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1.5961632016114892E-13</v>
      </c>
      <c r="AK152" s="13">
        <f t="shared" si="143"/>
        <v>2.2708641912150958E-12</v>
      </c>
      <c r="AL152" s="20">
        <f t="shared" si="112"/>
        <v>4.2330868906469593E-12</v>
      </c>
      <c r="AM152" s="59">
        <f t="shared" si="113"/>
        <v>293.33333333333752</v>
      </c>
      <c r="AN152" s="59">
        <f ca="1">AVERAGE(OFFSET($AM$3,0,0,'Données projet'!$E$10+1,1))-AVERAGE(OFFSET($H$3,0,0,'Données projet'!$E$10+1,1))</f>
        <v>158.58786357608489</v>
      </c>
      <c r="AO152" s="59">
        <f t="shared" si="144"/>
        <v>163.20074068819849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553.99999999999955</v>
      </c>
      <c r="BE152" s="13">
        <f>BD152*VLOOKUP('Données projet'!$B$11,Paramètres!$A$1:$I$89,3,0)*VLOOKUP('Données projet'!$B$11,Paramètres!$A$1:$I$89,5,0)</f>
        <v>331.29199999999975</v>
      </c>
      <c r="BF152" s="13">
        <f t="shared" si="145"/>
        <v>77.698110787752</v>
      </c>
      <c r="BG152" s="20">
        <f t="shared" si="115"/>
        <v>712.32444295533423</v>
      </c>
      <c r="BH152" s="59">
        <f t="shared" si="116"/>
        <v>1005.6577762886675</v>
      </c>
      <c r="BI152" s="59">
        <f ca="1">AVERAGE(OFFSET($BH$3,0,0,'Données projet'!$E$11+1,1))-AVERAGE(OFFSET($H$3,0,0,'Données projet'!$E$11+1,1))</f>
        <v>316.58509520829671</v>
      </c>
      <c r="BJ152" s="59">
        <f t="shared" si="146"/>
        <v>240.71332110643596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0.24010345954678039</v>
      </c>
      <c r="BQ152" s="21">
        <f>EXP(-LN(2)/25)*BQ151+(1-EXP(-LN(2)/25))/(LN(2)/25)*Calculateur!BL152*Calculateur!BN152*VLOOKUP('Données projet'!$B$11,Paramètres!$A$1:$I$89,3,0)*0.475*44/12</f>
        <v>0.56347841913334917</v>
      </c>
      <c r="BR152" s="21">
        <f>EXP(-LN(2)/2)*BR151+(1-EXP(-LN(2)/2))/(LN(2)/2)*BL152*BO152*VLOOKUP('Données projet'!$B$11,Paramètres!$A$1:$I$89,3,0)*0.475*44/12</f>
        <v>2.6911560236644077E-17</v>
      </c>
      <c r="BS152" s="22">
        <f t="shared" si="117"/>
        <v>0.80358187868012954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-5.1159076974727213E-13</v>
      </c>
      <c r="BZ152" s="13">
        <f>BY152*VLOOKUP('Données projet'!$B$12,Paramètres!$A$1:$I$89,3,0)*VLOOKUP('Données projet'!$B$12,Paramètres!$A$1:$I$89,5,0)</f>
        <v>-4.0702161641092972E-13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260.20517190557814</v>
      </c>
      <c r="CE152" s="59">
        <f t="shared" si="148"/>
        <v>307.22009971147133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0.30911053671393007</v>
      </c>
      <c r="CL152" s="21">
        <f>EXP(-LN(2)/25)*CL151+(1-EXP(-LN(2)/25))/(LN(2)/25)*Calculateur!CG152*Calculateur!CI152*VLOOKUP('Données projet'!$B$12,Paramètres!$A$1:$I$89,3,0)*0.475*44/12</f>
        <v>0.75729688229483294</v>
      </c>
      <c r="CM152" s="21">
        <f>EXP(-LN(2)/2)*CM151+(1-EXP(-LN(2)/2))/(LN(2)/2)*CG152*CJ152*VLOOKUP('Données projet'!$B$12,Paramètres!$A$1:$I$89,3,0)*0.475*44/12</f>
        <v>2.9487114370543104E-17</v>
      </c>
      <c r="CN152" s="22">
        <f t="shared" si="120"/>
        <v>1.0664074190087631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4.5474735088646412E-13</v>
      </c>
      <c r="CU152" s="17">
        <f>CT152*VLOOKUP('Données projet'!$B$13,Paramètres!$A$1:$I$89,3,0)*VLOOKUP('Données projet'!$B$13,Paramètres!$A$1:$I$89,5,0)</f>
        <v>4.6111381379887462E-13</v>
      </c>
      <c r="CV152" s="13">
        <f t="shared" si="149"/>
        <v>5.7981965206434308E-12</v>
      </c>
      <c r="CW152" s="20">
        <f t="shared" si="121"/>
        <v>1.0901632165820347E-11</v>
      </c>
      <c r="CX152" s="59">
        <f t="shared" si="122"/>
        <v>293.33333333334423</v>
      </c>
      <c r="CY152" s="59">
        <f ca="1">AVERAGE(OFFSET($CX$3,0,0,'Données projet'!$E$13+1,1))-AVERAGE(OFFSET($H$3,0,0,'Données projet'!$E$13+1,1))</f>
        <v>263.15518481854753</v>
      </c>
      <c r="CZ152" s="59">
        <f t="shared" si="150"/>
        <v>210.80755370263819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0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275.99999999999972</v>
      </c>
      <c r="DP152" s="17">
        <f>DO152*VLOOKUP('Données projet'!$B$14,Paramètres!$A$1:$I$89,3,0)*VLOOKUP('Données projet'!$B$14,Paramètres!$A$1:$I$89,5,0)</f>
        <v>223.8911999999998</v>
      </c>
      <c r="DQ152" s="13">
        <f t="shared" si="151"/>
        <v>54.95975389514858</v>
      </c>
      <c r="DR152" s="20">
        <f t="shared" si="124"/>
        <v>485.66541136738346</v>
      </c>
      <c r="DS152" s="59">
        <f t="shared" si="125"/>
        <v>778.99874470071677</v>
      </c>
      <c r="DT152" s="59">
        <f ca="1">AVERAGE(OFFSET($DS$3,0,0,'Données projet'!$E$14+1,1))-AVERAGE(OFFSET($H$3,0,0,'Données projet'!$E$14+1,1))</f>
        <v>203.21935660591021</v>
      </c>
      <c r="DU152" s="59">
        <f t="shared" si="152"/>
        <v>180.54762778843178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9.4976217760166071E-2</v>
      </c>
      <c r="EB152" s="21">
        <f>EXP(-LN(2)/25)*EB151+(1-EXP(-LN(2)/25))/(LN(2)/25)*Calculateur!DW152*Calculateur!DY152*VLOOKUP('Données projet'!$B$14,Paramètres!$A$1:$I$89,3,0)*0.475*44/12</f>
        <v>0.2141915073926266</v>
      </c>
      <c r="EC152" s="21">
        <f>EXP(-LN(2)/2)*EC151+(1-EXP(-LN(2)/2))/(LN(2)/2)*DW152*DZ152*VLOOKUP('Données projet'!$B$14,Paramètres!$A$1:$I$89,3,0)*0.475*44/12</f>
        <v>1.111660361006151E-17</v>
      </c>
      <c r="ED152" s="22">
        <f t="shared" si="126"/>
        <v>0.30916772515279267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-5.1159076974727213E-13</v>
      </c>
      <c r="EK152" s="17">
        <f>EJ152*VLOOKUP('Données projet'!$B$15,Paramètres!$A$1:$I$89,3,0)*VLOOKUP('Données projet'!$B$15,Paramètres!$A$1:$I$89,5,0)</f>
        <v>-3.4317508834647017E-13</v>
      </c>
      <c r="EL152" s="13" t="e">
        <f t="shared" si="153"/>
        <v>#NUM!</v>
      </c>
      <c r="EM152" s="20" t="e">
        <f t="shared" si="127"/>
        <v>#NUM!</v>
      </c>
      <c r="EN152" s="59" t="e">
        <f t="shared" si="128"/>
        <v>#NUM!</v>
      </c>
      <c r="EO152" s="59">
        <f ca="1">AVERAGE(OFFSET($EN$3,0,0,'Données projet'!$E$15+1,1))-AVERAGE(OFFSET($H$3,0,0,'Données projet'!$E$15+1,1))</f>
        <v>207.93042467236967</v>
      </c>
      <c r="EP152" s="59">
        <f t="shared" si="154"/>
        <v>250.70954318710835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0.26062260938625448</v>
      </c>
      <c r="EW152" s="21">
        <f>EXP(-LN(2)/25)*EW151+(1-EXP(-LN(2)/25))/(LN(2)/25)*Calculateur!ER152*Calculateur!ET152*VLOOKUP('Données projet'!$B$15,Paramètres!$A$1:$I$89,3,0)*0.475*44/12</f>
        <v>0.63850521448387965</v>
      </c>
      <c r="EX152" s="21">
        <f>EXP(-LN(2)/2)*EX151+(1-EXP(-LN(2)/2))/(LN(2)/2)*ER152*EU152*VLOOKUP('Données projet'!$B$15,Paramètres!$A$1:$I$89,3,0)*0.475*44/12</f>
        <v>2.486168466535987E-17</v>
      </c>
      <c r="EY152" s="22">
        <f t="shared" si="129"/>
        <v>0.89912782387013412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-2.2737367544323206E-13</v>
      </c>
      <c r="O153" s="13">
        <f>N153*VLOOKUP('Données projet'!$B$9,Paramètres!$A$1:$I$89,3,0)*VLOOKUP('Données projet'!$B$9,Paramètres!$A$1:$I$89,5,0)</f>
        <v>-1.2710188457276673E-13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255.5374979188561</v>
      </c>
      <c r="T153" s="59">
        <f t="shared" si="142"/>
        <v>343.10418468620901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0.28698644069873402</v>
      </c>
      <c r="AA153" s="21">
        <f>EXP(-LN(2)/25)*AA152+(1-EXP(-LN(2)/25))/(LN(2)/25)*Calculateur!V153*Calculateur!X153*VLOOKUP('Données projet'!$B$9,Paramètres!$A$1:$I$89,3,0)*0.475*44/12</f>
        <v>0.57292260650829085</v>
      </c>
      <c r="AB153" s="21">
        <f>EXP(-LN(2)/2)*AB152+(1-EXP(-LN(2)/2))/(LN(2)/2)*V153*Y153*VLOOKUP('Données projet'!$B$9,Paramètres!$A$1:$I$89,3,0)*0.475*44/12</f>
        <v>1.4681416494449641E-18</v>
      </c>
      <c r="AC153" s="22">
        <f t="shared" si="111"/>
        <v>0.85990904720702488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1.5961632016114892E-13</v>
      </c>
      <c r="AK153" s="13">
        <f t="shared" si="143"/>
        <v>2.2708641912150958E-12</v>
      </c>
      <c r="AL153" s="20">
        <f t="shared" si="112"/>
        <v>4.2330868906469593E-12</v>
      </c>
      <c r="AM153" s="59">
        <f t="shared" si="113"/>
        <v>293.33333333333752</v>
      </c>
      <c r="AN153" s="59">
        <f ca="1">AVERAGE(OFFSET($AM$3,0,0,'Données projet'!$E$10+1,1))-AVERAGE(OFFSET($H$3,0,0,'Données projet'!$E$10+1,1))</f>
        <v>158.58786357608489</v>
      </c>
      <c r="AO153" s="59">
        <f t="shared" si="144"/>
        <v>163.20074068819849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553.99999999999955</v>
      </c>
      <c r="BE153" s="13">
        <f>BD153*VLOOKUP('Données projet'!$B$11,Paramètres!$A$1:$I$89,3,0)*VLOOKUP('Données projet'!$B$11,Paramètres!$A$1:$I$89,5,0)</f>
        <v>331.29199999999975</v>
      </c>
      <c r="BF153" s="13">
        <f t="shared" si="145"/>
        <v>77.698110787752</v>
      </c>
      <c r="BG153" s="20">
        <f t="shared" si="115"/>
        <v>712.32444295533423</v>
      </c>
      <c r="BH153" s="59">
        <f t="shared" si="116"/>
        <v>1005.6577762886675</v>
      </c>
      <c r="BI153" s="59">
        <f ca="1">AVERAGE(OFFSET($BH$3,0,0,'Données projet'!$E$11+1,1))-AVERAGE(OFFSET($H$3,0,0,'Données projet'!$E$11+1,1))</f>
        <v>316.58509520829671</v>
      </c>
      <c r="BJ153" s="59">
        <f t="shared" si="146"/>
        <v>240.71332110643596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0.23539517715371774</v>
      </c>
      <c r="BQ153" s="21">
        <f>EXP(-LN(2)/25)*BQ152+(1-EXP(-LN(2)/25))/(LN(2)/25)*Calculateur!BL153*Calculateur!BN153*VLOOKUP('Données projet'!$B$11,Paramètres!$A$1:$I$89,3,0)*0.475*44/12</f>
        <v>0.5480700721301055</v>
      </c>
      <c r="BR153" s="21">
        <f>EXP(-LN(2)/2)*BR152+(1-EXP(-LN(2)/2))/(LN(2)/2)*BL153*BO153*VLOOKUP('Données projet'!$B$11,Paramètres!$A$1:$I$89,3,0)*0.475*44/12</f>
        <v>1.9029346735641276E-17</v>
      </c>
      <c r="BS153" s="22">
        <f t="shared" si="117"/>
        <v>0.78346524928382322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-5.1159076974727213E-13</v>
      </c>
      <c r="BZ153" s="13">
        <f>BY153*VLOOKUP('Données projet'!$B$12,Paramètres!$A$1:$I$89,3,0)*VLOOKUP('Données projet'!$B$12,Paramètres!$A$1:$I$89,5,0)</f>
        <v>-4.0702161641092972E-13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260.20517190557814</v>
      </c>
      <c r="CE153" s="59">
        <f t="shared" si="148"/>
        <v>307.22009971147133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0.30304906762778067</v>
      </c>
      <c r="CL153" s="21">
        <f>EXP(-LN(2)/25)*CL152+(1-EXP(-LN(2)/25))/(LN(2)/25)*Calculateur!CG153*Calculateur!CI153*VLOOKUP('Données projet'!$B$12,Paramètres!$A$1:$I$89,3,0)*0.475*44/12</f>
        <v>0.73658855922396849</v>
      </c>
      <c r="CM153" s="21">
        <f>EXP(-LN(2)/2)*CM152+(1-EXP(-LN(2)/2))/(LN(2)/2)*CG153*CJ153*VLOOKUP('Données projet'!$B$12,Paramètres!$A$1:$I$89,3,0)*0.475*44/12</f>
        <v>2.0850538529034324E-17</v>
      </c>
      <c r="CN153" s="22">
        <f t="shared" si="120"/>
        <v>1.0396376268517491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4.5474735088646412E-13</v>
      </c>
      <c r="CU153" s="17">
        <f>CT153*VLOOKUP('Données projet'!$B$13,Paramètres!$A$1:$I$89,3,0)*VLOOKUP('Données projet'!$B$13,Paramètres!$A$1:$I$89,5,0)</f>
        <v>4.6111381379887462E-13</v>
      </c>
      <c r="CV153" s="13">
        <f t="shared" si="149"/>
        <v>5.7981965206434308E-12</v>
      </c>
      <c r="CW153" s="20">
        <f t="shared" si="121"/>
        <v>1.0901632165820347E-11</v>
      </c>
      <c r="CX153" s="59">
        <f t="shared" si="122"/>
        <v>293.33333333334423</v>
      </c>
      <c r="CY153" s="59">
        <f ca="1">AVERAGE(OFFSET($CX$3,0,0,'Données projet'!$E$13+1,1))-AVERAGE(OFFSET($H$3,0,0,'Données projet'!$E$13+1,1))</f>
        <v>263.15518481854753</v>
      </c>
      <c r="CZ153" s="59">
        <f t="shared" si="150"/>
        <v>210.80755370263819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0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275.99999999999972</v>
      </c>
      <c r="DP153" s="17">
        <f>DO153*VLOOKUP('Données projet'!$B$14,Paramètres!$A$1:$I$89,3,0)*VLOOKUP('Données projet'!$B$14,Paramètres!$A$1:$I$89,5,0)</f>
        <v>223.8911999999998</v>
      </c>
      <c r="DQ153" s="13">
        <f t="shared" si="151"/>
        <v>54.95975389514858</v>
      </c>
      <c r="DR153" s="20">
        <f t="shared" si="124"/>
        <v>485.66541136738346</v>
      </c>
      <c r="DS153" s="59">
        <f t="shared" si="125"/>
        <v>778.99874470071677</v>
      </c>
      <c r="DT153" s="59">
        <f ca="1">AVERAGE(OFFSET($DS$3,0,0,'Données projet'!$E$14+1,1))-AVERAGE(OFFSET($H$3,0,0,'Données projet'!$E$14+1,1))</f>
        <v>203.21935660591021</v>
      </c>
      <c r="DU153" s="59">
        <f t="shared" si="152"/>
        <v>180.54762778843178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9.3113792059661957E-2</v>
      </c>
      <c r="EB153" s="21">
        <f>EXP(-LN(2)/25)*EB152+(1-EXP(-LN(2)/25))/(LN(2)/25)*Calculateur!DW153*Calculateur!DY153*VLOOKUP('Données projet'!$B$14,Paramètres!$A$1:$I$89,3,0)*0.475*44/12</f>
        <v>0.20833442935913341</v>
      </c>
      <c r="EC153" s="21">
        <f>EXP(-LN(2)/2)*EC152+(1-EXP(-LN(2)/2))/(LN(2)/2)*DW153*DZ153*VLOOKUP('Données projet'!$B$14,Paramètres!$A$1:$I$89,3,0)*0.475*44/12</f>
        <v>7.8606257964373485E-18</v>
      </c>
      <c r="ED153" s="22">
        <f t="shared" si="126"/>
        <v>0.30144822141879535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-5.1159076974727213E-13</v>
      </c>
      <c r="EK153" s="17">
        <f>EJ153*VLOOKUP('Données projet'!$B$15,Paramètres!$A$1:$I$89,3,0)*VLOOKUP('Données projet'!$B$15,Paramètres!$A$1:$I$89,5,0)</f>
        <v>-3.4317508834647017E-13</v>
      </c>
      <c r="EL153" s="13" t="e">
        <f t="shared" si="153"/>
        <v>#NUM!</v>
      </c>
      <c r="EM153" s="20" t="e">
        <f t="shared" si="127"/>
        <v>#NUM!</v>
      </c>
      <c r="EN153" s="59" t="e">
        <f t="shared" si="128"/>
        <v>#NUM!</v>
      </c>
      <c r="EO153" s="59">
        <f ca="1">AVERAGE(OFFSET($EN$3,0,0,'Données projet'!$E$15+1,1))-AVERAGE(OFFSET($H$3,0,0,'Données projet'!$E$15+1,1))</f>
        <v>207.93042467236967</v>
      </c>
      <c r="EP153" s="59">
        <f t="shared" si="154"/>
        <v>250.70954318710835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0.25551195898028534</v>
      </c>
      <c r="EW153" s="21">
        <f>EXP(-LN(2)/25)*EW152+(1-EXP(-LN(2)/25))/(LN(2)/25)*Calculateur!ER153*Calculateur!ET153*VLOOKUP('Données projet'!$B$15,Paramètres!$A$1:$I$89,3,0)*0.475*44/12</f>
        <v>0.621045255816288</v>
      </c>
      <c r="EX153" s="21">
        <f>EXP(-LN(2)/2)*EX152+(1-EXP(-LN(2)/2))/(LN(2)/2)*ER153*EU153*VLOOKUP('Données projet'!$B$15,Paramètres!$A$1:$I$89,3,0)*0.475*44/12</f>
        <v>1.7579865818597566E-17</v>
      </c>
      <c r="EY153" s="22">
        <f t="shared" si="129"/>
        <v>0.87655721479657334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-2.2737367544323206E-13</v>
      </c>
      <c r="O154" s="13">
        <f>N154*VLOOKUP('Données projet'!$B$9,Paramètres!$A$1:$I$89,3,0)*VLOOKUP('Données projet'!$B$9,Paramètres!$A$1:$I$89,5,0)</f>
        <v>-1.2710188457276673E-13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255.5374979188561</v>
      </c>
      <c r="T154" s="59">
        <f t="shared" si="142"/>
        <v>343.10418468620901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0.28135881164107646</v>
      </c>
      <c r="AA154" s="21">
        <f>EXP(-LN(2)/25)*AA153+(1-EXP(-LN(2)/25))/(LN(2)/25)*Calculateur!V154*Calculateur!X154*VLOOKUP('Données projet'!$B$9,Paramètres!$A$1:$I$89,3,0)*0.475*44/12</f>
        <v>0.55725600770463124</v>
      </c>
      <c r="AB154" s="21">
        <f>EXP(-LN(2)/2)*AB153+(1-EXP(-LN(2)/2))/(LN(2)/2)*V154*Y154*VLOOKUP('Données projet'!$B$9,Paramètres!$A$1:$I$89,3,0)*0.475*44/12</f>
        <v>1.0381329160649371E-18</v>
      </c>
      <c r="AC154" s="22">
        <f t="shared" ref="AC154:AC203" si="163">SUM(Z154:AB154)</f>
        <v>0.8386148193457077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1.5961632016114892E-13</v>
      </c>
      <c r="AK154" s="13">
        <f t="shared" ref="AK154:AK203" si="164">EXP(-1.0587+0.8836*LN(AJ154)+0.284)</f>
        <v>2.2708641912150958E-12</v>
      </c>
      <c r="AL154" s="20">
        <f t="shared" ref="AL154:AL203" si="165">(AJ154+AK154)*0.475*44/12</f>
        <v>4.2330868906469593E-12</v>
      </c>
      <c r="AM154" s="59">
        <f t="shared" si="113"/>
        <v>293.33333333333752</v>
      </c>
      <c r="AN154" s="59">
        <f ca="1">AVERAGE(OFFSET($AM$3,0,0,'Données projet'!$E$10+1,1))-AVERAGE(OFFSET($H$3,0,0,'Données projet'!$E$10+1,1))</f>
        <v>158.58786357608489</v>
      </c>
      <c r="AO154" s="59">
        <f t="shared" si="144"/>
        <v>163.20074068819849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553.99999999999955</v>
      </c>
      <c r="BE154" s="13">
        <f>BD154*VLOOKUP('Données projet'!$B$11,Paramètres!$A$1:$I$89,3,0)*VLOOKUP('Données projet'!$B$11,Paramètres!$A$1:$I$89,5,0)</f>
        <v>331.29199999999975</v>
      </c>
      <c r="BF154" s="13">
        <f t="shared" ref="BF154:BF203" si="167">EXP(-1.0587+0.8836*LN(BE154)+0.284)</f>
        <v>77.698110787752</v>
      </c>
      <c r="BG154" s="20">
        <f t="shared" ref="BG154:BG203" si="168">(BE154+BF154)*0.475*44/12</f>
        <v>712.32444295533423</v>
      </c>
      <c r="BH154" s="59">
        <f t="shared" si="116"/>
        <v>1005.6577762886675</v>
      </c>
      <c r="BI154" s="59">
        <f ca="1">AVERAGE(OFFSET($BH$3,0,0,'Données projet'!$E$11+1,1))-AVERAGE(OFFSET($H$3,0,0,'Données projet'!$E$11+1,1))</f>
        <v>316.58509520829671</v>
      </c>
      <c r="BJ154" s="59">
        <f t="shared" si="146"/>
        <v>240.71332110643596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0.23077922130661435</v>
      </c>
      <c r="BQ154" s="21">
        <f>EXP(-LN(2)/25)*BQ153+(1-EXP(-LN(2)/25))/(LN(2)/25)*Calculateur!BL154*Calculateur!BN154*VLOOKUP('Données projet'!$B$11,Paramètres!$A$1:$I$89,3,0)*0.475*44/12</f>
        <v>0.53308306718595533</v>
      </c>
      <c r="BR154" s="21">
        <f>EXP(-LN(2)/2)*BR153+(1-EXP(-LN(2)/2))/(LN(2)/2)*BL154*BO154*VLOOKUP('Données projet'!$B$11,Paramètres!$A$1:$I$89,3,0)*0.475*44/12</f>
        <v>1.3455780118322039E-17</v>
      </c>
      <c r="BS154" s="22">
        <f t="shared" ref="BS154:BS203" si="169">SUM(BP154:BR154)</f>
        <v>0.76386228849256965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-5.1159076974727213E-13</v>
      </c>
      <c r="BZ154" s="13">
        <f>BY154*VLOOKUP('Données projet'!$B$12,Paramètres!$A$1:$I$89,3,0)*VLOOKUP('Données projet'!$B$12,Paramètres!$A$1:$I$89,5,0)</f>
        <v>-4.0702161641092972E-13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260.20517190557814</v>
      </c>
      <c r="CE154" s="59">
        <f t="shared" si="148"/>
        <v>307.22009971147133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0.29710646025327953</v>
      </c>
      <c r="CL154" s="21">
        <f>EXP(-LN(2)/25)*CL153+(1-EXP(-LN(2)/25))/(LN(2)/25)*Calculateur!CG154*Calculateur!CI154*VLOOKUP('Données projet'!$B$12,Paramètres!$A$1:$I$89,3,0)*0.475*44/12</f>
        <v>0.71644650633648022</v>
      </c>
      <c r="CM154" s="21">
        <f>EXP(-LN(2)/2)*CM153+(1-EXP(-LN(2)/2))/(LN(2)/2)*CG154*CJ154*VLOOKUP('Données projet'!$B$12,Paramètres!$A$1:$I$89,3,0)*0.475*44/12</f>
        <v>1.4743557185271552E-17</v>
      </c>
      <c r="CN154" s="22">
        <f t="shared" ref="CN154:CN203" si="172">SUM(CK154:CM154)</f>
        <v>1.0135529665897598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4.5474735088646412E-13</v>
      </c>
      <c r="CU154" s="17">
        <f>CT154*VLOOKUP('Données projet'!$B$13,Paramètres!$A$1:$I$89,3,0)*VLOOKUP('Données projet'!$B$13,Paramètres!$A$1:$I$89,5,0)</f>
        <v>4.6111381379887462E-13</v>
      </c>
      <c r="CV154" s="13">
        <f t="shared" ref="CV154:CV203" si="173">EXP(-1.0587+0.8836*LN(CU154)+0.284)</f>
        <v>5.7981965206434308E-12</v>
      </c>
      <c r="CW154" s="20">
        <f t="shared" ref="CW154:CW203" si="174">(CU154+CV154)*0.475*44/12</f>
        <v>1.0901632165820347E-11</v>
      </c>
      <c r="CX154" s="59">
        <f t="shared" si="122"/>
        <v>293.33333333334423</v>
      </c>
      <c r="CY154" s="59">
        <f ca="1">AVERAGE(OFFSET($CX$3,0,0,'Données projet'!$E$13+1,1))-AVERAGE(OFFSET($H$3,0,0,'Données projet'!$E$13+1,1))</f>
        <v>263.15518481854753</v>
      </c>
      <c r="CZ154" s="59">
        <f t="shared" si="150"/>
        <v>210.80755370263819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0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275.99999999999972</v>
      </c>
      <c r="DP154" s="17">
        <f>DO154*VLOOKUP('Données projet'!$B$14,Paramètres!$A$1:$I$89,3,0)*VLOOKUP('Données projet'!$B$14,Paramètres!$A$1:$I$89,5,0)</f>
        <v>223.8911999999998</v>
      </c>
      <c r="DQ154" s="13">
        <f t="shared" ref="DQ154:DQ203" si="176">EXP(-1.0587+0.8836*LN(DP154)+0.284)</f>
        <v>54.95975389514858</v>
      </c>
      <c r="DR154" s="20">
        <f t="shared" ref="DR154:DR203" si="177">(DP154+DQ154)*0.475*44/12</f>
        <v>485.66541136738346</v>
      </c>
      <c r="DS154" s="59">
        <f t="shared" si="125"/>
        <v>778.99874470071677</v>
      </c>
      <c r="DT154" s="59">
        <f ca="1">AVERAGE(OFFSET($DS$3,0,0,'Données projet'!$E$14+1,1))-AVERAGE(OFFSET($H$3,0,0,'Données projet'!$E$14+1,1))</f>
        <v>203.21935660591021</v>
      </c>
      <c r="DU154" s="59">
        <f t="shared" si="152"/>
        <v>180.54762778843178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9.1287887391177214E-2</v>
      </c>
      <c r="EB154" s="21">
        <f>EXP(-LN(2)/25)*EB153+(1-EXP(-LN(2)/25))/(LN(2)/25)*Calculateur!DW154*Calculateur!DY154*VLOOKUP('Données projet'!$B$14,Paramètres!$A$1:$I$89,3,0)*0.475*44/12</f>
        <v>0.20263751343247641</v>
      </c>
      <c r="EC154" s="21">
        <f>EXP(-LN(2)/2)*EC153+(1-EXP(-LN(2)/2))/(LN(2)/2)*DW154*DZ154*VLOOKUP('Données projet'!$B$14,Paramètres!$A$1:$I$89,3,0)*0.475*44/12</f>
        <v>5.5583018050307552E-18</v>
      </c>
      <c r="ED154" s="22">
        <f t="shared" ref="ED154:ED203" si="178">SUM(EA154:EC154)</f>
        <v>0.29392540082365359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-5.1159076974727213E-13</v>
      </c>
      <c r="EK154" s="17">
        <f>EJ154*VLOOKUP('Données projet'!$B$15,Paramètres!$A$1:$I$89,3,0)*VLOOKUP('Données projet'!$B$15,Paramètres!$A$1:$I$89,5,0)</f>
        <v>-3.4317508834647017E-13</v>
      </c>
      <c r="EL154" s="13" t="e">
        <f t="shared" ref="EL154:EL203" si="179">EXP(-1.0587+0.8836*LN(EK154)+0.284)</f>
        <v>#NUM!</v>
      </c>
      <c r="EM154" s="20" t="e">
        <f t="shared" ref="EM154:EM203" si="180">(EK154+EL154)*0.475*44/12</f>
        <v>#NUM!</v>
      </c>
      <c r="EN154" s="59" t="e">
        <f t="shared" si="128"/>
        <v>#NUM!</v>
      </c>
      <c r="EO154" s="59">
        <f ca="1">AVERAGE(OFFSET($EN$3,0,0,'Données projet'!$E$15+1,1))-AVERAGE(OFFSET($H$3,0,0,'Données projet'!$E$15+1,1))</f>
        <v>207.93042467236967</v>
      </c>
      <c r="EP154" s="59">
        <f t="shared" si="154"/>
        <v>250.70954318710835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0.25050152531158831</v>
      </c>
      <c r="EW154" s="21">
        <f>EXP(-LN(2)/25)*EW153+(1-EXP(-LN(2)/25))/(LN(2)/25)*Calculateur!ER154*Calculateur!ET154*VLOOKUP('Données projet'!$B$15,Paramètres!$A$1:$I$89,3,0)*0.475*44/12</f>
        <v>0.604062740636641</v>
      </c>
      <c r="EX154" s="21">
        <f>EXP(-LN(2)/2)*EX153+(1-EXP(-LN(2)/2))/(LN(2)/2)*ER154*EU154*VLOOKUP('Données projet'!$B$15,Paramètres!$A$1:$I$89,3,0)*0.475*44/12</f>
        <v>1.2430842332679935E-17</v>
      </c>
      <c r="EY154" s="22">
        <f t="shared" ref="EY154:EY203" si="181">SUM(EV154:EX154)</f>
        <v>0.85456426594822932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-2.2737367544323206E-13</v>
      </c>
      <c r="O155" s="13">
        <f>N155*VLOOKUP('Données projet'!$B$9,Paramètres!$A$1:$I$89,3,0)*VLOOKUP('Données projet'!$B$9,Paramètres!$A$1:$I$89,5,0)</f>
        <v>-1.2710188457276673E-13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255.5374979188561</v>
      </c>
      <c r="T155" s="59">
        <f t="shared" si="142"/>
        <v>343.10418468620901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0.27584153695672475</v>
      </c>
      <c r="AA155" s="21">
        <f>EXP(-LN(2)/25)*AA154+(1-EXP(-LN(2)/25))/(LN(2)/25)*Calculateur!V155*Calculateur!X155*VLOOKUP('Données projet'!$B$9,Paramètres!$A$1:$I$89,3,0)*0.475*44/12</f>
        <v>0.54201781286912831</v>
      </c>
      <c r="AB155" s="21">
        <f>EXP(-LN(2)/2)*AB154+(1-EXP(-LN(2)/2))/(LN(2)/2)*V155*Y155*VLOOKUP('Données projet'!$B$9,Paramètres!$A$1:$I$89,3,0)*0.475*44/12</f>
        <v>7.3407082472248203E-19</v>
      </c>
      <c r="AC155" s="22">
        <f t="shared" si="163"/>
        <v>0.81785934982585307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1.5961632016114892E-13</v>
      </c>
      <c r="AK155" s="13">
        <f t="shared" si="164"/>
        <v>2.2708641912150958E-12</v>
      </c>
      <c r="AL155" s="20">
        <f t="shared" si="165"/>
        <v>4.2330868906469593E-12</v>
      </c>
      <c r="AM155" s="59">
        <f t="shared" si="113"/>
        <v>293.33333333333752</v>
      </c>
      <c r="AN155" s="59">
        <f ca="1">AVERAGE(OFFSET($AM$3,0,0,'Données projet'!$E$10+1,1))-AVERAGE(OFFSET($H$3,0,0,'Données projet'!$E$10+1,1))</f>
        <v>158.58786357608489</v>
      </c>
      <c r="AO155" s="59">
        <f t="shared" si="144"/>
        <v>163.20074068819849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553.99999999999955</v>
      </c>
      <c r="BE155" s="13">
        <f>BD155*VLOOKUP('Données projet'!$B$11,Paramètres!$A$1:$I$89,3,0)*VLOOKUP('Données projet'!$B$11,Paramètres!$A$1:$I$89,5,0)</f>
        <v>331.29199999999975</v>
      </c>
      <c r="BF155" s="13">
        <f t="shared" si="167"/>
        <v>77.698110787752</v>
      </c>
      <c r="BG155" s="20">
        <f t="shared" si="168"/>
        <v>712.32444295533423</v>
      </c>
      <c r="BH155" s="59">
        <f t="shared" si="116"/>
        <v>1005.6577762886675</v>
      </c>
      <c r="BI155" s="59">
        <f ca="1">AVERAGE(OFFSET($BH$3,0,0,'Données projet'!$E$11+1,1))-AVERAGE(OFFSET($H$3,0,0,'Données projet'!$E$11+1,1))</f>
        <v>316.58509520829671</v>
      </c>
      <c r="BJ155" s="59">
        <f t="shared" si="146"/>
        <v>240.71332110643596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0.2262537815382176</v>
      </c>
      <c r="BQ155" s="21">
        <f>EXP(-LN(2)/25)*BQ154+(1-EXP(-LN(2)/25))/(LN(2)/25)*Calculateur!BL155*Calculateur!BN155*VLOOKUP('Données projet'!$B$11,Paramètres!$A$1:$I$89,3,0)*0.475*44/12</f>
        <v>0.5185058826801352</v>
      </c>
      <c r="BR155" s="21">
        <f>EXP(-LN(2)/2)*BR154+(1-EXP(-LN(2)/2))/(LN(2)/2)*BL155*BO155*VLOOKUP('Données projet'!$B$11,Paramètres!$A$1:$I$89,3,0)*0.475*44/12</f>
        <v>9.5146733678206382E-18</v>
      </c>
      <c r="BS155" s="22">
        <f t="shared" si="169"/>
        <v>0.74475966421835282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-5.1159076974727213E-13</v>
      </c>
      <c r="BZ155" s="13">
        <f>BY155*VLOOKUP('Données projet'!$B$12,Paramètres!$A$1:$I$89,3,0)*VLOOKUP('Données projet'!$B$12,Paramètres!$A$1:$I$89,5,0)</f>
        <v>-4.0702161641092972E-13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260.20517190557814</v>
      </c>
      <c r="CE155" s="59">
        <f t="shared" si="148"/>
        <v>307.22009971147133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0.29128038378475979</v>
      </c>
      <c r="CL155" s="21">
        <f>EXP(-LN(2)/25)*CL154+(1-EXP(-LN(2)/25))/(LN(2)/25)*Calculateur!CG155*Calculateur!CI155*VLOOKUP('Données projet'!$B$12,Paramètres!$A$1:$I$89,3,0)*0.475*44/12</f>
        <v>0.6968552389444248</v>
      </c>
      <c r="CM155" s="21">
        <f>EXP(-LN(2)/2)*CM154+(1-EXP(-LN(2)/2))/(LN(2)/2)*CG155*CJ155*VLOOKUP('Données projet'!$B$12,Paramètres!$A$1:$I$89,3,0)*0.475*44/12</f>
        <v>1.0425269264517162E-17</v>
      </c>
      <c r="CN155" s="22">
        <f t="shared" si="172"/>
        <v>0.98813562272918465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4.5474735088646412E-13</v>
      </c>
      <c r="CU155" s="17">
        <f>CT155*VLOOKUP('Données projet'!$B$13,Paramètres!$A$1:$I$89,3,0)*VLOOKUP('Données projet'!$B$13,Paramètres!$A$1:$I$89,5,0)</f>
        <v>4.6111381379887462E-13</v>
      </c>
      <c r="CV155" s="13">
        <f t="shared" si="173"/>
        <v>5.7981965206434308E-12</v>
      </c>
      <c r="CW155" s="20">
        <f t="shared" si="174"/>
        <v>1.0901632165820347E-11</v>
      </c>
      <c r="CX155" s="59">
        <f t="shared" si="122"/>
        <v>293.33333333334423</v>
      </c>
      <c r="CY155" s="59">
        <f ca="1">AVERAGE(OFFSET($CX$3,0,0,'Données projet'!$E$13+1,1))-AVERAGE(OFFSET($H$3,0,0,'Données projet'!$E$13+1,1))</f>
        <v>263.15518481854753</v>
      </c>
      <c r="CZ155" s="59">
        <f t="shared" si="150"/>
        <v>210.80755370263819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0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275.99999999999972</v>
      </c>
      <c r="DP155" s="17">
        <f>DO155*VLOOKUP('Données projet'!$B$14,Paramètres!$A$1:$I$89,3,0)*VLOOKUP('Données projet'!$B$14,Paramètres!$A$1:$I$89,5,0)</f>
        <v>223.8911999999998</v>
      </c>
      <c r="DQ155" s="13">
        <f t="shared" si="176"/>
        <v>54.95975389514858</v>
      </c>
      <c r="DR155" s="20">
        <f t="shared" si="177"/>
        <v>485.66541136738346</v>
      </c>
      <c r="DS155" s="59">
        <f t="shared" si="125"/>
        <v>778.99874470071677</v>
      </c>
      <c r="DT155" s="59">
        <f ca="1">AVERAGE(OFFSET($DS$3,0,0,'Données projet'!$E$14+1,1))-AVERAGE(OFFSET($H$3,0,0,'Données projet'!$E$14+1,1))</f>
        <v>203.21935660591021</v>
      </c>
      <c r="DU155" s="59">
        <f t="shared" si="152"/>
        <v>180.54762778843178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8.9497787599549586E-2</v>
      </c>
      <c r="EB155" s="21">
        <f>EXP(-LN(2)/25)*EB154+(1-EXP(-LN(2)/25))/(LN(2)/25)*Calculateur!DW155*Calculateur!DY155*VLOOKUP('Données projet'!$B$14,Paramètres!$A$1:$I$89,3,0)*0.475*44/12</f>
        <v>0.19709637997142165</v>
      </c>
      <c r="EC155" s="21">
        <f>EXP(-LN(2)/2)*EC154+(1-EXP(-LN(2)/2))/(LN(2)/2)*DW155*DZ155*VLOOKUP('Données projet'!$B$14,Paramètres!$A$1:$I$89,3,0)*0.475*44/12</f>
        <v>3.9303128982186742E-18</v>
      </c>
      <c r="ED155" s="22">
        <f t="shared" si="178"/>
        <v>0.28659416757097123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-5.1159076974727213E-13</v>
      </c>
      <c r="EK155" s="17">
        <f>EJ155*VLOOKUP('Données projet'!$B$15,Paramètres!$A$1:$I$89,3,0)*VLOOKUP('Données projet'!$B$15,Paramètres!$A$1:$I$89,5,0)</f>
        <v>-3.4317508834647017E-13</v>
      </c>
      <c r="EL155" s="13" t="e">
        <f t="shared" si="179"/>
        <v>#NUM!</v>
      </c>
      <c r="EM155" s="20" t="e">
        <f t="shared" si="180"/>
        <v>#NUM!</v>
      </c>
      <c r="EN155" s="59" t="e">
        <f t="shared" si="128"/>
        <v>#NUM!</v>
      </c>
      <c r="EO155" s="59">
        <f ca="1">AVERAGE(OFFSET($EN$3,0,0,'Données projet'!$E$15+1,1))-AVERAGE(OFFSET($H$3,0,0,'Données projet'!$E$15+1,1))</f>
        <v>207.93042467236967</v>
      </c>
      <c r="EP155" s="59">
        <f t="shared" si="154"/>
        <v>250.70954318710835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0.24558934319107167</v>
      </c>
      <c r="EW155" s="21">
        <f>EXP(-LN(2)/25)*EW154+(1-EXP(-LN(2)/25))/(LN(2)/25)*Calculateur!ER155*Calculateur!ET155*VLOOKUP('Données projet'!$B$15,Paramètres!$A$1:$I$89,3,0)*0.475*44/12</f>
        <v>0.58754461322765317</v>
      </c>
      <c r="EX155" s="21">
        <f>EXP(-LN(2)/2)*EX154+(1-EXP(-LN(2)/2))/(LN(2)/2)*ER155*EU155*VLOOKUP('Données projet'!$B$15,Paramètres!$A$1:$I$89,3,0)*0.475*44/12</f>
        <v>8.7899329092987828E-18</v>
      </c>
      <c r="EY155" s="22">
        <f t="shared" si="181"/>
        <v>0.83313395641872479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-2.2737367544323206E-13</v>
      </c>
      <c r="O156" s="13">
        <f>N156*VLOOKUP('Données projet'!$B$9,Paramètres!$A$1:$I$89,3,0)*VLOOKUP('Données projet'!$B$9,Paramètres!$A$1:$I$89,5,0)</f>
        <v>-1.2710188457276673E-13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255.5374979188561</v>
      </c>
      <c r="T156" s="59">
        <f t="shared" si="142"/>
        <v>343.10418468620901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0.27043245266372795</v>
      </c>
      <c r="AA156" s="21">
        <f>EXP(-LN(2)/25)*AA155+(1-EXP(-LN(2)/25))/(LN(2)/25)*Calculateur!V156*Calculateur!X156*VLOOKUP('Données projet'!$B$9,Paramètres!$A$1:$I$89,3,0)*0.475*44/12</f>
        <v>0.52719630727274402</v>
      </c>
      <c r="AB156" s="21">
        <f>EXP(-LN(2)/2)*AB155+(1-EXP(-LN(2)/2))/(LN(2)/2)*V156*Y156*VLOOKUP('Données projet'!$B$9,Paramètres!$A$1:$I$89,3,0)*0.475*44/12</f>
        <v>5.1906645803246857E-19</v>
      </c>
      <c r="AC156" s="22">
        <f t="shared" si="163"/>
        <v>0.79762875993647198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1.5961632016114892E-13</v>
      </c>
      <c r="AK156" s="13">
        <f t="shared" si="164"/>
        <v>2.2708641912150958E-12</v>
      </c>
      <c r="AL156" s="20">
        <f t="shared" si="165"/>
        <v>4.2330868906469593E-12</v>
      </c>
      <c r="AM156" s="59">
        <f t="shared" si="113"/>
        <v>293.33333333333752</v>
      </c>
      <c r="AN156" s="59">
        <f ca="1">AVERAGE(OFFSET($AM$3,0,0,'Données projet'!$E$10+1,1))-AVERAGE(OFFSET($H$3,0,0,'Données projet'!$E$10+1,1))</f>
        <v>158.58786357608489</v>
      </c>
      <c r="AO156" s="59">
        <f t="shared" si="144"/>
        <v>163.20074068819849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553.99999999999955</v>
      </c>
      <c r="BE156" s="13">
        <f>BD156*VLOOKUP('Données projet'!$B$11,Paramètres!$A$1:$I$89,3,0)*VLOOKUP('Données projet'!$B$11,Paramètres!$A$1:$I$89,5,0)</f>
        <v>331.29199999999975</v>
      </c>
      <c r="BF156" s="13">
        <f t="shared" si="167"/>
        <v>77.698110787752</v>
      </c>
      <c r="BG156" s="20">
        <f t="shared" si="168"/>
        <v>712.32444295533423</v>
      </c>
      <c r="BH156" s="59">
        <f t="shared" si="116"/>
        <v>1005.6577762886675</v>
      </c>
      <c r="BI156" s="59">
        <f ca="1">AVERAGE(OFFSET($BH$3,0,0,'Données projet'!$E$11+1,1))-AVERAGE(OFFSET($H$3,0,0,'Données projet'!$E$11+1,1))</f>
        <v>316.58509520829671</v>
      </c>
      <c r="BJ156" s="59">
        <f t="shared" si="146"/>
        <v>240.71332110643596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0.22181708288343341</v>
      </c>
      <c r="BQ156" s="21">
        <f>EXP(-LN(2)/25)*BQ155+(1-EXP(-LN(2)/25))/(LN(2)/25)*Calculateur!BL156*Calculateur!BN156*VLOOKUP('Données projet'!$B$11,Paramètres!$A$1:$I$89,3,0)*0.475*44/12</f>
        <v>0.50432731205120762</v>
      </c>
      <c r="BR156" s="21">
        <f>EXP(-LN(2)/2)*BR155+(1-EXP(-LN(2)/2))/(LN(2)/2)*BL156*BO156*VLOOKUP('Données projet'!$B$11,Paramètres!$A$1:$I$89,3,0)*0.475*44/12</f>
        <v>6.7278900591610193E-18</v>
      </c>
      <c r="BS156" s="22">
        <f t="shared" si="169"/>
        <v>0.726144394934641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-5.1159076974727213E-13</v>
      </c>
      <c r="BZ156" s="13">
        <f>BY156*VLOOKUP('Données projet'!$B$12,Paramètres!$A$1:$I$89,3,0)*VLOOKUP('Données projet'!$B$12,Paramètres!$A$1:$I$89,5,0)</f>
        <v>-4.0702161641092972E-13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260.20517190557814</v>
      </c>
      <c r="CE156" s="59">
        <f t="shared" si="148"/>
        <v>307.22009971147133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0.28556855312223195</v>
      </c>
      <c r="CL156" s="21">
        <f>EXP(-LN(2)/25)*CL155+(1-EXP(-LN(2)/25))/(LN(2)/25)*Calculateur!CG156*Calculateur!CI156*VLOOKUP('Données projet'!$B$12,Paramètres!$A$1:$I$89,3,0)*0.475*44/12</f>
        <v>0.6777996957894652</v>
      </c>
      <c r="CM156" s="21">
        <f>EXP(-LN(2)/2)*CM155+(1-EXP(-LN(2)/2))/(LN(2)/2)*CG156*CJ156*VLOOKUP('Données projet'!$B$12,Paramètres!$A$1:$I$89,3,0)*0.475*44/12</f>
        <v>7.3717785926357759E-18</v>
      </c>
      <c r="CN156" s="22">
        <f t="shared" si="172"/>
        <v>0.96336824891169714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4.5474735088646412E-13</v>
      </c>
      <c r="CU156" s="17">
        <f>CT156*VLOOKUP('Données projet'!$B$13,Paramètres!$A$1:$I$89,3,0)*VLOOKUP('Données projet'!$B$13,Paramètres!$A$1:$I$89,5,0)</f>
        <v>4.6111381379887462E-13</v>
      </c>
      <c r="CV156" s="13">
        <f t="shared" si="173"/>
        <v>5.7981965206434308E-12</v>
      </c>
      <c r="CW156" s="20">
        <f t="shared" si="174"/>
        <v>1.0901632165820347E-11</v>
      </c>
      <c r="CX156" s="59">
        <f t="shared" si="122"/>
        <v>293.33333333334423</v>
      </c>
      <c r="CY156" s="59">
        <f ca="1">AVERAGE(OFFSET($CX$3,0,0,'Données projet'!$E$13+1,1))-AVERAGE(OFFSET($H$3,0,0,'Données projet'!$E$13+1,1))</f>
        <v>263.15518481854753</v>
      </c>
      <c r="CZ156" s="59">
        <f t="shared" si="150"/>
        <v>210.80755370263819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0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275.99999999999972</v>
      </c>
      <c r="DP156" s="17">
        <f>DO156*VLOOKUP('Données projet'!$B$14,Paramètres!$A$1:$I$89,3,0)*VLOOKUP('Données projet'!$B$14,Paramètres!$A$1:$I$89,5,0)</f>
        <v>223.8911999999998</v>
      </c>
      <c r="DQ156" s="13">
        <f t="shared" si="176"/>
        <v>54.95975389514858</v>
      </c>
      <c r="DR156" s="20">
        <f t="shared" si="177"/>
        <v>485.66541136738346</v>
      </c>
      <c r="DS156" s="59">
        <f t="shared" si="125"/>
        <v>778.99874470071677</v>
      </c>
      <c r="DT156" s="59">
        <f ca="1">AVERAGE(OFFSET($DS$3,0,0,'Données projet'!$E$14+1,1))-AVERAGE(OFFSET($H$3,0,0,'Données projet'!$E$14+1,1))</f>
        <v>203.21935660591021</v>
      </c>
      <c r="DU156" s="59">
        <f t="shared" si="152"/>
        <v>180.54762778843178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8.7742790572982718E-2</v>
      </c>
      <c r="EB156" s="21">
        <f>EXP(-LN(2)/25)*EB155+(1-EXP(-LN(2)/25))/(LN(2)/25)*Calculateur!DW156*Calculateur!DY156*VLOOKUP('Données projet'!$B$14,Paramètres!$A$1:$I$89,3,0)*0.475*44/12</f>
        <v>0.19170676909625498</v>
      </c>
      <c r="EC156" s="21">
        <f>EXP(-LN(2)/2)*EC155+(1-EXP(-LN(2)/2))/(LN(2)/2)*DW156*DZ156*VLOOKUP('Données projet'!$B$14,Paramètres!$A$1:$I$89,3,0)*0.475*44/12</f>
        <v>2.7791509025153776E-18</v>
      </c>
      <c r="ED156" s="22">
        <f t="shared" si="178"/>
        <v>0.27944955966923768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-5.1159076974727213E-13</v>
      </c>
      <c r="EK156" s="17">
        <f>EJ156*VLOOKUP('Données projet'!$B$15,Paramètres!$A$1:$I$89,3,0)*VLOOKUP('Données projet'!$B$15,Paramètres!$A$1:$I$89,5,0)</f>
        <v>-3.4317508834647017E-13</v>
      </c>
      <c r="EL156" s="13" t="e">
        <f t="shared" si="179"/>
        <v>#NUM!</v>
      </c>
      <c r="EM156" s="20" t="e">
        <f t="shared" si="180"/>
        <v>#NUM!</v>
      </c>
      <c r="EN156" s="59" t="e">
        <f t="shared" si="128"/>
        <v>#NUM!</v>
      </c>
      <c r="EO156" s="59">
        <f ca="1">AVERAGE(OFFSET($EN$3,0,0,'Données projet'!$E$15+1,1))-AVERAGE(OFFSET($H$3,0,0,'Données projet'!$E$15+1,1))</f>
        <v>207.93042467236967</v>
      </c>
      <c r="EP156" s="59">
        <f t="shared" si="154"/>
        <v>250.70954318710835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0.24077348596580311</v>
      </c>
      <c r="EW156" s="21">
        <f>EXP(-LN(2)/25)*EW155+(1-EXP(-LN(2)/25))/(LN(2)/25)*Calculateur!ER156*Calculateur!ET156*VLOOKUP('Données projet'!$B$15,Paramètres!$A$1:$I$89,3,0)*0.475*44/12</f>
        <v>0.57147817488131458</v>
      </c>
      <c r="EX156" s="21">
        <f>EXP(-LN(2)/2)*EX155+(1-EXP(-LN(2)/2))/(LN(2)/2)*ER156*EU156*VLOOKUP('Données projet'!$B$15,Paramètres!$A$1:$I$89,3,0)*0.475*44/12</f>
        <v>6.2154211663399676E-18</v>
      </c>
      <c r="EY156" s="22">
        <f t="shared" si="181"/>
        <v>0.81225166084711775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-2.2737367544323206E-13</v>
      </c>
      <c r="O157" s="13">
        <f>N157*VLOOKUP('Données projet'!$B$9,Paramètres!$A$1:$I$89,3,0)*VLOOKUP('Données projet'!$B$9,Paramètres!$A$1:$I$89,5,0)</f>
        <v>-1.2710188457276673E-13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255.5374979188561</v>
      </c>
      <c r="T157" s="59">
        <f t="shared" si="142"/>
        <v>343.10418468620901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0.26512943721450116</v>
      </c>
      <c r="AA157" s="21">
        <f>EXP(-LN(2)/25)*AA156+(1-EXP(-LN(2)/25))/(LN(2)/25)*Calculateur!V157*Calculateur!X157*VLOOKUP('Données projet'!$B$9,Paramètres!$A$1:$I$89,3,0)*0.475*44/12</f>
        <v>0.51278009652632195</v>
      </c>
      <c r="AB157" s="21">
        <f>EXP(-LN(2)/2)*AB156+(1-EXP(-LN(2)/2))/(LN(2)/2)*V157*Y157*VLOOKUP('Données projet'!$B$9,Paramètres!$A$1:$I$89,3,0)*0.475*44/12</f>
        <v>3.6703541236124101E-19</v>
      </c>
      <c r="AC157" s="22">
        <f t="shared" si="163"/>
        <v>0.77790953374082306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1.5961632016114892E-13</v>
      </c>
      <c r="AK157" s="13">
        <f t="shared" si="164"/>
        <v>2.2708641912150958E-12</v>
      </c>
      <c r="AL157" s="20">
        <f t="shared" si="165"/>
        <v>4.2330868906469593E-12</v>
      </c>
      <c r="AM157" s="59">
        <f t="shared" si="113"/>
        <v>293.33333333333752</v>
      </c>
      <c r="AN157" s="59">
        <f ca="1">AVERAGE(OFFSET($AM$3,0,0,'Données projet'!$E$10+1,1))-AVERAGE(OFFSET($H$3,0,0,'Données projet'!$E$10+1,1))</f>
        <v>158.58786357608489</v>
      </c>
      <c r="AO157" s="59">
        <f t="shared" si="144"/>
        <v>163.20074068819849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553.99999999999955</v>
      </c>
      <c r="BE157" s="13">
        <f>BD157*VLOOKUP('Données projet'!$B$11,Paramètres!$A$1:$I$89,3,0)*VLOOKUP('Données projet'!$B$11,Paramètres!$A$1:$I$89,5,0)</f>
        <v>331.29199999999975</v>
      </c>
      <c r="BF157" s="13">
        <f t="shared" si="167"/>
        <v>77.698110787752</v>
      </c>
      <c r="BG157" s="20">
        <f t="shared" si="168"/>
        <v>712.32444295533423</v>
      </c>
      <c r="BH157" s="59">
        <f t="shared" si="116"/>
        <v>1005.6577762886675</v>
      </c>
      <c r="BI157" s="59">
        <f ca="1">AVERAGE(OFFSET($BH$3,0,0,'Données projet'!$E$11+1,1))-AVERAGE(OFFSET($H$3,0,0,'Données projet'!$E$11+1,1))</f>
        <v>316.58509520829671</v>
      </c>
      <c r="BJ157" s="59">
        <f t="shared" si="146"/>
        <v>240.71332110643596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0.21746738518315056</v>
      </c>
      <c r="BQ157" s="21">
        <f>EXP(-LN(2)/25)*BQ156+(1-EXP(-LN(2)/25))/(LN(2)/25)*Calculateur!BL157*Calculateur!BN157*VLOOKUP('Données projet'!$B$11,Paramètres!$A$1:$I$89,3,0)*0.475*44/12</f>
        <v>0.49053645518174666</v>
      </c>
      <c r="BR157" s="21">
        <f>EXP(-LN(2)/2)*BR156+(1-EXP(-LN(2)/2))/(LN(2)/2)*BL157*BO157*VLOOKUP('Données projet'!$B$11,Paramètres!$A$1:$I$89,3,0)*0.475*44/12</f>
        <v>4.7573366839103191E-18</v>
      </c>
      <c r="BS157" s="22">
        <f t="shared" si="169"/>
        <v>0.70800384036489716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-5.1159076974727213E-13</v>
      </c>
      <c r="BZ157" s="13">
        <f>BY157*VLOOKUP('Données projet'!$B$12,Paramètres!$A$1:$I$89,3,0)*VLOOKUP('Données projet'!$B$12,Paramètres!$A$1:$I$89,5,0)</f>
        <v>-4.0702161641092972E-13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260.20517190557814</v>
      </c>
      <c r="CE157" s="59">
        <f t="shared" si="148"/>
        <v>307.22009971147133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0.27996872797512357</v>
      </c>
      <c r="CL157" s="21">
        <f>EXP(-LN(2)/25)*CL156+(1-EXP(-LN(2)/25))/(LN(2)/25)*Calculateur!CG157*Calculateur!CI157*VLOOKUP('Données projet'!$B$12,Paramètres!$A$1:$I$89,3,0)*0.475*44/12</f>
        <v>0.65926522746416538</v>
      </c>
      <c r="CM157" s="21">
        <f>EXP(-LN(2)/2)*CM156+(1-EXP(-LN(2)/2))/(LN(2)/2)*CG157*CJ157*VLOOKUP('Données projet'!$B$12,Paramètres!$A$1:$I$89,3,0)*0.475*44/12</f>
        <v>5.2126346322585809E-18</v>
      </c>
      <c r="CN157" s="22">
        <f t="shared" si="172"/>
        <v>0.939233955439289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4.5474735088646412E-13</v>
      </c>
      <c r="CU157" s="17">
        <f>CT157*VLOOKUP('Données projet'!$B$13,Paramètres!$A$1:$I$89,3,0)*VLOOKUP('Données projet'!$B$13,Paramètres!$A$1:$I$89,5,0)</f>
        <v>4.6111381379887462E-13</v>
      </c>
      <c r="CV157" s="13">
        <f t="shared" si="173"/>
        <v>5.7981965206434308E-12</v>
      </c>
      <c r="CW157" s="20">
        <f t="shared" si="174"/>
        <v>1.0901632165820347E-11</v>
      </c>
      <c r="CX157" s="59">
        <f t="shared" si="122"/>
        <v>293.33333333334423</v>
      </c>
      <c r="CY157" s="59">
        <f ca="1">AVERAGE(OFFSET($CX$3,0,0,'Données projet'!$E$13+1,1))-AVERAGE(OFFSET($H$3,0,0,'Données projet'!$E$13+1,1))</f>
        <v>263.15518481854753</v>
      </c>
      <c r="CZ157" s="59">
        <f t="shared" si="150"/>
        <v>210.80755370263819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0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275.99999999999972</v>
      </c>
      <c r="DP157" s="17">
        <f>DO157*VLOOKUP('Données projet'!$B$14,Paramètres!$A$1:$I$89,3,0)*VLOOKUP('Données projet'!$B$14,Paramètres!$A$1:$I$89,5,0)</f>
        <v>223.8911999999998</v>
      </c>
      <c r="DQ157" s="13">
        <f t="shared" si="176"/>
        <v>54.95975389514858</v>
      </c>
      <c r="DR157" s="20">
        <f t="shared" si="177"/>
        <v>485.66541136738346</v>
      </c>
      <c r="DS157" s="59">
        <f t="shared" si="125"/>
        <v>778.99874470071677</v>
      </c>
      <c r="DT157" s="59">
        <f ca="1">AVERAGE(OFFSET($DS$3,0,0,'Données projet'!$E$14+1,1))-AVERAGE(OFFSET($H$3,0,0,'Données projet'!$E$14+1,1))</f>
        <v>203.21935660591021</v>
      </c>
      <c r="DU157" s="59">
        <f t="shared" si="152"/>
        <v>180.54762778843178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8.6022207967664327E-2</v>
      </c>
      <c r="EB157" s="21">
        <f>EXP(-LN(2)/25)*EB156+(1-EXP(-LN(2)/25))/(LN(2)/25)*Calculateur!DW157*Calculateur!DY157*VLOOKUP('Données projet'!$B$14,Paramètres!$A$1:$I$89,3,0)*0.475*44/12</f>
        <v>0.18646453741389704</v>
      </c>
      <c r="EC157" s="21">
        <f>EXP(-LN(2)/2)*EC156+(1-EXP(-LN(2)/2))/(LN(2)/2)*DW157*DZ157*VLOOKUP('Données projet'!$B$14,Paramètres!$A$1:$I$89,3,0)*0.475*44/12</f>
        <v>1.9651564491093371E-18</v>
      </c>
      <c r="ED157" s="22">
        <f t="shared" si="178"/>
        <v>0.27248674538156137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-5.1159076974727213E-13</v>
      </c>
      <c r="EK157" s="17">
        <f>EJ157*VLOOKUP('Données projet'!$B$15,Paramètres!$A$1:$I$89,3,0)*VLOOKUP('Données projet'!$B$15,Paramètres!$A$1:$I$89,5,0)</f>
        <v>-3.4317508834647017E-13</v>
      </c>
      <c r="EL157" s="13" t="e">
        <f t="shared" si="179"/>
        <v>#NUM!</v>
      </c>
      <c r="EM157" s="20" t="e">
        <f t="shared" si="180"/>
        <v>#NUM!</v>
      </c>
      <c r="EN157" s="59" t="e">
        <f t="shared" si="128"/>
        <v>#NUM!</v>
      </c>
      <c r="EO157" s="59">
        <f ca="1">AVERAGE(OFFSET($EN$3,0,0,'Données projet'!$E$15+1,1))-AVERAGE(OFFSET($H$3,0,0,'Données projet'!$E$15+1,1))</f>
        <v>207.93042467236967</v>
      </c>
      <c r="EP157" s="59">
        <f t="shared" si="154"/>
        <v>250.70954318710835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0.2360520647633392</v>
      </c>
      <c r="EW157" s="21">
        <f>EXP(-LN(2)/25)*EW156+(1-EXP(-LN(2)/25))/(LN(2)/25)*Calculateur!ER157*Calculateur!ET157*VLOOKUP('Données projet'!$B$15,Paramètres!$A$1:$I$89,3,0)*0.475*44/12</f>
        <v>0.55585107413645396</v>
      </c>
      <c r="EX157" s="21">
        <f>EXP(-LN(2)/2)*EX156+(1-EXP(-LN(2)/2))/(LN(2)/2)*ER157*EU157*VLOOKUP('Données projet'!$B$15,Paramètres!$A$1:$I$89,3,0)*0.475*44/12</f>
        <v>4.3949664546493914E-18</v>
      </c>
      <c r="EY157" s="22">
        <f t="shared" si="181"/>
        <v>0.79190313889979314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-2.2737367544323206E-13</v>
      </c>
      <c r="O158" s="13">
        <f>N158*VLOOKUP('Données projet'!$B$9,Paramètres!$A$1:$I$89,3,0)*VLOOKUP('Données projet'!$B$9,Paramètres!$A$1:$I$89,5,0)</f>
        <v>-1.2710188457276673E-13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255.5374979188561</v>
      </c>
      <c r="T158" s="59">
        <f t="shared" si="142"/>
        <v>343.10418468620901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0.25993041066371364</v>
      </c>
      <c r="AA158" s="21">
        <f>EXP(-LN(2)/25)*AA157+(1-EXP(-LN(2)/25))/(LN(2)/25)*Calculateur!V158*Calculateur!X158*VLOOKUP('Données projet'!$B$9,Paramètres!$A$1:$I$89,3,0)*0.475*44/12</f>
        <v>0.49875809782087638</v>
      </c>
      <c r="AB158" s="21">
        <f>EXP(-LN(2)/2)*AB157+(1-EXP(-LN(2)/2))/(LN(2)/2)*V158*Y158*VLOOKUP('Données projet'!$B$9,Paramètres!$A$1:$I$89,3,0)*0.475*44/12</f>
        <v>2.5953322901623428E-19</v>
      </c>
      <c r="AC158" s="22">
        <f t="shared" si="163"/>
        <v>0.75868850848459002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1.5961632016114892E-13</v>
      </c>
      <c r="AK158" s="13">
        <f t="shared" si="164"/>
        <v>2.2708641912150958E-12</v>
      </c>
      <c r="AL158" s="20">
        <f t="shared" si="165"/>
        <v>4.2330868906469593E-12</v>
      </c>
      <c r="AM158" s="59">
        <f t="shared" si="113"/>
        <v>293.33333333333752</v>
      </c>
      <c r="AN158" s="59">
        <f ca="1">AVERAGE(OFFSET($AM$3,0,0,'Données projet'!$E$10+1,1))-AVERAGE(OFFSET($H$3,0,0,'Données projet'!$E$10+1,1))</f>
        <v>158.58786357608489</v>
      </c>
      <c r="AO158" s="59">
        <f t="shared" si="144"/>
        <v>163.20074068819849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553.99999999999955</v>
      </c>
      <c r="BE158" s="13">
        <f>BD158*VLOOKUP('Données projet'!$B$11,Paramètres!$A$1:$I$89,3,0)*VLOOKUP('Données projet'!$B$11,Paramètres!$A$1:$I$89,5,0)</f>
        <v>331.29199999999975</v>
      </c>
      <c r="BF158" s="13">
        <f t="shared" si="167"/>
        <v>77.698110787752</v>
      </c>
      <c r="BG158" s="20">
        <f t="shared" si="168"/>
        <v>712.32444295533423</v>
      </c>
      <c r="BH158" s="59">
        <f t="shared" si="116"/>
        <v>1005.6577762886675</v>
      </c>
      <c r="BI158" s="59">
        <f ca="1">AVERAGE(OFFSET($BH$3,0,0,'Données projet'!$E$11+1,1))-AVERAGE(OFFSET($H$3,0,0,'Données projet'!$E$11+1,1))</f>
        <v>316.58509520829671</v>
      </c>
      <c r="BJ158" s="59">
        <f t="shared" si="146"/>
        <v>240.71332110643596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0.21320298240171665</v>
      </c>
      <c r="BQ158" s="21">
        <f>EXP(-LN(2)/25)*BQ157+(1-EXP(-LN(2)/25))/(LN(2)/25)*Calculateur!BL158*Calculateur!BN158*VLOOKUP('Données projet'!$B$11,Paramètres!$A$1:$I$89,3,0)*0.475*44/12</f>
        <v>0.47712271001861073</v>
      </c>
      <c r="BR158" s="21">
        <f>EXP(-LN(2)/2)*BR157+(1-EXP(-LN(2)/2))/(LN(2)/2)*BL158*BO158*VLOOKUP('Données projet'!$B$11,Paramètres!$A$1:$I$89,3,0)*0.475*44/12</f>
        <v>3.3639450295805096E-18</v>
      </c>
      <c r="BS158" s="22">
        <f t="shared" si="169"/>
        <v>0.69032569242032737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-5.1159076974727213E-13</v>
      </c>
      <c r="BZ158" s="13">
        <f>BY158*VLOOKUP('Données projet'!$B$12,Paramètres!$A$1:$I$89,3,0)*VLOOKUP('Données projet'!$B$12,Paramètres!$A$1:$I$89,5,0)</f>
        <v>-4.0702161641092972E-13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260.20517190557814</v>
      </c>
      <c r="CE158" s="59">
        <f t="shared" si="148"/>
        <v>307.22009971147133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0.27447871198359391</v>
      </c>
      <c r="CL158" s="21">
        <f>EXP(-LN(2)/25)*CL157+(1-EXP(-LN(2)/25))/(LN(2)/25)*Calculateur!CG158*Calculateur!CI158*VLOOKUP('Données projet'!$B$12,Paramètres!$A$1:$I$89,3,0)*0.475*44/12</f>
        <v>0.64123758514990625</v>
      </c>
      <c r="CM158" s="21">
        <f>EXP(-LN(2)/2)*CM157+(1-EXP(-LN(2)/2))/(LN(2)/2)*CG158*CJ158*VLOOKUP('Données projet'!$B$12,Paramètres!$A$1:$I$89,3,0)*0.475*44/12</f>
        <v>3.6858892963178879E-18</v>
      </c>
      <c r="CN158" s="22">
        <f t="shared" si="172"/>
        <v>0.91571629713350022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4.5474735088646412E-13</v>
      </c>
      <c r="CU158" s="17">
        <f>CT158*VLOOKUP('Données projet'!$B$13,Paramètres!$A$1:$I$89,3,0)*VLOOKUP('Données projet'!$B$13,Paramètres!$A$1:$I$89,5,0)</f>
        <v>4.6111381379887462E-13</v>
      </c>
      <c r="CV158" s="13">
        <f t="shared" si="173"/>
        <v>5.7981965206434308E-12</v>
      </c>
      <c r="CW158" s="20">
        <f t="shared" si="174"/>
        <v>1.0901632165820347E-11</v>
      </c>
      <c r="CX158" s="59">
        <f t="shared" si="122"/>
        <v>293.33333333334423</v>
      </c>
      <c r="CY158" s="59">
        <f ca="1">AVERAGE(OFFSET($CX$3,0,0,'Données projet'!$E$13+1,1))-AVERAGE(OFFSET($H$3,0,0,'Données projet'!$E$13+1,1))</f>
        <v>263.15518481854753</v>
      </c>
      <c r="CZ158" s="59">
        <f t="shared" si="150"/>
        <v>210.80755370263819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0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275.99999999999972</v>
      </c>
      <c r="DP158" s="17">
        <f>DO158*VLOOKUP('Données projet'!$B$14,Paramètres!$A$1:$I$89,3,0)*VLOOKUP('Données projet'!$B$14,Paramètres!$A$1:$I$89,5,0)</f>
        <v>223.8911999999998</v>
      </c>
      <c r="DQ158" s="13">
        <f t="shared" si="176"/>
        <v>54.95975389514858</v>
      </c>
      <c r="DR158" s="20">
        <f t="shared" si="177"/>
        <v>485.66541136738346</v>
      </c>
      <c r="DS158" s="59">
        <f t="shared" si="125"/>
        <v>778.99874470071677</v>
      </c>
      <c r="DT158" s="59">
        <f ca="1">AVERAGE(OFFSET($DS$3,0,0,'Données projet'!$E$14+1,1))-AVERAGE(OFFSET($H$3,0,0,'Données projet'!$E$14+1,1))</f>
        <v>203.21935660591021</v>
      </c>
      <c r="DU158" s="59">
        <f t="shared" si="152"/>
        <v>180.54762778843178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8.4335364937784471E-2</v>
      </c>
      <c r="EB158" s="21">
        <f>EXP(-LN(2)/25)*EB157+(1-EXP(-LN(2)/25))/(LN(2)/25)*Calculateur!DW158*Calculateur!DY158*VLOOKUP('Données projet'!$B$14,Paramètres!$A$1:$I$89,3,0)*0.475*44/12</f>
        <v>0.18136565483257017</v>
      </c>
      <c r="EC158" s="21">
        <f>EXP(-LN(2)/2)*EC157+(1-EXP(-LN(2)/2))/(LN(2)/2)*DW158*DZ158*VLOOKUP('Données projet'!$B$14,Paramètres!$A$1:$I$89,3,0)*0.475*44/12</f>
        <v>1.3895754512576888E-18</v>
      </c>
      <c r="ED158" s="22">
        <f t="shared" si="178"/>
        <v>0.26570101977035465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-5.1159076974727213E-13</v>
      </c>
      <c r="EK158" s="17">
        <f>EJ158*VLOOKUP('Données projet'!$B$15,Paramètres!$A$1:$I$89,3,0)*VLOOKUP('Données projet'!$B$15,Paramètres!$A$1:$I$89,5,0)</f>
        <v>-3.4317508834647017E-13</v>
      </c>
      <c r="EL158" s="13" t="e">
        <f t="shared" si="179"/>
        <v>#NUM!</v>
      </c>
      <c r="EM158" s="20" t="e">
        <f t="shared" si="180"/>
        <v>#NUM!</v>
      </c>
      <c r="EN158" s="59" t="e">
        <f t="shared" si="128"/>
        <v>#NUM!</v>
      </c>
      <c r="EO158" s="59">
        <f ca="1">AVERAGE(OFFSET($EN$3,0,0,'Données projet'!$E$15+1,1))-AVERAGE(OFFSET($H$3,0,0,'Données projet'!$E$15+1,1))</f>
        <v>207.93042467236967</v>
      </c>
      <c r="EP158" s="59">
        <f t="shared" si="154"/>
        <v>250.70954318710835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0.23142322775087301</v>
      </c>
      <c r="EW158" s="21">
        <f>EXP(-LN(2)/25)*EW157+(1-EXP(-LN(2)/25))/(LN(2)/25)*Calculateur!ER158*Calculateur!ET158*VLOOKUP('Données projet'!$B$15,Paramètres!$A$1:$I$89,3,0)*0.475*44/12</f>
        <v>0.54065129728325501</v>
      </c>
      <c r="EX158" s="21">
        <f>EXP(-LN(2)/2)*EX157+(1-EXP(-LN(2)/2))/(LN(2)/2)*ER158*EU158*VLOOKUP('Données projet'!$B$15,Paramètres!$A$1:$I$89,3,0)*0.475*44/12</f>
        <v>3.1077105831699838E-18</v>
      </c>
      <c r="EY158" s="22">
        <f t="shared" si="181"/>
        <v>0.77207452503412799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-2.2737367544323206E-13</v>
      </c>
      <c r="O159" s="13">
        <f>N159*VLOOKUP('Données projet'!$B$9,Paramètres!$A$1:$I$89,3,0)*VLOOKUP('Données projet'!$B$9,Paramètres!$A$1:$I$89,5,0)</f>
        <v>-1.2710188457276673E-13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255.5374979188561</v>
      </c>
      <c r="T159" s="59">
        <f t="shared" si="142"/>
        <v>343.10418468620901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0.25483333385249402</v>
      </c>
      <c r="AA159" s="21">
        <f>EXP(-LN(2)/25)*AA158+(1-EXP(-LN(2)/25))/(LN(2)/25)*Calculateur!V159*Calculateur!X159*VLOOKUP('Données projet'!$B$9,Paramètres!$A$1:$I$89,3,0)*0.475*44/12</f>
        <v>0.48511953140741609</v>
      </c>
      <c r="AB159" s="21">
        <f>EXP(-LN(2)/2)*AB158+(1-EXP(-LN(2)/2))/(LN(2)/2)*V159*Y159*VLOOKUP('Données projet'!$B$9,Paramètres!$A$1:$I$89,3,0)*0.475*44/12</f>
        <v>1.8351770618062051E-19</v>
      </c>
      <c r="AC159" s="22">
        <f t="shared" si="163"/>
        <v>0.73995286525991011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1.5961632016114892E-13</v>
      </c>
      <c r="AK159" s="13">
        <f t="shared" si="164"/>
        <v>2.2708641912150958E-12</v>
      </c>
      <c r="AL159" s="20">
        <f t="shared" si="165"/>
        <v>4.2330868906469593E-12</v>
      </c>
      <c r="AM159" s="59">
        <f t="shared" si="113"/>
        <v>293.33333333333752</v>
      </c>
      <c r="AN159" s="59">
        <f ca="1">AVERAGE(OFFSET($AM$3,0,0,'Données projet'!$E$10+1,1))-AVERAGE(OFFSET($H$3,0,0,'Données projet'!$E$10+1,1))</f>
        <v>158.58786357608489</v>
      </c>
      <c r="AO159" s="59">
        <f t="shared" si="144"/>
        <v>163.20074068819849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553.99999999999955</v>
      </c>
      <c r="BE159" s="13">
        <f>BD159*VLOOKUP('Données projet'!$B$11,Paramètres!$A$1:$I$89,3,0)*VLOOKUP('Données projet'!$B$11,Paramètres!$A$1:$I$89,5,0)</f>
        <v>331.29199999999975</v>
      </c>
      <c r="BF159" s="13">
        <f t="shared" si="167"/>
        <v>77.698110787752</v>
      </c>
      <c r="BG159" s="20">
        <f t="shared" si="168"/>
        <v>712.32444295533423</v>
      </c>
      <c r="BH159" s="59">
        <f t="shared" si="116"/>
        <v>1005.6577762886675</v>
      </c>
      <c r="BI159" s="59">
        <f ca="1">AVERAGE(OFFSET($BH$3,0,0,'Données projet'!$E$11+1,1))-AVERAGE(OFFSET($H$3,0,0,'Données projet'!$E$11+1,1))</f>
        <v>316.58509520829671</v>
      </c>
      <c r="BJ159" s="59">
        <f t="shared" si="146"/>
        <v>240.71332110643596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0.20902220195779778</v>
      </c>
      <c r="BQ159" s="21">
        <f>EXP(-LN(2)/25)*BQ158+(1-EXP(-LN(2)/25))/(LN(2)/25)*Calculateur!BL159*Calculateur!BN159*VLOOKUP('Données projet'!$B$11,Paramètres!$A$1:$I$89,3,0)*0.475*44/12</f>
        <v>0.46407576442235898</v>
      </c>
      <c r="BR159" s="21">
        <f>EXP(-LN(2)/2)*BR158+(1-EXP(-LN(2)/2))/(LN(2)/2)*BL159*BO159*VLOOKUP('Données projet'!$B$11,Paramètres!$A$1:$I$89,3,0)*0.475*44/12</f>
        <v>2.3786683419551595E-18</v>
      </c>
      <c r="BS159" s="22">
        <f t="shared" si="169"/>
        <v>0.67309796638015673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-5.1159076974727213E-13</v>
      </c>
      <c r="BZ159" s="13">
        <f>BY159*VLOOKUP('Données projet'!$B$12,Paramètres!$A$1:$I$89,3,0)*VLOOKUP('Données projet'!$B$12,Paramètres!$A$1:$I$89,5,0)</f>
        <v>-4.0702161641092972E-13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260.20517190557814</v>
      </c>
      <c r="CE159" s="59">
        <f t="shared" si="148"/>
        <v>307.22009971147133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0.26909635185707903</v>
      </c>
      <c r="CL159" s="21">
        <f>EXP(-LN(2)/25)*CL158+(1-EXP(-LN(2)/25))/(LN(2)/25)*Calculateur!CG159*Calculateur!CI159*VLOOKUP('Données projet'!$B$12,Paramètres!$A$1:$I$89,3,0)*0.475*44/12</f>
        <v>0.62370290966276298</v>
      </c>
      <c r="CM159" s="21">
        <f>EXP(-LN(2)/2)*CM158+(1-EXP(-LN(2)/2))/(LN(2)/2)*CG159*CJ159*VLOOKUP('Données projet'!$B$12,Paramètres!$A$1:$I$89,3,0)*0.475*44/12</f>
        <v>2.6063173161292904E-18</v>
      </c>
      <c r="CN159" s="22">
        <f t="shared" si="172"/>
        <v>0.89279926151984201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4.5474735088646412E-13</v>
      </c>
      <c r="CU159" s="17">
        <f>CT159*VLOOKUP('Données projet'!$B$13,Paramètres!$A$1:$I$89,3,0)*VLOOKUP('Données projet'!$B$13,Paramètres!$A$1:$I$89,5,0)</f>
        <v>4.6111381379887462E-13</v>
      </c>
      <c r="CV159" s="13">
        <f t="shared" si="173"/>
        <v>5.7981965206434308E-12</v>
      </c>
      <c r="CW159" s="20">
        <f t="shared" si="174"/>
        <v>1.0901632165820347E-11</v>
      </c>
      <c r="CX159" s="59">
        <f t="shared" si="122"/>
        <v>293.33333333334423</v>
      </c>
      <c r="CY159" s="59">
        <f ca="1">AVERAGE(OFFSET($CX$3,0,0,'Données projet'!$E$13+1,1))-AVERAGE(OFFSET($H$3,0,0,'Données projet'!$E$13+1,1))</f>
        <v>263.15518481854753</v>
      </c>
      <c r="CZ159" s="59">
        <f t="shared" si="150"/>
        <v>210.80755370263819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0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275.99999999999972</v>
      </c>
      <c r="DP159" s="17">
        <f>DO159*VLOOKUP('Données projet'!$B$14,Paramètres!$A$1:$I$89,3,0)*VLOOKUP('Données projet'!$B$14,Paramètres!$A$1:$I$89,5,0)</f>
        <v>223.8911999999998</v>
      </c>
      <c r="DQ159" s="13">
        <f t="shared" si="176"/>
        <v>54.95975389514858</v>
      </c>
      <c r="DR159" s="20">
        <f t="shared" si="177"/>
        <v>485.66541136738346</v>
      </c>
      <c r="DS159" s="59">
        <f t="shared" si="125"/>
        <v>778.99874470071677</v>
      </c>
      <c r="DT159" s="59">
        <f ca="1">AVERAGE(OFFSET($DS$3,0,0,'Données projet'!$E$14+1,1))-AVERAGE(OFFSET($H$3,0,0,'Données projet'!$E$14+1,1))</f>
        <v>203.21935660591021</v>
      </c>
      <c r="DU159" s="59">
        <f t="shared" si="152"/>
        <v>180.54762778843178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8.2681599870847902E-2</v>
      </c>
      <c r="EB159" s="21">
        <f>EXP(-LN(2)/25)*EB158+(1-EXP(-LN(2)/25))/(LN(2)/25)*Calculateur!DW159*Calculateur!DY159*VLOOKUP('Données projet'!$B$14,Paramètres!$A$1:$I$89,3,0)*0.475*44/12</f>
        <v>0.17640620146356825</v>
      </c>
      <c r="EC159" s="21">
        <f>EXP(-LN(2)/2)*EC158+(1-EXP(-LN(2)/2))/(LN(2)/2)*DW159*DZ159*VLOOKUP('Données projet'!$B$14,Paramètres!$A$1:$I$89,3,0)*0.475*44/12</f>
        <v>9.8257822455466856E-19</v>
      </c>
      <c r="ED159" s="22">
        <f t="shared" si="178"/>
        <v>0.25908780133441617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-5.1159076974727213E-13</v>
      </c>
      <c r="EK159" s="17">
        <f>EJ159*VLOOKUP('Données projet'!$B$15,Paramètres!$A$1:$I$89,3,0)*VLOOKUP('Données projet'!$B$15,Paramètres!$A$1:$I$89,5,0)</f>
        <v>-3.4317508834647017E-13</v>
      </c>
      <c r="EL159" s="13" t="e">
        <f t="shared" si="179"/>
        <v>#NUM!</v>
      </c>
      <c r="EM159" s="20" t="e">
        <f t="shared" si="180"/>
        <v>#NUM!</v>
      </c>
      <c r="EN159" s="59" t="e">
        <f t="shared" si="128"/>
        <v>#NUM!</v>
      </c>
      <c r="EO159" s="59">
        <f ca="1">AVERAGE(OFFSET($EN$3,0,0,'Données projet'!$E$15+1,1))-AVERAGE(OFFSET($H$3,0,0,'Données projet'!$E$15+1,1))</f>
        <v>207.93042467236967</v>
      </c>
      <c r="EP159" s="59">
        <f t="shared" si="154"/>
        <v>250.70954318710835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0.22688515940890949</v>
      </c>
      <c r="EW159" s="21">
        <f>EXP(-LN(2)/25)*EW158+(1-EXP(-LN(2)/25))/(LN(2)/25)*Calculateur!ER159*Calculateur!ET159*VLOOKUP('Données projet'!$B$15,Paramètres!$A$1:$I$89,3,0)*0.475*44/12</f>
        <v>0.52586715912742832</v>
      </c>
      <c r="EX159" s="21">
        <f>EXP(-LN(2)/2)*EX158+(1-EXP(-LN(2)/2))/(LN(2)/2)*ER159*EU159*VLOOKUP('Données projet'!$B$15,Paramètres!$A$1:$I$89,3,0)*0.475*44/12</f>
        <v>2.1974832273246957E-18</v>
      </c>
      <c r="EY159" s="22">
        <f t="shared" si="181"/>
        <v>0.75275231853633784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-2.2737367544323206E-13</v>
      </c>
      <c r="O160" s="13">
        <f>N160*VLOOKUP('Données projet'!$B$9,Paramètres!$A$1:$I$89,3,0)*VLOOKUP('Données projet'!$B$9,Paramètres!$A$1:$I$89,5,0)</f>
        <v>-1.2710188457276673E-13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255.5374979188561</v>
      </c>
      <c r="T160" s="59">
        <f t="shared" si="142"/>
        <v>343.10418468620901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0.24983620760863254</v>
      </c>
      <c r="AA160" s="21">
        <f>EXP(-LN(2)/25)*AA159+(1-EXP(-LN(2)/25))/(LN(2)/25)*Calculateur!V160*Calculateur!X160*VLOOKUP('Données projet'!$B$9,Paramètres!$A$1:$I$89,3,0)*0.475*44/12</f>
        <v>0.47185391230975288</v>
      </c>
      <c r="AB160" s="21">
        <f>EXP(-LN(2)/2)*AB159+(1-EXP(-LN(2)/2))/(LN(2)/2)*V160*Y160*VLOOKUP('Données projet'!$B$9,Paramètres!$A$1:$I$89,3,0)*0.475*44/12</f>
        <v>1.2976661450811714E-19</v>
      </c>
      <c r="AC160" s="22">
        <f t="shared" si="163"/>
        <v>0.72169011991838539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1.5961632016114892E-13</v>
      </c>
      <c r="AK160" s="13">
        <f t="shared" si="164"/>
        <v>2.2708641912150958E-12</v>
      </c>
      <c r="AL160" s="20">
        <f t="shared" si="165"/>
        <v>4.2330868906469593E-12</v>
      </c>
      <c r="AM160" s="59">
        <f t="shared" si="113"/>
        <v>293.33333333333752</v>
      </c>
      <c r="AN160" s="59">
        <f ca="1">AVERAGE(OFFSET($AM$3,0,0,'Données projet'!$E$10+1,1))-AVERAGE(OFFSET($H$3,0,0,'Données projet'!$E$10+1,1))</f>
        <v>158.58786357608489</v>
      </c>
      <c r="AO160" s="59">
        <f t="shared" si="144"/>
        <v>163.20074068819849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553.99999999999955</v>
      </c>
      <c r="BE160" s="13">
        <f>BD160*VLOOKUP('Données projet'!$B$11,Paramètres!$A$1:$I$89,3,0)*VLOOKUP('Données projet'!$B$11,Paramètres!$A$1:$I$89,5,0)</f>
        <v>331.29199999999975</v>
      </c>
      <c r="BF160" s="13">
        <f t="shared" si="167"/>
        <v>77.698110787752</v>
      </c>
      <c r="BG160" s="20">
        <f t="shared" si="168"/>
        <v>712.32444295533423</v>
      </c>
      <c r="BH160" s="59">
        <f t="shared" si="116"/>
        <v>1005.6577762886675</v>
      </c>
      <c r="BI160" s="59">
        <f ca="1">AVERAGE(OFFSET($BH$3,0,0,'Données projet'!$E$11+1,1))-AVERAGE(OFFSET($H$3,0,0,'Données projet'!$E$11+1,1))</f>
        <v>316.58509520829671</v>
      </c>
      <c r="BJ160" s="59">
        <f t="shared" si="146"/>
        <v>240.71332110643596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0.20492340406835988</v>
      </c>
      <c r="BQ160" s="21">
        <f>EXP(-LN(2)/25)*BQ159+(1-EXP(-LN(2)/25))/(LN(2)/25)*Calculateur!BL160*Calculateur!BN160*VLOOKUP('Données projet'!$B$11,Paramètres!$A$1:$I$89,3,0)*0.475*44/12</f>
        <v>0.45138558823954578</v>
      </c>
      <c r="BR160" s="21">
        <f>EXP(-LN(2)/2)*BR159+(1-EXP(-LN(2)/2))/(LN(2)/2)*BL160*BO160*VLOOKUP('Données projet'!$B$11,Paramètres!$A$1:$I$89,3,0)*0.475*44/12</f>
        <v>1.6819725147902548E-18</v>
      </c>
      <c r="BS160" s="22">
        <f t="shared" si="169"/>
        <v>0.65630899230790563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-5.1159076974727213E-13</v>
      </c>
      <c r="BZ160" s="13">
        <f>BY160*VLOOKUP('Données projet'!$B$12,Paramètres!$A$1:$I$89,3,0)*VLOOKUP('Données projet'!$B$12,Paramètres!$A$1:$I$89,5,0)</f>
        <v>-4.0702161641092972E-13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260.20517190557814</v>
      </c>
      <c r="CE160" s="59">
        <f t="shared" si="148"/>
        <v>307.22009971147133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0.26381953652972961</v>
      </c>
      <c r="CL160" s="21">
        <f>EXP(-LN(2)/25)*CL159+(1-EXP(-LN(2)/25))/(LN(2)/25)*Calculateur!CG160*Calculateur!CI160*VLOOKUP('Données projet'!$B$12,Paramètres!$A$1:$I$89,3,0)*0.475*44/12</f>
        <v>0.60664772079892415</v>
      </c>
      <c r="CM160" s="21">
        <f>EXP(-LN(2)/2)*CM159+(1-EXP(-LN(2)/2))/(LN(2)/2)*CG160*CJ160*VLOOKUP('Données projet'!$B$12,Paramètres!$A$1:$I$89,3,0)*0.475*44/12</f>
        <v>1.842944648158944E-18</v>
      </c>
      <c r="CN160" s="22">
        <f t="shared" si="172"/>
        <v>0.87046725732865382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4.5474735088646412E-13</v>
      </c>
      <c r="CU160" s="17">
        <f>CT160*VLOOKUP('Données projet'!$B$13,Paramètres!$A$1:$I$89,3,0)*VLOOKUP('Données projet'!$B$13,Paramètres!$A$1:$I$89,5,0)</f>
        <v>4.6111381379887462E-13</v>
      </c>
      <c r="CV160" s="13">
        <f t="shared" si="173"/>
        <v>5.7981965206434308E-12</v>
      </c>
      <c r="CW160" s="20">
        <f t="shared" si="174"/>
        <v>1.0901632165820347E-11</v>
      </c>
      <c r="CX160" s="59">
        <f t="shared" si="122"/>
        <v>293.33333333334423</v>
      </c>
      <c r="CY160" s="59">
        <f ca="1">AVERAGE(OFFSET($CX$3,0,0,'Données projet'!$E$13+1,1))-AVERAGE(OFFSET($H$3,0,0,'Données projet'!$E$13+1,1))</f>
        <v>263.15518481854753</v>
      </c>
      <c r="CZ160" s="59">
        <f t="shared" si="150"/>
        <v>210.80755370263819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0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275.99999999999972</v>
      </c>
      <c r="DP160" s="17">
        <f>DO160*VLOOKUP('Données projet'!$B$14,Paramètres!$A$1:$I$89,3,0)*VLOOKUP('Données projet'!$B$14,Paramètres!$A$1:$I$89,5,0)</f>
        <v>223.8911999999998</v>
      </c>
      <c r="DQ160" s="13">
        <f t="shared" si="176"/>
        <v>54.95975389514858</v>
      </c>
      <c r="DR160" s="20">
        <f t="shared" si="177"/>
        <v>485.66541136738346</v>
      </c>
      <c r="DS160" s="59">
        <f t="shared" si="125"/>
        <v>778.99874470071677</v>
      </c>
      <c r="DT160" s="59">
        <f ca="1">AVERAGE(OFFSET($DS$3,0,0,'Données projet'!$E$14+1,1))-AVERAGE(OFFSET($H$3,0,0,'Données projet'!$E$14+1,1))</f>
        <v>203.21935660591021</v>
      </c>
      <c r="DU160" s="59">
        <f t="shared" si="152"/>
        <v>180.54762778843178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8.1060264128176865E-2</v>
      </c>
      <c r="EB160" s="21">
        <f>EXP(-LN(2)/25)*EB159+(1-EXP(-LN(2)/25))/(LN(2)/25)*Calculateur!DW160*Calculateur!DY160*VLOOKUP('Données projet'!$B$14,Paramètres!$A$1:$I$89,3,0)*0.475*44/12</f>
        <v>0.17158236460774803</v>
      </c>
      <c r="EC160" s="21">
        <f>EXP(-LN(2)/2)*EC159+(1-EXP(-LN(2)/2))/(LN(2)/2)*DW160*DZ160*VLOOKUP('Données projet'!$B$14,Paramètres!$A$1:$I$89,3,0)*0.475*44/12</f>
        <v>6.947877256288444E-19</v>
      </c>
      <c r="ED160" s="22">
        <f t="shared" si="178"/>
        <v>0.25264262873592491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-5.1159076974727213E-13</v>
      </c>
      <c r="EK160" s="17">
        <f>EJ160*VLOOKUP('Données projet'!$B$15,Paramètres!$A$1:$I$89,3,0)*VLOOKUP('Données projet'!$B$15,Paramètres!$A$1:$I$89,5,0)</f>
        <v>-3.4317508834647017E-13</v>
      </c>
      <c r="EL160" s="13" t="e">
        <f t="shared" si="179"/>
        <v>#NUM!</v>
      </c>
      <c r="EM160" s="20" t="e">
        <f t="shared" si="180"/>
        <v>#NUM!</v>
      </c>
      <c r="EN160" s="59" t="e">
        <f t="shared" si="128"/>
        <v>#NUM!</v>
      </c>
      <c r="EO160" s="59">
        <f ca="1">AVERAGE(OFFSET($EN$3,0,0,'Données projet'!$E$15+1,1))-AVERAGE(OFFSET($H$3,0,0,'Données projet'!$E$15+1,1))</f>
        <v>207.93042467236967</v>
      </c>
      <c r="EP160" s="59">
        <f t="shared" si="154"/>
        <v>250.70954318710835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0.22243607981918351</v>
      </c>
      <c r="EW160" s="21">
        <f>EXP(-LN(2)/25)*EW159+(1-EXP(-LN(2)/25))/(LN(2)/25)*Calculateur!ER160*Calculateur!ET160*VLOOKUP('Données projet'!$B$15,Paramètres!$A$1:$I$89,3,0)*0.475*44/12</f>
        <v>0.51148729400693682</v>
      </c>
      <c r="EX160" s="21">
        <f>EXP(-LN(2)/2)*EX159+(1-EXP(-LN(2)/2))/(LN(2)/2)*ER160*EU160*VLOOKUP('Données projet'!$B$15,Paramètres!$A$1:$I$89,3,0)*0.475*44/12</f>
        <v>1.5538552915849919E-18</v>
      </c>
      <c r="EY160" s="22">
        <f t="shared" si="181"/>
        <v>0.73392337382612038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-2.2737367544323206E-13</v>
      </c>
      <c r="O161" s="13">
        <f>N161*VLOOKUP('Données projet'!$B$9,Paramètres!$A$1:$I$89,3,0)*VLOOKUP('Données projet'!$B$9,Paramètres!$A$1:$I$89,5,0)</f>
        <v>-1.2710188457276673E-13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255.5374979188561</v>
      </c>
      <c r="T161" s="59">
        <f t="shared" si="142"/>
        <v>343.10418468620901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0.24493707196246711</v>
      </c>
      <c r="AA161" s="21">
        <f>EXP(-LN(2)/25)*AA160+(1-EXP(-LN(2)/25))/(LN(2)/25)*Calculateur!V161*Calculateur!X161*VLOOKUP('Données projet'!$B$9,Paramètres!$A$1:$I$89,3,0)*0.475*44/12</f>
        <v>0.45895104226392386</v>
      </c>
      <c r="AB161" s="21">
        <f>EXP(-LN(2)/2)*AB160+(1-EXP(-LN(2)/2))/(LN(2)/2)*V161*Y161*VLOOKUP('Données projet'!$B$9,Paramètres!$A$1:$I$89,3,0)*0.475*44/12</f>
        <v>9.1758853090310253E-20</v>
      </c>
      <c r="AC161" s="22">
        <f t="shared" si="163"/>
        <v>0.70388811422639097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1.5961632016114892E-13</v>
      </c>
      <c r="AK161" s="13">
        <f t="shared" si="164"/>
        <v>2.2708641912150958E-12</v>
      </c>
      <c r="AL161" s="20">
        <f t="shared" si="165"/>
        <v>4.2330868906469593E-12</v>
      </c>
      <c r="AM161" s="59">
        <f t="shared" si="113"/>
        <v>293.33333333333752</v>
      </c>
      <c r="AN161" s="59">
        <f ca="1">AVERAGE(OFFSET($AM$3,0,0,'Données projet'!$E$10+1,1))-AVERAGE(OFFSET($H$3,0,0,'Données projet'!$E$10+1,1))</f>
        <v>158.58786357608489</v>
      </c>
      <c r="AO161" s="59">
        <f t="shared" si="144"/>
        <v>163.20074068819849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553.99999999999955</v>
      </c>
      <c r="BE161" s="13">
        <f>BD161*VLOOKUP('Données projet'!$B$11,Paramètres!$A$1:$I$89,3,0)*VLOOKUP('Données projet'!$B$11,Paramètres!$A$1:$I$89,5,0)</f>
        <v>331.29199999999975</v>
      </c>
      <c r="BF161" s="13">
        <f t="shared" si="167"/>
        <v>77.698110787752</v>
      </c>
      <c r="BG161" s="20">
        <f t="shared" si="168"/>
        <v>712.32444295533423</v>
      </c>
      <c r="BH161" s="59">
        <f t="shared" si="116"/>
        <v>1005.6577762886675</v>
      </c>
      <c r="BI161" s="59">
        <f ca="1">AVERAGE(OFFSET($BH$3,0,0,'Données projet'!$E$11+1,1))-AVERAGE(OFFSET($H$3,0,0,'Données projet'!$E$11+1,1))</f>
        <v>316.58509520829671</v>
      </c>
      <c r="BJ161" s="59">
        <f t="shared" si="146"/>
        <v>240.71332110643596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0.200904981105514</v>
      </c>
      <c r="BQ161" s="21">
        <f>EXP(-LN(2)/25)*BQ160+(1-EXP(-LN(2)/25))/(LN(2)/25)*Calculateur!BL161*Calculateur!BN161*VLOOKUP('Données projet'!$B$11,Paramètres!$A$1:$I$89,3,0)*0.475*44/12</f>
        <v>0.43904242559179896</v>
      </c>
      <c r="BR161" s="21">
        <f>EXP(-LN(2)/2)*BR160+(1-EXP(-LN(2)/2))/(LN(2)/2)*BL161*BO161*VLOOKUP('Données projet'!$B$11,Paramètres!$A$1:$I$89,3,0)*0.475*44/12</f>
        <v>1.1893341709775798E-18</v>
      </c>
      <c r="BS161" s="22">
        <f t="shared" si="169"/>
        <v>0.63994740669731298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-5.1159076974727213E-13</v>
      </c>
      <c r="BZ161" s="13">
        <f>BY161*VLOOKUP('Données projet'!$B$12,Paramètres!$A$1:$I$89,3,0)*VLOOKUP('Données projet'!$B$12,Paramètres!$A$1:$I$89,5,0)</f>
        <v>-4.0702161641092972E-13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260.20517190557814</v>
      </c>
      <c r="CE161" s="59">
        <f t="shared" si="148"/>
        <v>307.22009971147133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0.25864619633240998</v>
      </c>
      <c r="CL161" s="21">
        <f>EXP(-LN(2)/25)*CL160+(1-EXP(-LN(2)/25))/(LN(2)/25)*Calculateur!CG161*Calculateur!CI161*VLOOKUP('Données projet'!$B$12,Paramètres!$A$1:$I$89,3,0)*0.475*44/12</f>
        <v>0.59005890697146046</v>
      </c>
      <c r="CM161" s="21">
        <f>EXP(-LN(2)/2)*CM160+(1-EXP(-LN(2)/2))/(LN(2)/2)*CG161*CJ161*VLOOKUP('Données projet'!$B$12,Paramètres!$A$1:$I$89,3,0)*0.475*44/12</f>
        <v>1.3031586580646452E-18</v>
      </c>
      <c r="CN161" s="22">
        <f t="shared" si="172"/>
        <v>0.84870510330387039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4.5474735088646412E-13</v>
      </c>
      <c r="CU161" s="17">
        <f>CT161*VLOOKUP('Données projet'!$B$13,Paramètres!$A$1:$I$89,3,0)*VLOOKUP('Données projet'!$B$13,Paramètres!$A$1:$I$89,5,0)</f>
        <v>4.6111381379887462E-13</v>
      </c>
      <c r="CV161" s="13">
        <f t="shared" si="173"/>
        <v>5.7981965206434308E-12</v>
      </c>
      <c r="CW161" s="20">
        <f t="shared" si="174"/>
        <v>1.0901632165820347E-11</v>
      </c>
      <c r="CX161" s="59">
        <f t="shared" si="122"/>
        <v>293.33333333334423</v>
      </c>
      <c r="CY161" s="59">
        <f ca="1">AVERAGE(OFFSET($CX$3,0,0,'Données projet'!$E$13+1,1))-AVERAGE(OFFSET($H$3,0,0,'Données projet'!$E$13+1,1))</f>
        <v>263.15518481854753</v>
      </c>
      <c r="CZ161" s="59">
        <f t="shared" si="150"/>
        <v>210.80755370263819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0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275.99999999999972</v>
      </c>
      <c r="DP161" s="17">
        <f>DO161*VLOOKUP('Données projet'!$B$14,Paramètres!$A$1:$I$89,3,0)*VLOOKUP('Données projet'!$B$14,Paramètres!$A$1:$I$89,5,0)</f>
        <v>223.8911999999998</v>
      </c>
      <c r="DQ161" s="13">
        <f t="shared" si="176"/>
        <v>54.95975389514858</v>
      </c>
      <c r="DR161" s="20">
        <f t="shared" si="177"/>
        <v>485.66541136738346</v>
      </c>
      <c r="DS161" s="59">
        <f t="shared" si="125"/>
        <v>778.99874470071677</v>
      </c>
      <c r="DT161" s="59">
        <f ca="1">AVERAGE(OFFSET($DS$3,0,0,'Données projet'!$E$14+1,1))-AVERAGE(OFFSET($H$3,0,0,'Données projet'!$E$14+1,1))</f>
        <v>203.21935660591021</v>
      </c>
      <c r="DU161" s="59">
        <f t="shared" si="152"/>
        <v>180.54762778843178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7.9470721790502449E-2</v>
      </c>
      <c r="EB161" s="21">
        <f>EXP(-LN(2)/25)*EB160+(1-EXP(-LN(2)/25))/(LN(2)/25)*Calculateur!DW161*Calculateur!DY161*VLOOKUP('Données projet'!$B$14,Paramètres!$A$1:$I$89,3,0)*0.475*44/12</f>
        <v>0.16689043582442475</v>
      </c>
      <c r="EC161" s="21">
        <f>EXP(-LN(2)/2)*EC160+(1-EXP(-LN(2)/2))/(LN(2)/2)*DW161*DZ161*VLOOKUP('Données projet'!$B$14,Paramètres!$A$1:$I$89,3,0)*0.475*44/12</f>
        <v>4.9128911227733428E-19</v>
      </c>
      <c r="ED161" s="22">
        <f t="shared" si="178"/>
        <v>0.24636115761492722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-5.1159076974727213E-13</v>
      </c>
      <c r="EK161" s="17">
        <f>EJ161*VLOOKUP('Données projet'!$B$15,Paramètres!$A$1:$I$89,3,0)*VLOOKUP('Données projet'!$B$15,Paramètres!$A$1:$I$89,5,0)</f>
        <v>-3.4317508834647017E-13</v>
      </c>
      <c r="EL161" s="13" t="e">
        <f t="shared" si="179"/>
        <v>#NUM!</v>
      </c>
      <c r="EM161" s="20" t="e">
        <f t="shared" si="180"/>
        <v>#NUM!</v>
      </c>
      <c r="EN161" s="59" t="e">
        <f t="shared" si="128"/>
        <v>#NUM!</v>
      </c>
      <c r="EO161" s="59">
        <f ca="1">AVERAGE(OFFSET($EN$3,0,0,'Données projet'!$E$15+1,1))-AVERAGE(OFFSET($H$3,0,0,'Données projet'!$E$15+1,1))</f>
        <v>207.93042467236967</v>
      </c>
      <c r="EP161" s="59">
        <f t="shared" si="154"/>
        <v>250.70954318710835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0.21807424396654146</v>
      </c>
      <c r="EW161" s="21">
        <f>EXP(-LN(2)/25)*EW160+(1-EXP(-LN(2)/25))/(LN(2)/25)*Calculateur!ER161*Calculateur!ET161*VLOOKUP('Données projet'!$B$15,Paramètres!$A$1:$I$89,3,0)*0.475*44/12</f>
        <v>0.49750064705436936</v>
      </c>
      <c r="EX161" s="21">
        <f>EXP(-LN(2)/2)*EX160+(1-EXP(-LN(2)/2))/(LN(2)/2)*ER161*EU161*VLOOKUP('Données projet'!$B$15,Paramètres!$A$1:$I$89,3,0)*0.475*44/12</f>
        <v>1.0987416136623479E-18</v>
      </c>
      <c r="EY161" s="22">
        <f t="shared" si="181"/>
        <v>0.71557489102091076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-2.2737367544323206E-13</v>
      </c>
      <c r="O162" s="13">
        <f>N162*VLOOKUP('Données projet'!$B$9,Paramètres!$A$1:$I$89,3,0)*VLOOKUP('Données projet'!$B$9,Paramètres!$A$1:$I$89,5,0)</f>
        <v>-1.2710188457276673E-13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255.5374979188561</v>
      </c>
      <c r="T162" s="59">
        <f t="shared" si="142"/>
        <v>343.10418468620901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0.2401340053781453</v>
      </c>
      <c r="AA162" s="21">
        <f>EXP(-LN(2)/25)*AA161+(1-EXP(-LN(2)/25))/(LN(2)/25)*Calculateur!V162*Calculateur!X162*VLOOKUP('Données projet'!$B$9,Paramètres!$A$1:$I$89,3,0)*0.475*44/12</f>
        <v>0.4464010018780305</v>
      </c>
      <c r="AB162" s="21">
        <f>EXP(-LN(2)/2)*AB161+(1-EXP(-LN(2)/2))/(LN(2)/2)*V162*Y162*VLOOKUP('Données projet'!$B$9,Paramètres!$A$1:$I$89,3,0)*0.475*44/12</f>
        <v>6.4883307254058571E-20</v>
      </c>
      <c r="AC162" s="22">
        <f t="shared" si="163"/>
        <v>0.68653500725617578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1.5961632016114892E-13</v>
      </c>
      <c r="AK162" s="13">
        <f t="shared" si="164"/>
        <v>2.2708641912150958E-12</v>
      </c>
      <c r="AL162" s="20">
        <f t="shared" si="165"/>
        <v>4.2330868906469593E-12</v>
      </c>
      <c r="AM162" s="59">
        <f t="shared" si="113"/>
        <v>293.33333333333752</v>
      </c>
      <c r="AN162" s="59">
        <f ca="1">AVERAGE(OFFSET($AM$3,0,0,'Données projet'!$E$10+1,1))-AVERAGE(OFFSET($H$3,0,0,'Données projet'!$E$10+1,1))</f>
        <v>158.58786357608489</v>
      </c>
      <c r="AO162" s="59">
        <f t="shared" si="144"/>
        <v>163.20074068819849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553.99999999999955</v>
      </c>
      <c r="BE162" s="13">
        <f>BD162*VLOOKUP('Données projet'!$B$11,Paramètres!$A$1:$I$89,3,0)*VLOOKUP('Données projet'!$B$11,Paramètres!$A$1:$I$89,5,0)</f>
        <v>331.29199999999975</v>
      </c>
      <c r="BF162" s="13">
        <f t="shared" si="167"/>
        <v>77.698110787752</v>
      </c>
      <c r="BG162" s="20">
        <f t="shared" si="168"/>
        <v>712.32444295533423</v>
      </c>
      <c r="BH162" s="59">
        <f t="shared" si="116"/>
        <v>1005.6577762886675</v>
      </c>
      <c r="BI162" s="59">
        <f ca="1">AVERAGE(OFFSET($BH$3,0,0,'Données projet'!$E$11+1,1))-AVERAGE(OFFSET($H$3,0,0,'Données projet'!$E$11+1,1))</f>
        <v>316.58509520829671</v>
      </c>
      <c r="BJ162" s="59">
        <f t="shared" si="146"/>
        <v>240.71332110643596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0.19696535696597353</v>
      </c>
      <c r="BQ162" s="21">
        <f>EXP(-LN(2)/25)*BQ161+(1-EXP(-LN(2)/25))/(LN(2)/25)*Calculateur!BL162*Calculateur!BN162*VLOOKUP('Données projet'!$B$11,Paramètres!$A$1:$I$89,3,0)*0.475*44/12</f>
        <v>0.42703678737575351</v>
      </c>
      <c r="BR162" s="21">
        <f>EXP(-LN(2)/2)*BR161+(1-EXP(-LN(2)/2))/(LN(2)/2)*BL162*BO162*VLOOKUP('Données projet'!$B$11,Paramètres!$A$1:$I$89,3,0)*0.475*44/12</f>
        <v>8.4098625739512741E-19</v>
      </c>
      <c r="BS162" s="22">
        <f t="shared" si="169"/>
        <v>0.62400214434172707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-5.1159076974727213E-13</v>
      </c>
      <c r="BZ162" s="13">
        <f>BY162*VLOOKUP('Données projet'!$B$12,Paramètres!$A$1:$I$89,3,0)*VLOOKUP('Données projet'!$B$12,Paramètres!$A$1:$I$89,5,0)</f>
        <v>-4.0702161641092972E-13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260.20517190557814</v>
      </c>
      <c r="CE162" s="59">
        <f t="shared" si="148"/>
        <v>307.22009971147133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0.2535743021809338</v>
      </c>
      <c r="CL162" s="21">
        <f>EXP(-LN(2)/25)*CL161+(1-EXP(-LN(2)/25))/(LN(2)/25)*Calculateur!CG162*Calculateur!CI162*VLOOKUP('Données projet'!$B$12,Paramètres!$A$1:$I$89,3,0)*0.475*44/12</f>
        <v>0.57392371513047657</v>
      </c>
      <c r="CM162" s="21">
        <f>EXP(-LN(2)/2)*CM161+(1-EXP(-LN(2)/2))/(LN(2)/2)*CG162*CJ162*VLOOKUP('Données projet'!$B$12,Paramètres!$A$1:$I$89,3,0)*0.475*44/12</f>
        <v>9.2147232407947199E-19</v>
      </c>
      <c r="CN162" s="22">
        <f t="shared" si="172"/>
        <v>0.82749801731141037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4.5474735088646412E-13</v>
      </c>
      <c r="CU162" s="17">
        <f>CT162*VLOOKUP('Données projet'!$B$13,Paramètres!$A$1:$I$89,3,0)*VLOOKUP('Données projet'!$B$13,Paramètres!$A$1:$I$89,5,0)</f>
        <v>4.6111381379887462E-13</v>
      </c>
      <c r="CV162" s="13">
        <f t="shared" si="173"/>
        <v>5.7981965206434308E-12</v>
      </c>
      <c r="CW162" s="20">
        <f t="shared" si="174"/>
        <v>1.0901632165820347E-11</v>
      </c>
      <c r="CX162" s="59">
        <f t="shared" si="122"/>
        <v>293.33333333334423</v>
      </c>
      <c r="CY162" s="59">
        <f ca="1">AVERAGE(OFFSET($CX$3,0,0,'Données projet'!$E$13+1,1))-AVERAGE(OFFSET($H$3,0,0,'Données projet'!$E$13+1,1))</f>
        <v>263.15518481854753</v>
      </c>
      <c r="CZ162" s="59">
        <f t="shared" si="150"/>
        <v>210.80755370263819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0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275.99999999999972</v>
      </c>
      <c r="DP162" s="17">
        <f>DO162*VLOOKUP('Données projet'!$B$14,Paramètres!$A$1:$I$89,3,0)*VLOOKUP('Données projet'!$B$14,Paramètres!$A$1:$I$89,5,0)</f>
        <v>223.8911999999998</v>
      </c>
      <c r="DQ162" s="13">
        <f t="shared" si="176"/>
        <v>54.95975389514858</v>
      </c>
      <c r="DR162" s="20">
        <f t="shared" si="177"/>
        <v>485.66541136738346</v>
      </c>
      <c r="DS162" s="59">
        <f t="shared" si="125"/>
        <v>778.99874470071677</v>
      </c>
      <c r="DT162" s="59">
        <f ca="1">AVERAGE(OFFSET($DS$3,0,0,'Données projet'!$E$14+1,1))-AVERAGE(OFFSET($H$3,0,0,'Données projet'!$E$14+1,1))</f>
        <v>203.21935660591021</v>
      </c>
      <c r="DU162" s="59">
        <f t="shared" si="152"/>
        <v>180.54762778843178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7.7912349408544745E-2</v>
      </c>
      <c r="EB162" s="21">
        <f>EXP(-LN(2)/25)*EB161+(1-EXP(-LN(2)/25))/(LN(2)/25)*Calculateur!DW162*Calculateur!DY162*VLOOKUP('Données projet'!$B$14,Paramètres!$A$1:$I$89,3,0)*0.475*44/12</f>
        <v>0.16232680808041927</v>
      </c>
      <c r="EC162" s="21">
        <f>EXP(-LN(2)/2)*EC161+(1-EXP(-LN(2)/2))/(LN(2)/2)*DW162*DZ162*VLOOKUP('Données projet'!$B$14,Paramètres!$A$1:$I$89,3,0)*0.475*44/12</f>
        <v>3.473938628144222E-19</v>
      </c>
      <c r="ED162" s="22">
        <f t="shared" si="178"/>
        <v>0.24023915748896402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-5.1159076974727213E-13</v>
      </c>
      <c r="EK162" s="17">
        <f>EJ162*VLOOKUP('Données projet'!$B$15,Paramètres!$A$1:$I$89,3,0)*VLOOKUP('Données projet'!$B$15,Paramètres!$A$1:$I$89,5,0)</f>
        <v>-3.4317508834647017E-13</v>
      </c>
      <c r="EL162" s="13" t="e">
        <f t="shared" si="179"/>
        <v>#NUM!</v>
      </c>
      <c r="EM162" s="20" t="e">
        <f t="shared" si="180"/>
        <v>#NUM!</v>
      </c>
      <c r="EN162" s="59" t="e">
        <f t="shared" si="128"/>
        <v>#NUM!</v>
      </c>
      <c r="EO162" s="59">
        <f ca="1">AVERAGE(OFFSET($EN$3,0,0,'Données projet'!$E$15+1,1))-AVERAGE(OFFSET($H$3,0,0,'Données projet'!$E$15+1,1))</f>
        <v>207.93042467236967</v>
      </c>
      <c r="EP162" s="59">
        <f t="shared" si="154"/>
        <v>250.70954318710835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0.21379794105451255</v>
      </c>
      <c r="EW162" s="21">
        <f>EXP(-LN(2)/25)*EW161+(1-EXP(-LN(2)/25))/(LN(2)/25)*Calculateur!ER162*Calculateur!ET162*VLOOKUP('Données projet'!$B$15,Paramètres!$A$1:$I$89,3,0)*0.475*44/12</f>
        <v>0.48389646569824568</v>
      </c>
      <c r="EX162" s="21">
        <f>EXP(-LN(2)/2)*EX161+(1-EXP(-LN(2)/2))/(LN(2)/2)*ER162*EU162*VLOOKUP('Données projet'!$B$15,Paramètres!$A$1:$I$89,3,0)*0.475*44/12</f>
        <v>7.7692764579249595E-19</v>
      </c>
      <c r="EY162" s="22">
        <f t="shared" si="181"/>
        <v>0.69769440675275818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-2.2737367544323206E-13</v>
      </c>
      <c r="O163" s="13">
        <f>N163*VLOOKUP('Données projet'!$B$9,Paramètres!$A$1:$I$89,3,0)*VLOOKUP('Données projet'!$B$9,Paramètres!$A$1:$I$89,5,0)</f>
        <v>-1.2710188457276673E-13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255.5374979188561</v>
      </c>
      <c r="T163" s="59">
        <f t="shared" si="142"/>
        <v>343.10418468620901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0.23542512399996071</v>
      </c>
      <c r="AA163" s="21">
        <f>EXP(-LN(2)/25)*AA162+(1-EXP(-LN(2)/25))/(LN(2)/25)*Calculateur!V163*Calculateur!X163*VLOOKUP('Données projet'!$B$9,Paramètres!$A$1:$I$89,3,0)*0.475*44/12</f>
        <v>0.43419414300646736</v>
      </c>
      <c r="AB163" s="21">
        <f>EXP(-LN(2)/2)*AB162+(1-EXP(-LN(2)/2))/(LN(2)/2)*V163*Y163*VLOOKUP('Données projet'!$B$9,Paramètres!$A$1:$I$89,3,0)*0.475*44/12</f>
        <v>4.5879426545155127E-20</v>
      </c>
      <c r="AC163" s="22">
        <f t="shared" si="163"/>
        <v>0.66961926700642804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1.5961632016114892E-13</v>
      </c>
      <c r="AK163" s="13">
        <f t="shared" si="164"/>
        <v>2.2708641912150958E-12</v>
      </c>
      <c r="AL163" s="20">
        <f t="shared" si="165"/>
        <v>4.2330868906469593E-12</v>
      </c>
      <c r="AM163" s="59">
        <f t="shared" si="113"/>
        <v>293.33333333333752</v>
      </c>
      <c r="AN163" s="59">
        <f ca="1">AVERAGE(OFFSET($AM$3,0,0,'Données projet'!$E$10+1,1))-AVERAGE(OFFSET($H$3,0,0,'Données projet'!$E$10+1,1))</f>
        <v>158.58786357608489</v>
      </c>
      <c r="AO163" s="59">
        <f t="shared" si="144"/>
        <v>163.20074068819849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553.99999999999955</v>
      </c>
      <c r="BE163" s="13">
        <f>BD163*VLOOKUP('Données projet'!$B$11,Paramètres!$A$1:$I$89,3,0)*VLOOKUP('Données projet'!$B$11,Paramètres!$A$1:$I$89,5,0)</f>
        <v>331.29199999999975</v>
      </c>
      <c r="BF163" s="13">
        <f t="shared" si="167"/>
        <v>77.698110787752</v>
      </c>
      <c r="BG163" s="20">
        <f t="shared" si="168"/>
        <v>712.32444295533423</v>
      </c>
      <c r="BH163" s="59">
        <f t="shared" si="116"/>
        <v>1005.6577762886675</v>
      </c>
      <c r="BI163" s="59">
        <f ca="1">AVERAGE(OFFSET($BH$3,0,0,'Données projet'!$E$11+1,1))-AVERAGE(OFFSET($H$3,0,0,'Données projet'!$E$11+1,1))</f>
        <v>316.58509520829671</v>
      </c>
      <c r="BJ163" s="59">
        <f t="shared" si="146"/>
        <v>240.71332110643596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0.19310298645287599</v>
      </c>
      <c r="BQ163" s="21">
        <f>EXP(-LN(2)/25)*BQ162+(1-EXP(-LN(2)/25))/(LN(2)/25)*Calculateur!BL163*Calculateur!BN163*VLOOKUP('Données projet'!$B$11,Paramètres!$A$1:$I$89,3,0)*0.475*44/12</f>
        <v>0.41535944396807489</v>
      </c>
      <c r="BR163" s="21">
        <f>EXP(-LN(2)/2)*BR162+(1-EXP(-LN(2)/2))/(LN(2)/2)*BL163*BO163*VLOOKUP('Données projet'!$B$11,Paramètres!$A$1:$I$89,3,0)*0.475*44/12</f>
        <v>5.9466708548878988E-19</v>
      </c>
      <c r="BS163" s="22">
        <f t="shared" si="169"/>
        <v>0.60846243042095094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-5.1159076974727213E-13</v>
      </c>
      <c r="BZ163" s="13">
        <f>BY163*VLOOKUP('Données projet'!$B$12,Paramètres!$A$1:$I$89,3,0)*VLOOKUP('Données projet'!$B$12,Paramètres!$A$1:$I$89,5,0)</f>
        <v>-4.0702161641092972E-13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260.20517190557814</v>
      </c>
      <c r="CE163" s="59">
        <f t="shared" si="148"/>
        <v>307.22009971147133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0.24860186478021812</v>
      </c>
      <c r="CL163" s="21">
        <f>EXP(-LN(2)/25)*CL162+(1-EXP(-LN(2)/25))/(LN(2)/25)*Calculateur!CG163*Calculateur!CI163*VLOOKUP('Données projet'!$B$12,Paramètres!$A$1:$I$89,3,0)*0.475*44/12</f>
        <v>0.55822974095889721</v>
      </c>
      <c r="CM163" s="21">
        <f>EXP(-LN(2)/2)*CM162+(1-EXP(-LN(2)/2))/(LN(2)/2)*CG163*CJ163*VLOOKUP('Données projet'!$B$12,Paramètres!$A$1:$I$89,3,0)*0.475*44/12</f>
        <v>6.5157932903232261E-19</v>
      </c>
      <c r="CN163" s="22">
        <f t="shared" si="172"/>
        <v>0.80683160573911539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4.5474735088646412E-13</v>
      </c>
      <c r="CU163" s="17">
        <f>CT163*VLOOKUP('Données projet'!$B$13,Paramètres!$A$1:$I$89,3,0)*VLOOKUP('Données projet'!$B$13,Paramètres!$A$1:$I$89,5,0)</f>
        <v>4.6111381379887462E-13</v>
      </c>
      <c r="CV163" s="13">
        <f t="shared" si="173"/>
        <v>5.7981965206434308E-12</v>
      </c>
      <c r="CW163" s="20">
        <f t="shared" si="174"/>
        <v>1.0901632165820347E-11</v>
      </c>
      <c r="CX163" s="59">
        <f t="shared" si="122"/>
        <v>293.33333333334423</v>
      </c>
      <c r="CY163" s="59">
        <f ca="1">AVERAGE(OFFSET($CX$3,0,0,'Données projet'!$E$13+1,1))-AVERAGE(OFFSET($H$3,0,0,'Données projet'!$E$13+1,1))</f>
        <v>263.15518481854753</v>
      </c>
      <c r="CZ163" s="59">
        <f t="shared" si="150"/>
        <v>210.80755370263819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0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275.99999999999972</v>
      </c>
      <c r="DP163" s="17">
        <f>DO163*VLOOKUP('Données projet'!$B$14,Paramètres!$A$1:$I$89,3,0)*VLOOKUP('Données projet'!$B$14,Paramètres!$A$1:$I$89,5,0)</f>
        <v>223.8911999999998</v>
      </c>
      <c r="DQ163" s="13">
        <f t="shared" si="176"/>
        <v>54.95975389514858</v>
      </c>
      <c r="DR163" s="20">
        <f t="shared" si="177"/>
        <v>485.66541136738346</v>
      </c>
      <c r="DS163" s="59">
        <f t="shared" si="125"/>
        <v>778.99874470071677</v>
      </c>
      <c r="DT163" s="59">
        <f ca="1">AVERAGE(OFFSET($DS$3,0,0,'Données projet'!$E$14+1,1))-AVERAGE(OFFSET($H$3,0,0,'Données projet'!$E$14+1,1))</f>
        <v>203.21935660591021</v>
      </c>
      <c r="DU163" s="59">
        <f t="shared" si="152"/>
        <v>180.54762778843178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7.6384535758483932E-2</v>
      </c>
      <c r="EB163" s="21">
        <f>EXP(-LN(2)/25)*EB162+(1-EXP(-LN(2)/25))/(LN(2)/25)*Calculateur!DW163*Calculateur!DY163*VLOOKUP('Données projet'!$B$14,Paramètres!$A$1:$I$89,3,0)*0.475*44/12</f>
        <v>0.15788797297706436</v>
      </c>
      <c r="EC163" s="21">
        <f>EXP(-LN(2)/2)*EC162+(1-EXP(-LN(2)/2))/(LN(2)/2)*DW163*DZ163*VLOOKUP('Données projet'!$B$14,Paramètres!$A$1:$I$89,3,0)*0.475*44/12</f>
        <v>2.4564455613866714E-19</v>
      </c>
      <c r="ED163" s="22">
        <f t="shared" si="178"/>
        <v>0.23427250873554828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-5.1159076974727213E-13</v>
      </c>
      <c r="EK163" s="17">
        <f>EJ163*VLOOKUP('Données projet'!$B$15,Paramètres!$A$1:$I$89,3,0)*VLOOKUP('Données projet'!$B$15,Paramètres!$A$1:$I$89,5,0)</f>
        <v>-3.4317508834647017E-13</v>
      </c>
      <c r="EL163" s="13" t="e">
        <f t="shared" si="179"/>
        <v>#NUM!</v>
      </c>
      <c r="EM163" s="20" t="e">
        <f t="shared" si="180"/>
        <v>#NUM!</v>
      </c>
      <c r="EN163" s="59" t="e">
        <f t="shared" si="128"/>
        <v>#NUM!</v>
      </c>
      <c r="EO163" s="59">
        <f ca="1">AVERAGE(OFFSET($EN$3,0,0,'Données projet'!$E$15+1,1))-AVERAGE(OFFSET($H$3,0,0,'Données projet'!$E$15+1,1))</f>
        <v>207.93042467236967</v>
      </c>
      <c r="EP163" s="59">
        <f t="shared" si="154"/>
        <v>250.70954318710835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0.2096054938343013</v>
      </c>
      <c r="EW163" s="21">
        <f>EXP(-LN(2)/25)*EW162+(1-EXP(-LN(2)/25))/(LN(2)/25)*Calculateur!ER163*Calculateur!ET163*VLOOKUP('Données projet'!$B$15,Paramètres!$A$1:$I$89,3,0)*0.475*44/12</f>
        <v>0.470664291396718</v>
      </c>
      <c r="EX163" s="21">
        <f>EXP(-LN(2)/2)*EX162+(1-EXP(-LN(2)/2))/(LN(2)/2)*ER163*EU163*VLOOKUP('Données projet'!$B$15,Paramètres!$A$1:$I$89,3,0)*0.475*44/12</f>
        <v>5.4937080683117393E-19</v>
      </c>
      <c r="EY163" s="22">
        <f t="shared" si="181"/>
        <v>0.68026978523101933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-2.2737367544323206E-13</v>
      </c>
      <c r="O164" s="13">
        <f>N164*VLOOKUP('Données projet'!$B$9,Paramètres!$A$1:$I$89,3,0)*VLOOKUP('Données projet'!$B$9,Paramètres!$A$1:$I$89,5,0)</f>
        <v>-1.2710188457276673E-13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255.5374979188561</v>
      </c>
      <c r="T164" s="59">
        <f t="shared" si="142"/>
        <v>343.10418468620901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0.23080858091346829</v>
      </c>
      <c r="AA164" s="21">
        <f>EXP(-LN(2)/25)*AA163+(1-EXP(-LN(2)/25))/(LN(2)/25)*Calculateur!V164*Calculateur!X164*VLOOKUP('Données projet'!$B$9,Paramètres!$A$1:$I$89,3,0)*0.475*44/12</f>
        <v>0.42232108133267787</v>
      </c>
      <c r="AB164" s="21">
        <f>EXP(-LN(2)/2)*AB163+(1-EXP(-LN(2)/2))/(LN(2)/2)*V164*Y164*VLOOKUP('Données projet'!$B$9,Paramètres!$A$1:$I$89,3,0)*0.475*44/12</f>
        <v>3.2441653627029286E-20</v>
      </c>
      <c r="AC164" s="22">
        <f t="shared" si="163"/>
        <v>0.65312966224614621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1.5961632016114892E-13</v>
      </c>
      <c r="AK164" s="13">
        <f t="shared" si="164"/>
        <v>2.2708641912150958E-12</v>
      </c>
      <c r="AL164" s="20">
        <f t="shared" si="165"/>
        <v>4.2330868906469593E-12</v>
      </c>
      <c r="AM164" s="59">
        <f t="shared" si="113"/>
        <v>293.33333333333752</v>
      </c>
      <c r="AN164" s="59">
        <f ca="1">AVERAGE(OFFSET($AM$3,0,0,'Données projet'!$E$10+1,1))-AVERAGE(OFFSET($H$3,0,0,'Données projet'!$E$10+1,1))</f>
        <v>158.58786357608489</v>
      </c>
      <c r="AO164" s="59">
        <f t="shared" si="144"/>
        <v>163.20074068819849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553.99999999999955</v>
      </c>
      <c r="BE164" s="13">
        <f>BD164*VLOOKUP('Données projet'!$B$11,Paramètres!$A$1:$I$89,3,0)*VLOOKUP('Données projet'!$B$11,Paramètres!$A$1:$I$89,5,0)</f>
        <v>331.29199999999975</v>
      </c>
      <c r="BF164" s="13">
        <f t="shared" si="167"/>
        <v>77.698110787752</v>
      </c>
      <c r="BG164" s="20">
        <f t="shared" si="168"/>
        <v>712.32444295533423</v>
      </c>
      <c r="BH164" s="59">
        <f t="shared" si="116"/>
        <v>1005.6577762886675</v>
      </c>
      <c r="BI164" s="59">
        <f ca="1">AVERAGE(OFFSET($BH$3,0,0,'Données projet'!$E$11+1,1))-AVERAGE(OFFSET($H$3,0,0,'Données projet'!$E$11+1,1))</f>
        <v>316.58509520829671</v>
      </c>
      <c r="BJ164" s="59">
        <f t="shared" si="146"/>
        <v>240.71332110643596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0.18931635466972691</v>
      </c>
      <c r="BQ164" s="21">
        <f>EXP(-LN(2)/25)*BQ163+(1-EXP(-LN(2)/25))/(LN(2)/25)*Calculateur!BL164*Calculateur!BN164*VLOOKUP('Données projet'!$B$11,Paramètres!$A$1:$I$89,3,0)*0.475*44/12</f>
        <v>0.40400141812996404</v>
      </c>
      <c r="BR164" s="21">
        <f>EXP(-LN(2)/2)*BR163+(1-EXP(-LN(2)/2))/(LN(2)/2)*BL164*BO164*VLOOKUP('Données projet'!$B$11,Paramètres!$A$1:$I$89,3,0)*0.475*44/12</f>
        <v>4.204931286975637E-19</v>
      </c>
      <c r="BS164" s="22">
        <f t="shared" si="169"/>
        <v>0.593317772799691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-5.1159076974727213E-13</v>
      </c>
      <c r="BZ164" s="13">
        <f>BY164*VLOOKUP('Données projet'!$B$12,Paramètres!$A$1:$I$89,3,0)*VLOOKUP('Données projet'!$B$12,Paramètres!$A$1:$I$89,5,0)</f>
        <v>-4.0702161641092972E-13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260.20517190557814</v>
      </c>
      <c r="CE164" s="59">
        <f t="shared" si="148"/>
        <v>307.22009971147133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0.24372693384404312</v>
      </c>
      <c r="CL164" s="21">
        <f>EXP(-LN(2)/25)*CL163+(1-EXP(-LN(2)/25))/(LN(2)/25)*Calculateur!CG164*Calculateur!CI164*VLOOKUP('Données projet'!$B$12,Paramètres!$A$1:$I$89,3,0)*0.475*44/12</f>
        <v>0.54296491933634994</v>
      </c>
      <c r="CM164" s="21">
        <f>EXP(-LN(2)/2)*CM163+(1-EXP(-LN(2)/2))/(LN(2)/2)*CG164*CJ164*VLOOKUP('Données projet'!$B$12,Paramètres!$A$1:$I$89,3,0)*0.475*44/12</f>
        <v>4.6073616203973599E-19</v>
      </c>
      <c r="CN164" s="22">
        <f t="shared" si="172"/>
        <v>0.78669185318039303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4.5474735088646412E-13</v>
      </c>
      <c r="CU164" s="17">
        <f>CT164*VLOOKUP('Données projet'!$B$13,Paramètres!$A$1:$I$89,3,0)*VLOOKUP('Données projet'!$B$13,Paramètres!$A$1:$I$89,5,0)</f>
        <v>4.6111381379887462E-13</v>
      </c>
      <c r="CV164" s="13">
        <f t="shared" si="173"/>
        <v>5.7981965206434308E-12</v>
      </c>
      <c r="CW164" s="20">
        <f t="shared" si="174"/>
        <v>1.0901632165820347E-11</v>
      </c>
      <c r="CX164" s="59">
        <f t="shared" si="122"/>
        <v>293.33333333334423</v>
      </c>
      <c r="CY164" s="59">
        <f ca="1">AVERAGE(OFFSET($CX$3,0,0,'Données projet'!$E$13+1,1))-AVERAGE(OFFSET($H$3,0,0,'Données projet'!$E$13+1,1))</f>
        <v>263.15518481854753</v>
      </c>
      <c r="CZ164" s="59">
        <f t="shared" si="150"/>
        <v>210.80755370263819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0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275.99999999999972</v>
      </c>
      <c r="DP164" s="17">
        <f>DO164*VLOOKUP('Données projet'!$B$14,Paramètres!$A$1:$I$89,3,0)*VLOOKUP('Données projet'!$B$14,Paramètres!$A$1:$I$89,5,0)</f>
        <v>223.8911999999998</v>
      </c>
      <c r="DQ164" s="13">
        <f t="shared" si="176"/>
        <v>54.95975389514858</v>
      </c>
      <c r="DR164" s="20">
        <f t="shared" si="177"/>
        <v>485.66541136738346</v>
      </c>
      <c r="DS164" s="59">
        <f t="shared" si="125"/>
        <v>778.99874470071677</v>
      </c>
      <c r="DT164" s="59">
        <f ca="1">AVERAGE(OFFSET($DS$3,0,0,'Données projet'!$E$14+1,1))-AVERAGE(OFFSET($H$3,0,0,'Données projet'!$E$14+1,1))</f>
        <v>203.21935660591021</v>
      </c>
      <c r="DU164" s="59">
        <f t="shared" si="152"/>
        <v>180.54762778843178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7.4886681602226501E-2</v>
      </c>
      <c r="EB164" s="21">
        <f>EXP(-LN(2)/25)*EB163+(1-EXP(-LN(2)/25))/(LN(2)/25)*Calculateur!DW164*Calculateur!DY164*VLOOKUP('Données projet'!$B$14,Paramètres!$A$1:$I$89,3,0)*0.475*44/12</f>
        <v>0.1535705180530389</v>
      </c>
      <c r="EC164" s="21">
        <f>EXP(-LN(2)/2)*EC163+(1-EXP(-LN(2)/2))/(LN(2)/2)*DW164*DZ164*VLOOKUP('Données projet'!$B$14,Paramètres!$A$1:$I$89,3,0)*0.475*44/12</f>
        <v>1.736969314072111E-19</v>
      </c>
      <c r="ED164" s="22">
        <f t="shared" si="178"/>
        <v>0.2284571996552654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-5.1159076974727213E-13</v>
      </c>
      <c r="EK164" s="17">
        <f>EJ164*VLOOKUP('Données projet'!$B$15,Paramètres!$A$1:$I$89,3,0)*VLOOKUP('Données projet'!$B$15,Paramètres!$A$1:$I$89,5,0)</f>
        <v>-3.4317508834647017E-13</v>
      </c>
      <c r="EL164" s="13" t="e">
        <f t="shared" si="179"/>
        <v>#NUM!</v>
      </c>
      <c r="EM164" s="20" t="e">
        <f t="shared" si="180"/>
        <v>#NUM!</v>
      </c>
      <c r="EN164" s="59" t="e">
        <f t="shared" si="128"/>
        <v>#NUM!</v>
      </c>
      <c r="EO164" s="59">
        <f ca="1">AVERAGE(OFFSET($EN$3,0,0,'Données projet'!$E$15+1,1))-AVERAGE(OFFSET($H$3,0,0,'Données projet'!$E$15+1,1))</f>
        <v>207.93042467236967</v>
      </c>
      <c r="EP164" s="59">
        <f t="shared" si="154"/>
        <v>250.70954318710835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0.20549525794693807</v>
      </c>
      <c r="EW164" s="21">
        <f>EXP(-LN(2)/25)*EW163+(1-EXP(-LN(2)/25))/(LN(2)/25)*Calculateur!ER164*Calculateur!ET164*VLOOKUP('Données projet'!$B$15,Paramètres!$A$1:$I$89,3,0)*0.475*44/12</f>
        <v>0.4577939515973154</v>
      </c>
      <c r="EX164" s="21">
        <f>EXP(-LN(2)/2)*EX163+(1-EXP(-LN(2)/2))/(LN(2)/2)*ER164*EU164*VLOOKUP('Données projet'!$B$15,Paramètres!$A$1:$I$89,3,0)*0.475*44/12</f>
        <v>3.8846382289624797E-19</v>
      </c>
      <c r="EY164" s="22">
        <f t="shared" si="181"/>
        <v>0.66328920954425352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-2.2737367544323206E-13</v>
      </c>
      <c r="O165" s="13">
        <f>N165*VLOOKUP('Données projet'!$B$9,Paramètres!$A$1:$I$89,3,0)*VLOOKUP('Données projet'!$B$9,Paramètres!$A$1:$I$89,5,0)</f>
        <v>-1.2710188457276673E-13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255.5374979188561</v>
      </c>
      <c r="T165" s="59">
        <f t="shared" si="142"/>
        <v>343.10418468620901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0.22628256542108874</v>
      </c>
      <c r="AA165" s="21">
        <f>EXP(-LN(2)/25)*AA164+(1-EXP(-LN(2)/25))/(LN(2)/25)*Calculateur!V165*Calculateur!X165*VLOOKUP('Données projet'!$B$9,Paramètres!$A$1:$I$89,3,0)*0.475*44/12</f>
        <v>0.41077268915473536</v>
      </c>
      <c r="AB165" s="21">
        <f>EXP(-LN(2)/2)*AB164+(1-EXP(-LN(2)/2))/(LN(2)/2)*V165*Y165*VLOOKUP('Données projet'!$B$9,Paramètres!$A$1:$I$89,3,0)*0.475*44/12</f>
        <v>2.2939713272577563E-20</v>
      </c>
      <c r="AC165" s="22">
        <f t="shared" si="163"/>
        <v>0.63705525457582413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1.5961632016114892E-13</v>
      </c>
      <c r="AK165" s="13">
        <f t="shared" si="164"/>
        <v>2.2708641912150958E-12</v>
      </c>
      <c r="AL165" s="20">
        <f t="shared" si="165"/>
        <v>4.2330868906469593E-12</v>
      </c>
      <c r="AM165" s="59">
        <f t="shared" si="113"/>
        <v>293.33333333333752</v>
      </c>
      <c r="AN165" s="59">
        <f ca="1">AVERAGE(OFFSET($AM$3,0,0,'Données projet'!$E$10+1,1))-AVERAGE(OFFSET($H$3,0,0,'Données projet'!$E$10+1,1))</f>
        <v>158.58786357608489</v>
      </c>
      <c r="AO165" s="59">
        <f t="shared" si="144"/>
        <v>163.20074068819849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553.99999999999955</v>
      </c>
      <c r="BE165" s="13">
        <f>BD165*VLOOKUP('Données projet'!$B$11,Paramètres!$A$1:$I$89,3,0)*VLOOKUP('Données projet'!$B$11,Paramètres!$A$1:$I$89,5,0)</f>
        <v>331.29199999999975</v>
      </c>
      <c r="BF165" s="13">
        <f t="shared" si="167"/>
        <v>77.698110787752</v>
      </c>
      <c r="BG165" s="20">
        <f t="shared" si="168"/>
        <v>712.32444295533423</v>
      </c>
      <c r="BH165" s="59">
        <f t="shared" si="116"/>
        <v>1005.6577762886675</v>
      </c>
      <c r="BI165" s="59">
        <f ca="1">AVERAGE(OFFSET($BH$3,0,0,'Données projet'!$E$11+1,1))-AVERAGE(OFFSET($H$3,0,0,'Données projet'!$E$11+1,1))</f>
        <v>316.58509520829671</v>
      </c>
      <c r="BJ165" s="59">
        <f t="shared" si="146"/>
        <v>240.71332110643596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0.18560397642622803</v>
      </c>
      <c r="BQ165" s="21">
        <f>EXP(-LN(2)/25)*BQ164+(1-EXP(-LN(2)/25))/(LN(2)/25)*Calculateur!BL165*Calculateur!BN165*VLOOKUP('Données projet'!$B$11,Paramètres!$A$1:$I$89,3,0)*0.475*44/12</f>
        <v>0.39295397810568894</v>
      </c>
      <c r="BR165" s="21">
        <f>EXP(-LN(2)/2)*BR164+(1-EXP(-LN(2)/2))/(LN(2)/2)*BL165*BO165*VLOOKUP('Données projet'!$B$11,Paramètres!$A$1:$I$89,3,0)*0.475*44/12</f>
        <v>2.9733354274439494E-19</v>
      </c>
      <c r="BS165" s="22">
        <f t="shared" si="169"/>
        <v>0.57855795453191694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-5.1159076974727213E-13</v>
      </c>
      <c r="BZ165" s="13">
        <f>BY165*VLOOKUP('Données projet'!$B$12,Paramètres!$A$1:$I$89,3,0)*VLOOKUP('Données projet'!$B$12,Paramètres!$A$1:$I$89,5,0)</f>
        <v>-4.0702161641092972E-13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260.20517190557814</v>
      </c>
      <c r="CE165" s="59">
        <f t="shared" si="148"/>
        <v>307.22009971147133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0.23894759733011225</v>
      </c>
      <c r="CL165" s="21">
        <f>EXP(-LN(2)/25)*CL164+(1-EXP(-LN(2)/25))/(LN(2)/25)*Calculateur!CG165*Calculateur!CI165*VLOOKUP('Données projet'!$B$12,Paramètres!$A$1:$I$89,3,0)*0.475*44/12</f>
        <v>0.52811751506381333</v>
      </c>
      <c r="CM165" s="21">
        <f>EXP(-LN(2)/2)*CM164+(1-EXP(-LN(2)/2))/(LN(2)/2)*CG165*CJ165*VLOOKUP('Données projet'!$B$12,Paramètres!$A$1:$I$89,3,0)*0.475*44/12</f>
        <v>3.2578966451616131E-19</v>
      </c>
      <c r="CN165" s="22">
        <f t="shared" si="172"/>
        <v>0.76706511239392561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4.5474735088646412E-13</v>
      </c>
      <c r="CU165" s="17">
        <f>CT165*VLOOKUP('Données projet'!$B$13,Paramètres!$A$1:$I$89,3,0)*VLOOKUP('Données projet'!$B$13,Paramètres!$A$1:$I$89,5,0)</f>
        <v>4.6111381379887462E-13</v>
      </c>
      <c r="CV165" s="13">
        <f t="shared" si="173"/>
        <v>5.7981965206434308E-12</v>
      </c>
      <c r="CW165" s="20">
        <f t="shared" si="174"/>
        <v>1.0901632165820347E-11</v>
      </c>
      <c r="CX165" s="59">
        <f t="shared" si="122"/>
        <v>293.33333333334423</v>
      </c>
      <c r="CY165" s="59">
        <f ca="1">AVERAGE(OFFSET($CX$3,0,0,'Données projet'!$E$13+1,1))-AVERAGE(OFFSET($H$3,0,0,'Données projet'!$E$13+1,1))</f>
        <v>263.15518481854753</v>
      </c>
      <c r="CZ165" s="59">
        <f t="shared" si="150"/>
        <v>210.80755370263819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0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275.99999999999972</v>
      </c>
      <c r="DP165" s="17">
        <f>DO165*VLOOKUP('Données projet'!$B$14,Paramètres!$A$1:$I$89,3,0)*VLOOKUP('Données projet'!$B$14,Paramètres!$A$1:$I$89,5,0)</f>
        <v>223.8911999999998</v>
      </c>
      <c r="DQ165" s="13">
        <f t="shared" si="176"/>
        <v>54.95975389514858</v>
      </c>
      <c r="DR165" s="20">
        <f t="shared" si="177"/>
        <v>485.66541136738346</v>
      </c>
      <c r="DS165" s="59">
        <f t="shared" si="125"/>
        <v>778.99874470071677</v>
      </c>
      <c r="DT165" s="59">
        <f ca="1">AVERAGE(OFFSET($DS$3,0,0,'Données projet'!$E$14+1,1))-AVERAGE(OFFSET($H$3,0,0,'Données projet'!$E$14+1,1))</f>
        <v>203.21935660591021</v>
      </c>
      <c r="DU165" s="59">
        <f t="shared" si="152"/>
        <v>180.54762778843178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7.3418199452372448E-2</v>
      </c>
      <c r="EB165" s="21">
        <f>EXP(-LN(2)/25)*EB164+(1-EXP(-LN(2)/25))/(LN(2)/25)*Calculateur!DW165*Calculateur!DY165*VLOOKUP('Données projet'!$B$14,Paramètres!$A$1:$I$89,3,0)*0.475*44/12</f>
        <v>0.14937112416095599</v>
      </c>
      <c r="EC165" s="21">
        <f>EXP(-LN(2)/2)*EC164+(1-EXP(-LN(2)/2))/(LN(2)/2)*DW165*DZ165*VLOOKUP('Données projet'!$B$14,Paramètres!$A$1:$I$89,3,0)*0.475*44/12</f>
        <v>1.2282227806933357E-19</v>
      </c>
      <c r="ED165" s="22">
        <f t="shared" si="178"/>
        <v>0.22278932361332843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-5.1159076974727213E-13</v>
      </c>
      <c r="EK165" s="17">
        <f>EJ165*VLOOKUP('Données projet'!$B$15,Paramètres!$A$1:$I$89,3,0)*VLOOKUP('Données projet'!$B$15,Paramètres!$A$1:$I$89,5,0)</f>
        <v>-3.4317508834647017E-13</v>
      </c>
      <c r="EL165" s="13" t="e">
        <f t="shared" si="179"/>
        <v>#NUM!</v>
      </c>
      <c r="EM165" s="20" t="e">
        <f t="shared" si="180"/>
        <v>#NUM!</v>
      </c>
      <c r="EN165" s="59" t="e">
        <f t="shared" si="128"/>
        <v>#NUM!</v>
      </c>
      <c r="EO165" s="59">
        <f ca="1">AVERAGE(OFFSET($EN$3,0,0,'Données projet'!$E$15+1,1))-AVERAGE(OFFSET($H$3,0,0,'Données projet'!$E$15+1,1))</f>
        <v>207.93042467236967</v>
      </c>
      <c r="EP165" s="59">
        <f t="shared" si="154"/>
        <v>250.70954318710835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0.2014656212783297</v>
      </c>
      <c r="EW165" s="21">
        <f>EXP(-LN(2)/25)*EW164+(1-EXP(-LN(2)/25))/(LN(2)/25)*Calculateur!ER165*Calculateur!ET165*VLOOKUP('Données projet'!$B$15,Paramètres!$A$1:$I$89,3,0)*0.475*44/12</f>
        <v>0.44527555191654922</v>
      </c>
      <c r="EX165" s="21">
        <f>EXP(-LN(2)/2)*EX164+(1-EXP(-LN(2)/2))/(LN(2)/2)*ER165*EU165*VLOOKUP('Données projet'!$B$15,Paramètres!$A$1:$I$89,3,0)*0.475*44/12</f>
        <v>2.7468540341558696E-19</v>
      </c>
      <c r="EY165" s="22">
        <f t="shared" si="181"/>
        <v>0.64674117319487889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-2.2737367544323206E-13</v>
      </c>
      <c r="O166" s="13">
        <f>N166*VLOOKUP('Données projet'!$B$9,Paramètres!$A$1:$I$89,3,0)*VLOOKUP('Données projet'!$B$9,Paramètres!$A$1:$I$89,5,0)</f>
        <v>-1.2710188457276673E-13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255.5374979188561</v>
      </c>
      <c r="T166" s="59">
        <f t="shared" si="142"/>
        <v>343.10418468620901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0.22184530233191788</v>
      </c>
      <c r="AA166" s="21">
        <f>EXP(-LN(2)/25)*AA165+(1-EXP(-LN(2)/25))/(LN(2)/25)*Calculateur!V166*Calculateur!X166*VLOOKUP('Données projet'!$B$9,Paramètres!$A$1:$I$89,3,0)*0.475*44/12</f>
        <v>0.39954008836820221</v>
      </c>
      <c r="AB166" s="21">
        <f>EXP(-LN(2)/2)*AB165+(1-EXP(-LN(2)/2))/(LN(2)/2)*V166*Y166*VLOOKUP('Données projet'!$B$9,Paramètres!$A$1:$I$89,3,0)*0.475*44/12</f>
        <v>1.6220826813514643E-20</v>
      </c>
      <c r="AC166" s="22">
        <f t="shared" si="163"/>
        <v>0.62138539070012011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1.5961632016114892E-13</v>
      </c>
      <c r="AK166" s="13">
        <f t="shared" si="164"/>
        <v>2.2708641912150958E-12</v>
      </c>
      <c r="AL166" s="20">
        <f t="shared" si="165"/>
        <v>4.2330868906469593E-12</v>
      </c>
      <c r="AM166" s="59">
        <f t="shared" si="113"/>
        <v>293.33333333333752</v>
      </c>
      <c r="AN166" s="59">
        <f ca="1">AVERAGE(OFFSET($AM$3,0,0,'Données projet'!$E$10+1,1))-AVERAGE(OFFSET($H$3,0,0,'Données projet'!$E$10+1,1))</f>
        <v>158.58786357608489</v>
      </c>
      <c r="AO166" s="59">
        <f t="shared" si="144"/>
        <v>163.20074068819849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553.99999999999955</v>
      </c>
      <c r="BE166" s="13">
        <f>BD166*VLOOKUP('Données projet'!$B$11,Paramètres!$A$1:$I$89,3,0)*VLOOKUP('Données projet'!$B$11,Paramètres!$A$1:$I$89,5,0)</f>
        <v>331.29199999999975</v>
      </c>
      <c r="BF166" s="13">
        <f t="shared" si="167"/>
        <v>77.698110787752</v>
      </c>
      <c r="BG166" s="20">
        <f t="shared" si="168"/>
        <v>712.32444295533423</v>
      </c>
      <c r="BH166" s="59">
        <f t="shared" si="116"/>
        <v>1005.6577762886675</v>
      </c>
      <c r="BI166" s="59">
        <f ca="1">AVERAGE(OFFSET($BH$3,0,0,'Données projet'!$E$11+1,1))-AVERAGE(OFFSET($H$3,0,0,'Données projet'!$E$11+1,1))</f>
        <v>316.58509520829671</v>
      </c>
      <c r="BJ166" s="59">
        <f t="shared" si="146"/>
        <v>240.71332110643596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0.18196439565575703</v>
      </c>
      <c r="BQ166" s="21">
        <f>EXP(-LN(2)/25)*BQ165+(1-EXP(-LN(2)/25))/(LN(2)/25)*Calculateur!BL166*Calculateur!BN166*VLOOKUP('Données projet'!$B$11,Paramètres!$A$1:$I$89,3,0)*0.475*44/12</f>
        <v>0.38220863090983725</v>
      </c>
      <c r="BR166" s="21">
        <f>EXP(-LN(2)/2)*BR165+(1-EXP(-LN(2)/2))/(LN(2)/2)*BL166*BO166*VLOOKUP('Données projet'!$B$11,Paramètres!$A$1:$I$89,3,0)*0.475*44/12</f>
        <v>2.1024656434878185E-19</v>
      </c>
      <c r="BS166" s="22">
        <f t="shared" si="169"/>
        <v>0.56417302656559432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-5.1159076974727213E-13</v>
      </c>
      <c r="BZ166" s="13">
        <f>BY166*VLOOKUP('Données projet'!$B$12,Paramètres!$A$1:$I$89,3,0)*VLOOKUP('Données projet'!$B$12,Paramètres!$A$1:$I$89,5,0)</f>
        <v>-4.0702161641092972E-13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260.20517190557814</v>
      </c>
      <c r="CE166" s="59">
        <f t="shared" si="148"/>
        <v>307.22009971147133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0.23426198069011214</v>
      </c>
      <c r="CL166" s="21">
        <f>EXP(-LN(2)/25)*CL165+(1-EXP(-LN(2)/25))/(LN(2)/25)*Calculateur!CG166*Calculateur!CI166*VLOOKUP('Données projet'!$B$12,Paramètres!$A$1:$I$89,3,0)*0.475*44/12</f>
        <v>0.51367611384190026</v>
      </c>
      <c r="CM166" s="21">
        <f>EXP(-LN(2)/2)*CM165+(1-EXP(-LN(2)/2))/(LN(2)/2)*CG166*CJ166*VLOOKUP('Données projet'!$B$12,Paramètres!$A$1:$I$89,3,0)*0.475*44/12</f>
        <v>2.30368081019868E-19</v>
      </c>
      <c r="CN166" s="22">
        <f t="shared" si="172"/>
        <v>0.74793809453201243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4.5474735088646412E-13</v>
      </c>
      <c r="CU166" s="17">
        <f>CT166*VLOOKUP('Données projet'!$B$13,Paramètres!$A$1:$I$89,3,0)*VLOOKUP('Données projet'!$B$13,Paramètres!$A$1:$I$89,5,0)</f>
        <v>4.6111381379887462E-13</v>
      </c>
      <c r="CV166" s="13">
        <f t="shared" si="173"/>
        <v>5.7981965206434308E-12</v>
      </c>
      <c r="CW166" s="20">
        <f t="shared" si="174"/>
        <v>1.0901632165820347E-11</v>
      </c>
      <c r="CX166" s="59">
        <f t="shared" si="122"/>
        <v>293.33333333334423</v>
      </c>
      <c r="CY166" s="59">
        <f ca="1">AVERAGE(OFFSET($CX$3,0,0,'Données projet'!$E$13+1,1))-AVERAGE(OFFSET($H$3,0,0,'Données projet'!$E$13+1,1))</f>
        <v>263.15518481854753</v>
      </c>
      <c r="CZ166" s="59">
        <f t="shared" si="150"/>
        <v>210.80755370263819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0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275.99999999999972</v>
      </c>
      <c r="DP166" s="17">
        <f>DO166*VLOOKUP('Données projet'!$B$14,Paramètres!$A$1:$I$89,3,0)*VLOOKUP('Données projet'!$B$14,Paramètres!$A$1:$I$89,5,0)</f>
        <v>223.8911999999998</v>
      </c>
      <c r="DQ166" s="13">
        <f t="shared" si="176"/>
        <v>54.95975389514858</v>
      </c>
      <c r="DR166" s="20">
        <f t="shared" si="177"/>
        <v>485.66541136738346</v>
      </c>
      <c r="DS166" s="59">
        <f t="shared" si="125"/>
        <v>778.99874470071677</v>
      </c>
      <c r="DT166" s="59">
        <f ca="1">AVERAGE(OFFSET($DS$3,0,0,'Données projet'!$E$14+1,1))-AVERAGE(OFFSET($H$3,0,0,'Données projet'!$E$14+1,1))</f>
        <v>203.21935660591021</v>
      </c>
      <c r="DU166" s="59">
        <f t="shared" si="152"/>
        <v>180.54762778843178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7.1978513341791367E-2</v>
      </c>
      <c r="EB166" s="21">
        <f>EXP(-LN(2)/25)*EB165+(1-EXP(-LN(2)/25))/(LN(2)/25)*Calculateur!DW166*Calculateur!DY166*VLOOKUP('Données projet'!$B$14,Paramètres!$A$1:$I$89,3,0)*0.475*44/12</f>
        <v>0.14528656291568862</v>
      </c>
      <c r="EC166" s="21">
        <f>EXP(-LN(2)/2)*EC165+(1-EXP(-LN(2)/2))/(LN(2)/2)*DW166*DZ166*VLOOKUP('Données projet'!$B$14,Paramètres!$A$1:$I$89,3,0)*0.475*44/12</f>
        <v>8.6848465703605549E-20</v>
      </c>
      <c r="ED166" s="22">
        <f t="shared" si="178"/>
        <v>0.21726507625747998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-5.1159076974727213E-13</v>
      </c>
      <c r="EK166" s="17">
        <f>EJ166*VLOOKUP('Données projet'!$B$15,Paramètres!$A$1:$I$89,3,0)*VLOOKUP('Données projet'!$B$15,Paramètres!$A$1:$I$89,5,0)</f>
        <v>-3.4317508834647017E-13</v>
      </c>
      <c r="EL166" s="13" t="e">
        <f t="shared" si="179"/>
        <v>#NUM!</v>
      </c>
      <c r="EM166" s="20" t="e">
        <f t="shared" si="180"/>
        <v>#NUM!</v>
      </c>
      <c r="EN166" s="59" t="e">
        <f t="shared" si="128"/>
        <v>#NUM!</v>
      </c>
      <c r="EO166" s="59">
        <f ca="1">AVERAGE(OFFSET($EN$3,0,0,'Données projet'!$E$15+1,1))-AVERAGE(OFFSET($H$3,0,0,'Données projet'!$E$15+1,1))</f>
        <v>207.93042467236967</v>
      </c>
      <c r="EP166" s="59">
        <f t="shared" si="154"/>
        <v>250.70954318710835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0.19751500332695707</v>
      </c>
      <c r="EW166" s="21">
        <f>EXP(-LN(2)/25)*EW165+(1-EXP(-LN(2)/25))/(LN(2)/25)*Calculateur!ER166*Calculateur!ET166*VLOOKUP('Données projet'!$B$15,Paramètres!$A$1:$I$89,3,0)*0.475*44/12</f>
        <v>0.43309946853336762</v>
      </c>
      <c r="EX166" s="21">
        <f>EXP(-LN(2)/2)*EX165+(1-EXP(-LN(2)/2))/(LN(2)/2)*ER166*EU166*VLOOKUP('Données projet'!$B$15,Paramètres!$A$1:$I$89,3,0)*0.475*44/12</f>
        <v>1.9423191144812399E-19</v>
      </c>
      <c r="EY166" s="22">
        <f t="shared" si="181"/>
        <v>0.63061447186032471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-2.2737367544323206E-13</v>
      </c>
      <c r="O167" s="13">
        <f>N167*VLOOKUP('Données projet'!$B$9,Paramètres!$A$1:$I$89,3,0)*VLOOKUP('Données projet'!$B$9,Paramètres!$A$1:$I$89,5,0)</f>
        <v>-1.2710188457276673E-13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255.5374979188561</v>
      </c>
      <c r="T167" s="59">
        <f t="shared" si="142"/>
        <v>343.10418468620901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0.21749505126546242</v>
      </c>
      <c r="AA167" s="21">
        <f>EXP(-LN(2)/25)*AA166+(1-EXP(-LN(2)/25))/(LN(2)/25)*Calculateur!V167*Calculateur!X167*VLOOKUP('Données projet'!$B$9,Paramètres!$A$1:$I$89,3,0)*0.475*44/12</f>
        <v>0.38861464364087361</v>
      </c>
      <c r="AB167" s="21">
        <f>EXP(-LN(2)/2)*AB166+(1-EXP(-LN(2)/2))/(LN(2)/2)*V167*Y167*VLOOKUP('Données projet'!$B$9,Paramètres!$A$1:$I$89,3,0)*0.475*44/12</f>
        <v>1.1469856636288782E-20</v>
      </c>
      <c r="AC167" s="22">
        <f t="shared" si="163"/>
        <v>0.60610969490633604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1.5961632016114892E-13</v>
      </c>
      <c r="AK167" s="13">
        <f t="shared" si="164"/>
        <v>2.2708641912150958E-12</v>
      </c>
      <c r="AL167" s="20">
        <f t="shared" si="165"/>
        <v>4.2330868906469593E-12</v>
      </c>
      <c r="AM167" s="59">
        <f t="shared" si="113"/>
        <v>293.33333333333752</v>
      </c>
      <c r="AN167" s="59">
        <f ca="1">AVERAGE(OFFSET($AM$3,0,0,'Données projet'!$E$10+1,1))-AVERAGE(OFFSET($H$3,0,0,'Données projet'!$E$10+1,1))</f>
        <v>158.58786357608489</v>
      </c>
      <c r="AO167" s="59">
        <f t="shared" si="144"/>
        <v>163.20074068819849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553.99999999999955</v>
      </c>
      <c r="BE167" s="13">
        <f>BD167*VLOOKUP('Données projet'!$B$11,Paramètres!$A$1:$I$89,3,0)*VLOOKUP('Données projet'!$B$11,Paramètres!$A$1:$I$89,5,0)</f>
        <v>331.29199999999975</v>
      </c>
      <c r="BF167" s="13">
        <f t="shared" si="167"/>
        <v>77.698110787752</v>
      </c>
      <c r="BG167" s="20">
        <f t="shared" si="168"/>
        <v>712.32444295533423</v>
      </c>
      <c r="BH167" s="59">
        <f t="shared" si="116"/>
        <v>1005.6577762886675</v>
      </c>
      <c r="BI167" s="59">
        <f ca="1">AVERAGE(OFFSET($BH$3,0,0,'Données projet'!$E$11+1,1))-AVERAGE(OFFSET($H$3,0,0,'Données projet'!$E$11+1,1))</f>
        <v>316.58509520829671</v>
      </c>
      <c r="BJ167" s="59">
        <f t="shared" si="146"/>
        <v>240.71332110643596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0.17839618484426989</v>
      </c>
      <c r="BQ167" s="21">
        <f>EXP(-LN(2)/25)*BQ166+(1-EXP(-LN(2)/25))/(LN(2)/25)*Calculateur!BL167*Calculateur!BN167*VLOOKUP('Données projet'!$B$11,Paramètres!$A$1:$I$89,3,0)*0.475*44/12</f>
        <v>0.37175711579812942</v>
      </c>
      <c r="BR167" s="21">
        <f>EXP(-LN(2)/2)*BR166+(1-EXP(-LN(2)/2))/(LN(2)/2)*BL167*BO167*VLOOKUP('Données projet'!$B$11,Paramètres!$A$1:$I$89,3,0)*0.475*44/12</f>
        <v>1.4866677137219747E-19</v>
      </c>
      <c r="BS167" s="22">
        <f t="shared" si="169"/>
        <v>0.55015330064239931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-5.1159076974727213E-13</v>
      </c>
      <c r="BZ167" s="13">
        <f>BY167*VLOOKUP('Données projet'!$B$12,Paramètres!$A$1:$I$89,3,0)*VLOOKUP('Données projet'!$B$12,Paramètres!$A$1:$I$89,5,0)</f>
        <v>-4.0702161641092972E-13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260.20517190557814</v>
      </c>
      <c r="CE167" s="59">
        <f t="shared" si="148"/>
        <v>307.22009971147133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0.22966824613447848</v>
      </c>
      <c r="CL167" s="21">
        <f>EXP(-LN(2)/25)*CL166+(1-EXP(-LN(2)/25))/(LN(2)/25)*Calculateur!CG167*Calculateur!CI167*VLOOKUP('Données projet'!$B$12,Paramètres!$A$1:$I$89,3,0)*0.475*44/12</f>
        <v>0.49962961349584067</v>
      </c>
      <c r="CM167" s="21">
        <f>EXP(-LN(2)/2)*CM166+(1-EXP(-LN(2)/2))/(LN(2)/2)*CG167*CJ167*VLOOKUP('Données projet'!$B$12,Paramètres!$A$1:$I$89,3,0)*0.475*44/12</f>
        <v>1.6289483225808065E-19</v>
      </c>
      <c r="CN167" s="22">
        <f t="shared" si="172"/>
        <v>0.72929785963031912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4.5474735088646412E-13</v>
      </c>
      <c r="CU167" s="17">
        <f>CT167*VLOOKUP('Données projet'!$B$13,Paramètres!$A$1:$I$89,3,0)*VLOOKUP('Données projet'!$B$13,Paramètres!$A$1:$I$89,5,0)</f>
        <v>4.6111381379887462E-13</v>
      </c>
      <c r="CV167" s="13">
        <f t="shared" si="173"/>
        <v>5.7981965206434308E-12</v>
      </c>
      <c r="CW167" s="20">
        <f t="shared" si="174"/>
        <v>1.0901632165820347E-11</v>
      </c>
      <c r="CX167" s="59">
        <f t="shared" si="122"/>
        <v>293.33333333334423</v>
      </c>
      <c r="CY167" s="59">
        <f ca="1">AVERAGE(OFFSET($CX$3,0,0,'Données projet'!$E$13+1,1))-AVERAGE(OFFSET($H$3,0,0,'Données projet'!$E$13+1,1))</f>
        <v>263.15518481854753</v>
      </c>
      <c r="CZ167" s="59">
        <f t="shared" si="150"/>
        <v>210.80755370263819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0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275.99999999999972</v>
      </c>
      <c r="DP167" s="17">
        <f>DO167*VLOOKUP('Données projet'!$B$14,Paramètres!$A$1:$I$89,3,0)*VLOOKUP('Données projet'!$B$14,Paramètres!$A$1:$I$89,5,0)</f>
        <v>223.8911999999998</v>
      </c>
      <c r="DQ167" s="13">
        <f t="shared" si="176"/>
        <v>54.95975389514858</v>
      </c>
      <c r="DR167" s="20">
        <f t="shared" si="177"/>
        <v>485.66541136738346</v>
      </c>
      <c r="DS167" s="59">
        <f t="shared" si="125"/>
        <v>778.99874470071677</v>
      </c>
      <c r="DT167" s="59">
        <f ca="1">AVERAGE(OFFSET($DS$3,0,0,'Données projet'!$E$14+1,1))-AVERAGE(OFFSET($H$3,0,0,'Données projet'!$E$14+1,1))</f>
        <v>203.21935660591021</v>
      </c>
      <c r="DU167" s="59">
        <f t="shared" si="152"/>
        <v>180.54762778843178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7.0567058597716961E-2</v>
      </c>
      <c r="EB167" s="21">
        <f>EXP(-LN(2)/25)*EB166+(1-EXP(-LN(2)/25))/(LN(2)/25)*Calculateur!DW167*Calculateur!DY167*VLOOKUP('Données projet'!$B$14,Paramètres!$A$1:$I$89,3,0)*0.475*44/12</f>
        <v>0.14131369421247084</v>
      </c>
      <c r="EC167" s="21">
        <f>EXP(-LN(2)/2)*EC166+(1-EXP(-LN(2)/2))/(LN(2)/2)*DW167*DZ167*VLOOKUP('Données projet'!$B$14,Paramètres!$A$1:$I$89,3,0)*0.475*44/12</f>
        <v>6.1411139034666785E-20</v>
      </c>
      <c r="ED167" s="22">
        <f t="shared" si="178"/>
        <v>0.21188075281018781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-5.1159076974727213E-13</v>
      </c>
      <c r="EK167" s="17">
        <f>EJ167*VLOOKUP('Données projet'!$B$15,Paramètres!$A$1:$I$89,3,0)*VLOOKUP('Données projet'!$B$15,Paramètres!$A$1:$I$89,5,0)</f>
        <v>-3.4317508834647017E-13</v>
      </c>
      <c r="EL167" s="13" t="e">
        <f t="shared" si="179"/>
        <v>#NUM!</v>
      </c>
      <c r="EM167" s="20" t="e">
        <f t="shared" si="180"/>
        <v>#NUM!</v>
      </c>
      <c r="EN167" s="59" t="e">
        <f t="shared" si="128"/>
        <v>#NUM!</v>
      </c>
      <c r="EO167" s="59">
        <f ca="1">AVERAGE(OFFSET($EN$3,0,0,'Données projet'!$E$15+1,1))-AVERAGE(OFFSET($H$3,0,0,'Données projet'!$E$15+1,1))</f>
        <v>207.93042467236967</v>
      </c>
      <c r="EP167" s="59">
        <f t="shared" si="154"/>
        <v>250.70954318710835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0.19364185458397182</v>
      </c>
      <c r="EW167" s="21">
        <f>EXP(-LN(2)/25)*EW166+(1-EXP(-LN(2)/25))/(LN(2)/25)*Calculateur!ER167*Calculateur!ET167*VLOOKUP('Données projet'!$B$15,Paramètres!$A$1:$I$89,3,0)*0.475*44/12</f>
        <v>0.42125634079061147</v>
      </c>
      <c r="EX167" s="21">
        <f>EXP(-LN(2)/2)*EX166+(1-EXP(-LN(2)/2))/(LN(2)/2)*ER167*EU167*VLOOKUP('Données projet'!$B$15,Paramètres!$A$1:$I$89,3,0)*0.475*44/12</f>
        <v>1.3734270170779348E-19</v>
      </c>
      <c r="EY167" s="22">
        <f t="shared" si="181"/>
        <v>0.61489819537458335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-2.2737367544323206E-13</v>
      </c>
      <c r="O168" s="13">
        <f>N168*VLOOKUP('Données projet'!$B$9,Paramètres!$A$1:$I$89,3,0)*VLOOKUP('Données projet'!$B$9,Paramètres!$A$1:$I$89,5,0)</f>
        <v>-1.2710188457276673E-13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255.5374979188561</v>
      </c>
      <c r="T168" s="59">
        <f t="shared" si="142"/>
        <v>343.10418468620901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0.213230105969029</v>
      </c>
      <c r="AA168" s="21">
        <f>EXP(-LN(2)/25)*AA167+(1-EXP(-LN(2)/25))/(LN(2)/25)*Calculateur!V168*Calculateur!X168*VLOOKUP('Données projet'!$B$9,Paramètres!$A$1:$I$89,3,0)*0.475*44/12</f>
        <v>0.377987955774158</v>
      </c>
      <c r="AB168" s="21">
        <f>EXP(-LN(2)/2)*AB167+(1-EXP(-LN(2)/2))/(LN(2)/2)*V168*Y168*VLOOKUP('Données projet'!$B$9,Paramètres!$A$1:$I$89,3,0)*0.475*44/12</f>
        <v>8.1104134067573214E-21</v>
      </c>
      <c r="AC168" s="22">
        <f t="shared" si="163"/>
        <v>0.59121806174318703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1.5961632016114892E-13</v>
      </c>
      <c r="AK168" s="13">
        <f t="shared" si="164"/>
        <v>2.2708641912150958E-12</v>
      </c>
      <c r="AL168" s="20">
        <f t="shared" si="165"/>
        <v>4.2330868906469593E-12</v>
      </c>
      <c r="AM168" s="59">
        <f t="shared" si="113"/>
        <v>293.33333333333752</v>
      </c>
      <c r="AN168" s="59">
        <f ca="1">AVERAGE(OFFSET($AM$3,0,0,'Données projet'!$E$10+1,1))-AVERAGE(OFFSET($H$3,0,0,'Données projet'!$E$10+1,1))</f>
        <v>158.58786357608489</v>
      </c>
      <c r="AO168" s="59">
        <f t="shared" si="144"/>
        <v>163.20074068819849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553.99999999999955</v>
      </c>
      <c r="BE168" s="13">
        <f>BD168*VLOOKUP('Données projet'!$B$11,Paramètres!$A$1:$I$89,3,0)*VLOOKUP('Données projet'!$B$11,Paramètres!$A$1:$I$89,5,0)</f>
        <v>331.29199999999975</v>
      </c>
      <c r="BF168" s="13">
        <f t="shared" si="167"/>
        <v>77.698110787752</v>
      </c>
      <c r="BG168" s="20">
        <f t="shared" si="168"/>
        <v>712.32444295533423</v>
      </c>
      <c r="BH168" s="59">
        <f t="shared" si="116"/>
        <v>1005.6577762886675</v>
      </c>
      <c r="BI168" s="59">
        <f ca="1">AVERAGE(OFFSET($BH$3,0,0,'Données projet'!$E$11+1,1))-AVERAGE(OFFSET($H$3,0,0,'Données projet'!$E$11+1,1))</f>
        <v>316.58509520829671</v>
      </c>
      <c r="BJ168" s="59">
        <f t="shared" si="146"/>
        <v>240.71332110643596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0.17489794447040233</v>
      </c>
      <c r="BQ168" s="21">
        <f>EXP(-LN(2)/25)*BQ167+(1-EXP(-LN(2)/25))/(LN(2)/25)*Calculateur!BL168*Calculateur!BN168*VLOOKUP('Données projet'!$B$11,Paramètres!$A$1:$I$89,3,0)*0.475*44/12</f>
        <v>0.36159139791677253</v>
      </c>
      <c r="BR168" s="21">
        <f>EXP(-LN(2)/2)*BR167+(1-EXP(-LN(2)/2))/(LN(2)/2)*BL168*BO168*VLOOKUP('Données projet'!$B$11,Paramètres!$A$1:$I$89,3,0)*0.475*44/12</f>
        <v>1.0512328217439093E-19</v>
      </c>
      <c r="BS168" s="22">
        <f t="shared" si="169"/>
        <v>0.53648934238717483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-5.1159076974727213E-13</v>
      </c>
      <c r="BZ168" s="13">
        <f>BY168*VLOOKUP('Données projet'!$B$12,Paramètres!$A$1:$I$89,3,0)*VLOOKUP('Données projet'!$B$12,Paramètres!$A$1:$I$89,5,0)</f>
        <v>-4.0702161641092972E-13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260.20517190557814</v>
      </c>
      <c r="CE168" s="59">
        <f t="shared" si="148"/>
        <v>307.22009971147133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0.22516459191157936</v>
      </c>
      <c r="CL168" s="21">
        <f>EXP(-LN(2)/25)*CL167+(1-EXP(-LN(2)/25))/(LN(2)/25)*Calculateur!CG168*Calculateur!CI168*VLOOKUP('Données projet'!$B$12,Paramètres!$A$1:$I$89,3,0)*0.475*44/12</f>
        <v>0.48596721544041743</v>
      </c>
      <c r="CM168" s="21">
        <f>EXP(-LN(2)/2)*CM167+(1-EXP(-LN(2)/2))/(LN(2)/2)*CG168*CJ168*VLOOKUP('Données projet'!$B$12,Paramètres!$A$1:$I$89,3,0)*0.475*44/12</f>
        <v>1.15184040509934E-19</v>
      </c>
      <c r="CN168" s="22">
        <f t="shared" si="172"/>
        <v>0.71113180735199677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4.5474735088646412E-13</v>
      </c>
      <c r="CU168" s="17">
        <f>CT168*VLOOKUP('Données projet'!$B$13,Paramètres!$A$1:$I$89,3,0)*VLOOKUP('Données projet'!$B$13,Paramètres!$A$1:$I$89,5,0)</f>
        <v>4.6111381379887462E-13</v>
      </c>
      <c r="CV168" s="13">
        <f t="shared" si="173"/>
        <v>5.7981965206434308E-12</v>
      </c>
      <c r="CW168" s="20">
        <f t="shared" si="174"/>
        <v>1.0901632165820347E-11</v>
      </c>
      <c r="CX168" s="59">
        <f t="shared" si="122"/>
        <v>293.33333333334423</v>
      </c>
      <c r="CY168" s="59">
        <f ca="1">AVERAGE(OFFSET($CX$3,0,0,'Données projet'!$E$13+1,1))-AVERAGE(OFFSET($H$3,0,0,'Données projet'!$E$13+1,1))</f>
        <v>263.15518481854753</v>
      </c>
      <c r="CZ168" s="59">
        <f t="shared" si="150"/>
        <v>210.80755370263819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0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275.99999999999972</v>
      </c>
      <c r="DP168" s="17">
        <f>DO168*VLOOKUP('Données projet'!$B$14,Paramètres!$A$1:$I$89,3,0)*VLOOKUP('Données projet'!$B$14,Paramètres!$A$1:$I$89,5,0)</f>
        <v>223.8911999999998</v>
      </c>
      <c r="DQ168" s="13">
        <f t="shared" si="176"/>
        <v>54.95975389514858</v>
      </c>
      <c r="DR168" s="20">
        <f t="shared" si="177"/>
        <v>485.66541136738346</v>
      </c>
      <c r="DS168" s="59">
        <f t="shared" si="125"/>
        <v>778.99874470071677</v>
      </c>
      <c r="DT168" s="59">
        <f ca="1">AVERAGE(OFFSET($DS$3,0,0,'Données projet'!$E$14+1,1))-AVERAGE(OFFSET($H$3,0,0,'Données projet'!$E$14+1,1))</f>
        <v>203.21935660591021</v>
      </c>
      <c r="DU168" s="59">
        <f t="shared" si="152"/>
        <v>180.54762778843178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6.9183281620271472E-2</v>
      </c>
      <c r="EB168" s="21">
        <f>EXP(-LN(2)/25)*EB167+(1-EXP(-LN(2)/25))/(LN(2)/25)*Calculateur!DW168*Calculateur!DY168*VLOOKUP('Données projet'!$B$14,Paramètres!$A$1:$I$89,3,0)*0.475*44/12</f>
        <v>0.13744946381286663</v>
      </c>
      <c r="EC168" s="21">
        <f>EXP(-LN(2)/2)*EC167+(1-EXP(-LN(2)/2))/(LN(2)/2)*DW168*DZ168*VLOOKUP('Données projet'!$B$14,Paramètres!$A$1:$I$89,3,0)*0.475*44/12</f>
        <v>4.3424232851802775E-20</v>
      </c>
      <c r="ED168" s="22">
        <f t="shared" si="178"/>
        <v>0.20663274543313809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-5.1159076974727213E-13</v>
      </c>
      <c r="EK168" s="17">
        <f>EJ168*VLOOKUP('Données projet'!$B$15,Paramètres!$A$1:$I$89,3,0)*VLOOKUP('Données projet'!$B$15,Paramètres!$A$1:$I$89,5,0)</f>
        <v>-3.4317508834647017E-13</v>
      </c>
      <c r="EL168" s="13" t="e">
        <f t="shared" si="179"/>
        <v>#NUM!</v>
      </c>
      <c r="EM168" s="20" t="e">
        <f t="shared" si="180"/>
        <v>#NUM!</v>
      </c>
      <c r="EN168" s="59" t="e">
        <f t="shared" si="128"/>
        <v>#NUM!</v>
      </c>
      <c r="EO168" s="59">
        <f ca="1">AVERAGE(OFFSET($EN$3,0,0,'Données projet'!$E$15+1,1))-AVERAGE(OFFSET($H$3,0,0,'Données projet'!$E$15+1,1))</f>
        <v>207.93042467236967</v>
      </c>
      <c r="EP168" s="59">
        <f t="shared" si="154"/>
        <v>250.70954318710835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0.18984465592544905</v>
      </c>
      <c r="EW168" s="21">
        <f>EXP(-LN(2)/25)*EW167+(1-EXP(-LN(2)/25))/(LN(2)/25)*Calculateur!ER168*Calculateur!ET168*VLOOKUP('Données projet'!$B$15,Paramètres!$A$1:$I$89,3,0)*0.475*44/12</f>
        <v>0.40973706399878401</v>
      </c>
      <c r="EX168" s="21">
        <f>EXP(-LN(2)/2)*EX167+(1-EXP(-LN(2)/2))/(LN(2)/2)*ER168*EU168*VLOOKUP('Données projet'!$B$15,Paramètres!$A$1:$I$89,3,0)*0.475*44/12</f>
        <v>9.7115955724061993E-20</v>
      </c>
      <c r="EY168" s="22">
        <f t="shared" si="181"/>
        <v>0.59958171992423304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-2.2737367544323206E-13</v>
      </c>
      <c r="O169" s="13">
        <f>N169*VLOOKUP('Données projet'!$B$9,Paramètres!$A$1:$I$89,3,0)*VLOOKUP('Données projet'!$B$9,Paramètres!$A$1:$I$89,5,0)</f>
        <v>-1.2710188457276673E-13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255.5374979188561</v>
      </c>
      <c r="T169" s="59">
        <f t="shared" si="142"/>
        <v>343.10418468620901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0.20904879364849888</v>
      </c>
      <c r="AA169" s="21">
        <f>EXP(-LN(2)/25)*AA168+(1-EXP(-LN(2)/25))/(LN(2)/25)*Calculateur!V169*Calculateur!X169*VLOOKUP('Données projet'!$B$9,Paramètres!$A$1:$I$89,3,0)*0.475*44/12</f>
        <v>0.36765185524599098</v>
      </c>
      <c r="AB169" s="21">
        <f>EXP(-LN(2)/2)*AB168+(1-EXP(-LN(2)/2))/(LN(2)/2)*V169*Y169*VLOOKUP('Données projet'!$B$9,Paramètres!$A$1:$I$89,3,0)*0.475*44/12</f>
        <v>5.7349283181443908E-21</v>
      </c>
      <c r="AC169" s="22">
        <f t="shared" si="163"/>
        <v>0.57670064889448991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1.5961632016114892E-13</v>
      </c>
      <c r="AK169" s="13">
        <f t="shared" si="164"/>
        <v>2.2708641912150958E-12</v>
      </c>
      <c r="AL169" s="20">
        <f t="shared" si="165"/>
        <v>4.2330868906469593E-12</v>
      </c>
      <c r="AM169" s="59">
        <f t="shared" si="113"/>
        <v>293.33333333333752</v>
      </c>
      <c r="AN169" s="59">
        <f ca="1">AVERAGE(OFFSET($AM$3,0,0,'Données projet'!$E$10+1,1))-AVERAGE(OFFSET($H$3,0,0,'Données projet'!$E$10+1,1))</f>
        <v>158.58786357608489</v>
      </c>
      <c r="AO169" s="59">
        <f t="shared" si="144"/>
        <v>163.20074068819849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553.99999999999955</v>
      </c>
      <c r="BE169" s="13">
        <f>BD169*VLOOKUP('Données projet'!$B$11,Paramètres!$A$1:$I$89,3,0)*VLOOKUP('Données projet'!$B$11,Paramètres!$A$1:$I$89,5,0)</f>
        <v>331.29199999999975</v>
      </c>
      <c r="BF169" s="13">
        <f t="shared" si="167"/>
        <v>77.698110787752</v>
      </c>
      <c r="BG169" s="20">
        <f t="shared" si="168"/>
        <v>712.32444295533423</v>
      </c>
      <c r="BH169" s="59">
        <f t="shared" si="116"/>
        <v>1005.6577762886675</v>
      </c>
      <c r="BI169" s="59">
        <f ca="1">AVERAGE(OFFSET($BH$3,0,0,'Données projet'!$E$11+1,1))-AVERAGE(OFFSET($H$3,0,0,'Données projet'!$E$11+1,1))</f>
        <v>316.58509520829671</v>
      </c>
      <c r="BJ169" s="59">
        <f t="shared" si="146"/>
        <v>240.71332110643596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0.17146830245655037</v>
      </c>
      <c r="BQ169" s="21">
        <f>EXP(-LN(2)/25)*BQ168+(1-EXP(-LN(2)/25))/(LN(2)/25)*Calculateur!BL169*Calculateur!BN169*VLOOKUP('Données projet'!$B$11,Paramètres!$A$1:$I$89,3,0)*0.475*44/12</f>
        <v>0.35170366212547322</v>
      </c>
      <c r="BR169" s="21">
        <f>EXP(-LN(2)/2)*BR168+(1-EXP(-LN(2)/2))/(LN(2)/2)*BL169*BO169*VLOOKUP('Données projet'!$B$11,Paramètres!$A$1:$I$89,3,0)*0.475*44/12</f>
        <v>7.4333385686098736E-20</v>
      </c>
      <c r="BS169" s="22">
        <f t="shared" si="169"/>
        <v>0.52317196458202364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-5.1159076974727213E-13</v>
      </c>
      <c r="BZ169" s="13">
        <f>BY169*VLOOKUP('Données projet'!$B$12,Paramètres!$A$1:$I$89,3,0)*VLOOKUP('Données projet'!$B$12,Paramètres!$A$1:$I$89,5,0)</f>
        <v>-4.0702161641092972E-13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260.20517190557814</v>
      </c>
      <c r="CE169" s="59">
        <f t="shared" si="148"/>
        <v>307.22009971147133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0.22074925160103348</v>
      </c>
      <c r="CL169" s="21">
        <f>EXP(-LN(2)/25)*CL168+(1-EXP(-LN(2)/25))/(LN(2)/25)*Calculateur!CG169*Calculateur!CI169*VLOOKUP('Données projet'!$B$12,Paramètres!$A$1:$I$89,3,0)*0.475*44/12</f>
        <v>0.47267841637829405</v>
      </c>
      <c r="CM169" s="21">
        <f>EXP(-LN(2)/2)*CM168+(1-EXP(-LN(2)/2))/(LN(2)/2)*CG169*CJ169*VLOOKUP('Données projet'!$B$12,Paramètres!$A$1:$I$89,3,0)*0.475*44/12</f>
        <v>8.1447416129040326E-20</v>
      </c>
      <c r="CN169" s="22">
        <f t="shared" si="172"/>
        <v>0.69342766797932753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4.5474735088646412E-13</v>
      </c>
      <c r="CU169" s="17">
        <f>CT169*VLOOKUP('Données projet'!$B$13,Paramètres!$A$1:$I$89,3,0)*VLOOKUP('Données projet'!$B$13,Paramètres!$A$1:$I$89,5,0)</f>
        <v>4.6111381379887462E-13</v>
      </c>
      <c r="CV169" s="13">
        <f t="shared" si="173"/>
        <v>5.7981965206434308E-12</v>
      </c>
      <c r="CW169" s="20">
        <f t="shared" si="174"/>
        <v>1.0901632165820347E-11</v>
      </c>
      <c r="CX169" s="59">
        <f t="shared" si="122"/>
        <v>293.33333333334423</v>
      </c>
      <c r="CY169" s="59">
        <f ca="1">AVERAGE(OFFSET($CX$3,0,0,'Données projet'!$E$13+1,1))-AVERAGE(OFFSET($H$3,0,0,'Données projet'!$E$13+1,1))</f>
        <v>263.15518481854753</v>
      </c>
      <c r="CZ169" s="59">
        <f t="shared" si="150"/>
        <v>210.80755370263819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0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275.99999999999972</v>
      </c>
      <c r="DP169" s="17">
        <f>DO169*VLOOKUP('Données projet'!$B$14,Paramètres!$A$1:$I$89,3,0)*VLOOKUP('Données projet'!$B$14,Paramètres!$A$1:$I$89,5,0)</f>
        <v>223.8911999999998</v>
      </c>
      <c r="DQ169" s="13">
        <f t="shared" si="176"/>
        <v>54.95975389514858</v>
      </c>
      <c r="DR169" s="20">
        <f t="shared" si="177"/>
        <v>485.66541136738346</v>
      </c>
      <c r="DS169" s="59">
        <f t="shared" si="125"/>
        <v>778.99874470071677</v>
      </c>
      <c r="DT169" s="59">
        <f ca="1">AVERAGE(OFFSET($DS$3,0,0,'Données projet'!$E$14+1,1))-AVERAGE(OFFSET($H$3,0,0,'Données projet'!$E$14+1,1))</f>
        <v>203.21935660591021</v>
      </c>
      <c r="DU169" s="59">
        <f t="shared" si="152"/>
        <v>180.54762778843178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6.7826639665333061E-2</v>
      </c>
      <c r="EB169" s="21">
        <f>EXP(-LN(2)/25)*EB168+(1-EXP(-LN(2)/25))/(LN(2)/25)*Calculateur!DW169*Calculateur!DY169*VLOOKUP('Données projet'!$B$14,Paramètres!$A$1:$I$89,3,0)*0.475*44/12</f>
        <v>0.13369090099675063</v>
      </c>
      <c r="EC169" s="21">
        <f>EXP(-LN(2)/2)*EC168+(1-EXP(-LN(2)/2))/(LN(2)/2)*DW169*DZ169*VLOOKUP('Données projet'!$B$14,Paramètres!$A$1:$I$89,3,0)*0.475*44/12</f>
        <v>3.0705569517333393E-20</v>
      </c>
      <c r="ED169" s="22">
        <f t="shared" si="178"/>
        <v>0.20151754066208369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-5.1159076974727213E-13</v>
      </c>
      <c r="EK169" s="17">
        <f>EJ169*VLOOKUP('Données projet'!$B$15,Paramètres!$A$1:$I$89,3,0)*VLOOKUP('Données projet'!$B$15,Paramètres!$A$1:$I$89,5,0)</f>
        <v>-3.4317508834647017E-13</v>
      </c>
      <c r="EL169" s="13" t="e">
        <f t="shared" si="179"/>
        <v>#NUM!</v>
      </c>
      <c r="EM169" s="20" t="e">
        <f t="shared" si="180"/>
        <v>#NUM!</v>
      </c>
      <c r="EN169" s="59" t="e">
        <f t="shared" si="128"/>
        <v>#NUM!</v>
      </c>
      <c r="EO169" s="59">
        <f ca="1">AVERAGE(OFFSET($EN$3,0,0,'Données projet'!$E$15+1,1))-AVERAGE(OFFSET($H$3,0,0,'Données projet'!$E$15+1,1))</f>
        <v>207.93042467236967</v>
      </c>
      <c r="EP169" s="59">
        <f t="shared" si="154"/>
        <v>250.70954318710835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0.18612191801655742</v>
      </c>
      <c r="EW169" s="21">
        <f>EXP(-LN(2)/25)*EW168+(1-EXP(-LN(2)/25))/(LN(2)/25)*Calculateur!ER169*Calculateur!ET169*VLOOKUP('Données projet'!$B$15,Paramètres!$A$1:$I$89,3,0)*0.475*44/12</f>
        <v>0.39853278243660151</v>
      </c>
      <c r="EX169" s="21">
        <f>EXP(-LN(2)/2)*EX168+(1-EXP(-LN(2)/2))/(LN(2)/2)*ER169*EU169*VLOOKUP('Données projet'!$B$15,Paramètres!$A$1:$I$89,3,0)*0.475*44/12</f>
        <v>6.8671350853896741E-20</v>
      </c>
      <c r="EY169" s="22">
        <f t="shared" si="181"/>
        <v>0.58465470045315893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-2.2737367544323206E-13</v>
      </c>
      <c r="O170" s="13">
        <f>N170*VLOOKUP('Données projet'!$B$9,Paramètres!$A$1:$I$89,3,0)*VLOOKUP('Données projet'!$B$9,Paramètres!$A$1:$I$89,5,0)</f>
        <v>-1.2710188457276673E-13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255.5374979188561</v>
      </c>
      <c r="T170" s="59">
        <f t="shared" si="142"/>
        <v>343.10418468620901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0.20494947431222565</v>
      </c>
      <c r="AA170" s="21">
        <f>EXP(-LN(2)/25)*AA169+(1-EXP(-LN(2)/25))/(LN(2)/25)*Calculateur!V170*Calculateur!X170*VLOOKUP('Données projet'!$B$9,Paramètres!$A$1:$I$89,3,0)*0.475*44/12</f>
        <v>0.35759839593031856</v>
      </c>
      <c r="AB170" s="21">
        <f>EXP(-LN(2)/2)*AB169+(1-EXP(-LN(2)/2))/(LN(2)/2)*V170*Y170*VLOOKUP('Données projet'!$B$9,Paramètres!$A$1:$I$89,3,0)*0.475*44/12</f>
        <v>4.0552067033786607E-21</v>
      </c>
      <c r="AC170" s="22">
        <f t="shared" si="163"/>
        <v>0.56254787024254416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1.5961632016114892E-13</v>
      </c>
      <c r="AK170" s="13">
        <f t="shared" si="164"/>
        <v>2.2708641912150958E-12</v>
      </c>
      <c r="AL170" s="20">
        <f t="shared" si="165"/>
        <v>4.2330868906469593E-12</v>
      </c>
      <c r="AM170" s="59">
        <f t="shared" si="113"/>
        <v>293.33333333333752</v>
      </c>
      <c r="AN170" s="59">
        <f ca="1">AVERAGE(OFFSET($AM$3,0,0,'Données projet'!$E$10+1,1))-AVERAGE(OFFSET($H$3,0,0,'Données projet'!$E$10+1,1))</f>
        <v>158.58786357608489</v>
      </c>
      <c r="AO170" s="59">
        <f t="shared" si="144"/>
        <v>163.20074068819849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553.99999999999955</v>
      </c>
      <c r="BE170" s="13">
        <f>BD170*VLOOKUP('Données projet'!$B$11,Paramètres!$A$1:$I$89,3,0)*VLOOKUP('Données projet'!$B$11,Paramètres!$A$1:$I$89,5,0)</f>
        <v>331.29199999999975</v>
      </c>
      <c r="BF170" s="13">
        <f t="shared" si="167"/>
        <v>77.698110787752</v>
      </c>
      <c r="BG170" s="20">
        <f t="shared" si="168"/>
        <v>712.32444295533423</v>
      </c>
      <c r="BH170" s="59">
        <f t="shared" si="116"/>
        <v>1005.6577762886675</v>
      </c>
      <c r="BI170" s="59">
        <f ca="1">AVERAGE(OFFSET($BH$3,0,0,'Données projet'!$E$11+1,1))-AVERAGE(OFFSET($H$3,0,0,'Données projet'!$E$11+1,1))</f>
        <v>316.58509520829671</v>
      </c>
      <c r="BJ170" s="59">
        <f t="shared" si="146"/>
        <v>240.71332110643596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0.16810591363071498</v>
      </c>
      <c r="BQ170" s="21">
        <f>EXP(-LN(2)/25)*BQ169+(1-EXP(-LN(2)/25))/(LN(2)/25)*Calculateur!BL170*Calculateur!BN170*VLOOKUP('Données projet'!$B$11,Paramètres!$A$1:$I$89,3,0)*0.475*44/12</f>
        <v>0.34208630698936038</v>
      </c>
      <c r="BR170" s="21">
        <f>EXP(-LN(2)/2)*BR169+(1-EXP(-LN(2)/2))/(LN(2)/2)*BL170*BO170*VLOOKUP('Données projet'!$B$11,Paramètres!$A$1:$I$89,3,0)*0.475*44/12</f>
        <v>5.2561641087195463E-20</v>
      </c>
      <c r="BS170" s="22">
        <f t="shared" si="169"/>
        <v>0.5101922206200753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-5.1159076974727213E-13</v>
      </c>
      <c r="BZ170" s="13">
        <f>BY170*VLOOKUP('Données projet'!$B$12,Paramètres!$A$1:$I$89,3,0)*VLOOKUP('Données projet'!$B$12,Paramètres!$A$1:$I$89,5,0)</f>
        <v>-4.0702161641092972E-13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260.20517190557814</v>
      </c>
      <c r="CE170" s="59">
        <f t="shared" si="148"/>
        <v>307.22009971147133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0.21642049342088573</v>
      </c>
      <c r="CL170" s="21">
        <f>EXP(-LN(2)/25)*CL169+(1-EXP(-LN(2)/25))/(LN(2)/25)*Calculateur!CG170*Calculateur!CI170*VLOOKUP('Données projet'!$B$12,Paramètres!$A$1:$I$89,3,0)*0.475*44/12</f>
        <v>0.45975300022535198</v>
      </c>
      <c r="CM170" s="21">
        <f>EXP(-LN(2)/2)*CM169+(1-EXP(-LN(2)/2))/(LN(2)/2)*CG170*CJ170*VLOOKUP('Données projet'!$B$12,Paramètres!$A$1:$I$89,3,0)*0.475*44/12</f>
        <v>5.7592020254966999E-20</v>
      </c>
      <c r="CN170" s="22">
        <f t="shared" si="172"/>
        <v>0.67617349364623769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4.5474735088646412E-13</v>
      </c>
      <c r="CU170" s="17">
        <f>CT170*VLOOKUP('Données projet'!$B$13,Paramètres!$A$1:$I$89,3,0)*VLOOKUP('Données projet'!$B$13,Paramètres!$A$1:$I$89,5,0)</f>
        <v>4.6111381379887462E-13</v>
      </c>
      <c r="CV170" s="13">
        <f t="shared" si="173"/>
        <v>5.7981965206434308E-12</v>
      </c>
      <c r="CW170" s="20">
        <f t="shared" si="174"/>
        <v>1.0901632165820347E-11</v>
      </c>
      <c r="CX170" s="59">
        <f t="shared" si="122"/>
        <v>293.33333333334423</v>
      </c>
      <c r="CY170" s="59">
        <f ca="1">AVERAGE(OFFSET($CX$3,0,0,'Données projet'!$E$13+1,1))-AVERAGE(OFFSET($H$3,0,0,'Données projet'!$E$13+1,1))</f>
        <v>263.15518481854753</v>
      </c>
      <c r="CZ170" s="59">
        <f t="shared" si="150"/>
        <v>210.80755370263819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0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275.99999999999972</v>
      </c>
      <c r="DP170" s="17">
        <f>DO170*VLOOKUP('Données projet'!$B$14,Paramètres!$A$1:$I$89,3,0)*VLOOKUP('Données projet'!$B$14,Paramètres!$A$1:$I$89,5,0)</f>
        <v>223.8911999999998</v>
      </c>
      <c r="DQ170" s="13">
        <f t="shared" si="176"/>
        <v>54.95975389514858</v>
      </c>
      <c r="DR170" s="20">
        <f t="shared" si="177"/>
        <v>485.66541136738346</v>
      </c>
      <c r="DS170" s="59">
        <f t="shared" si="125"/>
        <v>778.99874470071677</v>
      </c>
      <c r="DT170" s="59">
        <f ca="1">AVERAGE(OFFSET($DS$3,0,0,'Données projet'!$E$14+1,1))-AVERAGE(OFFSET($H$3,0,0,'Données projet'!$E$14+1,1))</f>
        <v>203.21935660591021</v>
      </c>
      <c r="DU170" s="59">
        <f t="shared" si="152"/>
        <v>180.54762778843178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6.6496600631661115E-2</v>
      </c>
      <c r="EB170" s="21">
        <f>EXP(-LN(2)/25)*EB169+(1-EXP(-LN(2)/25))/(LN(2)/25)*Calculateur!DW170*Calculateur!DY170*VLOOKUP('Données projet'!$B$14,Paramètres!$A$1:$I$89,3,0)*0.475*44/12</f>
        <v>0.13003511627849557</v>
      </c>
      <c r="EC170" s="21">
        <f>EXP(-LN(2)/2)*EC169+(1-EXP(-LN(2)/2))/(LN(2)/2)*DW170*DZ170*VLOOKUP('Données projet'!$B$14,Paramètres!$A$1:$I$89,3,0)*0.475*44/12</f>
        <v>2.1712116425901387E-20</v>
      </c>
      <c r="ED170" s="22">
        <f t="shared" si="178"/>
        <v>0.1965317169101567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-5.1159076974727213E-13</v>
      </c>
      <c r="EK170" s="17">
        <f>EJ170*VLOOKUP('Données projet'!$B$15,Paramètres!$A$1:$I$89,3,0)*VLOOKUP('Données projet'!$B$15,Paramètres!$A$1:$I$89,5,0)</f>
        <v>-3.4317508834647017E-13</v>
      </c>
      <c r="EL170" s="13" t="e">
        <f t="shared" si="179"/>
        <v>#NUM!</v>
      </c>
      <c r="EM170" s="20" t="e">
        <f t="shared" si="180"/>
        <v>#NUM!</v>
      </c>
      <c r="EN170" s="59" t="e">
        <f t="shared" si="128"/>
        <v>#NUM!</v>
      </c>
      <c r="EO170" s="59">
        <f ca="1">AVERAGE(OFFSET($EN$3,0,0,'Données projet'!$E$15+1,1))-AVERAGE(OFFSET($H$3,0,0,'Données projet'!$E$15+1,1))</f>
        <v>207.93042467236967</v>
      </c>
      <c r="EP170" s="59">
        <f t="shared" si="154"/>
        <v>250.70954318710835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0.18247218072741322</v>
      </c>
      <c r="EW170" s="21">
        <f>EXP(-LN(2)/25)*EW169+(1-EXP(-LN(2)/25))/(LN(2)/25)*Calculateur!ER170*Calculateur!ET170*VLOOKUP('Données projet'!$B$15,Paramètres!$A$1:$I$89,3,0)*0.475*44/12</f>
        <v>0.38763488254294448</v>
      </c>
      <c r="EX170" s="21">
        <f>EXP(-LN(2)/2)*EX169+(1-EXP(-LN(2)/2))/(LN(2)/2)*ER170*EU170*VLOOKUP('Données projet'!$B$15,Paramètres!$A$1:$I$89,3,0)*0.475*44/12</f>
        <v>4.8557977862030997E-20</v>
      </c>
      <c r="EY170" s="22">
        <f t="shared" si="181"/>
        <v>0.57010706327035776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-2.2737367544323206E-13</v>
      </c>
      <c r="O171" s="13">
        <f>N171*VLOOKUP('Données projet'!$B$9,Paramètres!$A$1:$I$89,3,0)*VLOOKUP('Données projet'!$B$9,Paramètres!$A$1:$I$89,5,0)</f>
        <v>-1.2710188457276673E-13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255.5374979188561</v>
      </c>
      <c r="T171" s="59">
        <f t="shared" si="142"/>
        <v>343.10418468620901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0.20093054012779885</v>
      </c>
      <c r="AA171" s="21">
        <f>EXP(-LN(2)/25)*AA170+(1-EXP(-LN(2)/25))/(LN(2)/25)*Calculateur!V171*Calculateur!X171*VLOOKUP('Données projet'!$B$9,Paramètres!$A$1:$I$89,3,0)*0.475*44/12</f>
        <v>0.34781984898832163</v>
      </c>
      <c r="AB171" s="21">
        <f>EXP(-LN(2)/2)*AB170+(1-EXP(-LN(2)/2))/(LN(2)/2)*V171*Y171*VLOOKUP('Données projet'!$B$9,Paramètres!$A$1:$I$89,3,0)*0.475*44/12</f>
        <v>2.8674641590721954E-21</v>
      </c>
      <c r="AC171" s="22">
        <f t="shared" si="163"/>
        <v>0.54875038911612051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1.5961632016114892E-13</v>
      </c>
      <c r="AK171" s="13">
        <f t="shared" si="164"/>
        <v>2.2708641912150958E-12</v>
      </c>
      <c r="AL171" s="20">
        <f t="shared" si="165"/>
        <v>4.2330868906469593E-12</v>
      </c>
      <c r="AM171" s="59">
        <f t="shared" si="113"/>
        <v>293.33333333333752</v>
      </c>
      <c r="AN171" s="59">
        <f ca="1">AVERAGE(OFFSET($AM$3,0,0,'Données projet'!$E$10+1,1))-AVERAGE(OFFSET($H$3,0,0,'Données projet'!$E$10+1,1))</f>
        <v>158.58786357608489</v>
      </c>
      <c r="AO171" s="59">
        <f t="shared" si="144"/>
        <v>163.20074068819849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553.99999999999955</v>
      </c>
      <c r="BE171" s="13">
        <f>BD171*VLOOKUP('Données projet'!$B$11,Paramètres!$A$1:$I$89,3,0)*VLOOKUP('Données projet'!$B$11,Paramètres!$A$1:$I$89,5,0)</f>
        <v>331.29199999999975</v>
      </c>
      <c r="BF171" s="13">
        <f t="shared" si="167"/>
        <v>77.698110787752</v>
      </c>
      <c r="BG171" s="20">
        <f t="shared" si="168"/>
        <v>712.32444295533423</v>
      </c>
      <c r="BH171" s="59">
        <f t="shared" si="116"/>
        <v>1005.6577762886675</v>
      </c>
      <c r="BI171" s="59">
        <f ca="1">AVERAGE(OFFSET($BH$3,0,0,'Données projet'!$E$11+1,1))-AVERAGE(OFFSET($H$3,0,0,'Données projet'!$E$11+1,1))</f>
        <v>316.58509520829671</v>
      </c>
      <c r="BJ171" s="59">
        <f t="shared" si="146"/>
        <v>240.71332110643596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0.16480945919889953</v>
      </c>
      <c r="BQ171" s="21">
        <f>EXP(-LN(2)/25)*BQ170+(1-EXP(-LN(2)/25))/(LN(2)/25)*Calculateur!BL171*Calculateur!BN171*VLOOKUP('Données projet'!$B$11,Paramètres!$A$1:$I$89,3,0)*0.475*44/12</f>
        <v>0.33273193893519926</v>
      </c>
      <c r="BR171" s="21">
        <f>EXP(-LN(2)/2)*BR170+(1-EXP(-LN(2)/2))/(LN(2)/2)*BL171*BO171*VLOOKUP('Données projet'!$B$11,Paramètres!$A$1:$I$89,3,0)*0.475*44/12</f>
        <v>3.7166692843049368E-20</v>
      </c>
      <c r="BS171" s="22">
        <f t="shared" si="169"/>
        <v>0.49754139813409881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-5.1159076974727213E-13</v>
      </c>
      <c r="BZ171" s="13">
        <f>BY171*VLOOKUP('Données projet'!$B$12,Paramètres!$A$1:$I$89,3,0)*VLOOKUP('Données projet'!$B$12,Paramètres!$A$1:$I$89,5,0)</f>
        <v>-4.0702161641092972E-13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260.20517190557814</v>
      </c>
      <c r="CE171" s="59">
        <f t="shared" si="148"/>
        <v>307.22009971147133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0.21217661954836889</v>
      </c>
      <c r="CL171" s="21">
        <f>EXP(-LN(2)/25)*CL170+(1-EXP(-LN(2)/25))/(LN(2)/25)*Calculateur!CG171*Calculateur!CI171*VLOOKUP('Données projet'!$B$12,Paramètres!$A$1:$I$89,3,0)*0.475*44/12</f>
        <v>0.4471810302568302</v>
      </c>
      <c r="CM171" s="21">
        <f>EXP(-LN(2)/2)*CM170+(1-EXP(-LN(2)/2))/(LN(2)/2)*CG171*CJ171*VLOOKUP('Données projet'!$B$12,Paramètres!$A$1:$I$89,3,0)*0.475*44/12</f>
        <v>4.0723708064520163E-20</v>
      </c>
      <c r="CN171" s="22">
        <f t="shared" si="172"/>
        <v>0.65935764980519906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4.5474735088646412E-13</v>
      </c>
      <c r="CU171" s="17">
        <f>CT171*VLOOKUP('Données projet'!$B$13,Paramètres!$A$1:$I$89,3,0)*VLOOKUP('Données projet'!$B$13,Paramètres!$A$1:$I$89,5,0)</f>
        <v>4.6111381379887462E-13</v>
      </c>
      <c r="CV171" s="13">
        <f t="shared" si="173"/>
        <v>5.7981965206434308E-12</v>
      </c>
      <c r="CW171" s="20">
        <f t="shared" si="174"/>
        <v>1.0901632165820347E-11</v>
      </c>
      <c r="CX171" s="59">
        <f t="shared" si="122"/>
        <v>293.33333333334423</v>
      </c>
      <c r="CY171" s="59">
        <f ca="1">AVERAGE(OFFSET($CX$3,0,0,'Données projet'!$E$13+1,1))-AVERAGE(OFFSET($H$3,0,0,'Données projet'!$E$13+1,1))</f>
        <v>263.15518481854753</v>
      </c>
      <c r="CZ171" s="59">
        <f t="shared" si="150"/>
        <v>210.80755370263819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0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275.99999999999972</v>
      </c>
      <c r="DP171" s="17">
        <f>DO171*VLOOKUP('Données projet'!$B$14,Paramètres!$A$1:$I$89,3,0)*VLOOKUP('Données projet'!$B$14,Paramètres!$A$1:$I$89,5,0)</f>
        <v>223.8911999999998</v>
      </c>
      <c r="DQ171" s="13">
        <f t="shared" si="176"/>
        <v>54.95975389514858</v>
      </c>
      <c r="DR171" s="20">
        <f t="shared" si="177"/>
        <v>485.66541136738346</v>
      </c>
      <c r="DS171" s="59">
        <f t="shared" si="125"/>
        <v>778.99874470071677</v>
      </c>
      <c r="DT171" s="59">
        <f ca="1">AVERAGE(OFFSET($DS$3,0,0,'Données projet'!$E$14+1,1))-AVERAGE(OFFSET($H$3,0,0,'Données projet'!$E$14+1,1))</f>
        <v>203.21935660591021</v>
      </c>
      <c r="DU171" s="59">
        <f t="shared" si="152"/>
        <v>180.54762778843178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6.5192642852195767E-2</v>
      </c>
      <c r="EB171" s="21">
        <f>EXP(-LN(2)/25)*EB170+(1-EXP(-LN(2)/25))/(LN(2)/25)*Calculateur!DW171*Calculateur!DY171*VLOOKUP('Données projet'!$B$14,Paramètres!$A$1:$I$89,3,0)*0.475*44/12</f>
        <v>0.12647929918561054</v>
      </c>
      <c r="EC171" s="21">
        <f>EXP(-LN(2)/2)*EC170+(1-EXP(-LN(2)/2))/(LN(2)/2)*DW171*DZ171*VLOOKUP('Données projet'!$B$14,Paramètres!$A$1:$I$89,3,0)*0.475*44/12</f>
        <v>1.5352784758666696E-20</v>
      </c>
      <c r="ED171" s="22">
        <f t="shared" si="178"/>
        <v>0.1916719420378063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-5.1159076974727213E-13</v>
      </c>
      <c r="EK171" s="17">
        <f>EJ171*VLOOKUP('Données projet'!$B$15,Paramètres!$A$1:$I$89,3,0)*VLOOKUP('Données projet'!$B$15,Paramètres!$A$1:$I$89,5,0)</f>
        <v>-3.4317508834647017E-13</v>
      </c>
      <c r="EL171" s="13" t="e">
        <f t="shared" si="179"/>
        <v>#NUM!</v>
      </c>
      <c r="EM171" s="20" t="e">
        <f t="shared" si="180"/>
        <v>#NUM!</v>
      </c>
      <c r="EN171" s="59" t="e">
        <f t="shared" si="128"/>
        <v>#NUM!</v>
      </c>
      <c r="EO171" s="59">
        <f ca="1">AVERAGE(OFFSET($EN$3,0,0,'Données projet'!$E$15+1,1))-AVERAGE(OFFSET($H$3,0,0,'Données projet'!$E$15+1,1))</f>
        <v>207.93042467236967</v>
      </c>
      <c r="EP171" s="59">
        <f t="shared" si="154"/>
        <v>250.70954318710835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0.17889401256038923</v>
      </c>
      <c r="EW171" s="21">
        <f>EXP(-LN(2)/25)*EW170+(1-EXP(-LN(2)/25))/(LN(2)/25)*Calculateur!ER171*Calculateur!ET171*VLOOKUP('Données projet'!$B$15,Paramètres!$A$1:$I$89,3,0)*0.475*44/12</f>
        <v>0.37703498629497512</v>
      </c>
      <c r="EX171" s="21">
        <f>EXP(-LN(2)/2)*EX170+(1-EXP(-LN(2)/2))/(LN(2)/2)*ER171*EU171*VLOOKUP('Données projet'!$B$15,Paramètres!$A$1:$I$89,3,0)*0.475*44/12</f>
        <v>3.433567542694837E-20</v>
      </c>
      <c r="EY171" s="22">
        <f t="shared" si="181"/>
        <v>0.5559289988553644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-2.2737367544323206E-13</v>
      </c>
      <c r="O172" s="13">
        <f>N172*VLOOKUP('Données projet'!$B$9,Paramètres!$A$1:$I$89,3,0)*VLOOKUP('Données projet'!$B$9,Paramètres!$A$1:$I$89,5,0)</f>
        <v>-1.2710188457276673E-13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255.5374979188561</v>
      </c>
      <c r="T172" s="59">
        <f t="shared" si="142"/>
        <v>343.10418468620901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0.19699041479142085</v>
      </c>
      <c r="AA172" s="21">
        <f>EXP(-LN(2)/25)*AA171+(1-EXP(-LN(2)/25))/(LN(2)/25)*Calculateur!V172*Calculateur!X172*VLOOKUP('Données projet'!$B$9,Paramètres!$A$1:$I$89,3,0)*0.475*44/12</f>
        <v>0.33830869692668508</v>
      </c>
      <c r="AB172" s="21">
        <f>EXP(-LN(2)/2)*AB171+(1-EXP(-LN(2)/2))/(LN(2)/2)*V172*Y172*VLOOKUP('Données projet'!$B$9,Paramètres!$A$1:$I$89,3,0)*0.475*44/12</f>
        <v>2.0276033516893304E-21</v>
      </c>
      <c r="AC172" s="22">
        <f t="shared" si="163"/>
        <v>0.53529911171810596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1.5961632016114892E-13</v>
      </c>
      <c r="AK172" s="13">
        <f t="shared" si="164"/>
        <v>2.2708641912150958E-12</v>
      </c>
      <c r="AL172" s="20">
        <f t="shared" si="165"/>
        <v>4.2330868906469593E-12</v>
      </c>
      <c r="AM172" s="59">
        <f t="shared" si="113"/>
        <v>293.33333333333752</v>
      </c>
      <c r="AN172" s="59">
        <f ca="1">AVERAGE(OFFSET($AM$3,0,0,'Données projet'!$E$10+1,1))-AVERAGE(OFFSET($H$3,0,0,'Données projet'!$E$10+1,1))</f>
        <v>158.58786357608489</v>
      </c>
      <c r="AO172" s="59">
        <f t="shared" si="144"/>
        <v>163.20074068819849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553.99999999999955</v>
      </c>
      <c r="BE172" s="13">
        <f>BD172*VLOOKUP('Données projet'!$B$11,Paramètres!$A$1:$I$89,3,0)*VLOOKUP('Données projet'!$B$11,Paramètres!$A$1:$I$89,5,0)</f>
        <v>331.29199999999975</v>
      </c>
      <c r="BF172" s="13">
        <f t="shared" si="167"/>
        <v>77.698110787752</v>
      </c>
      <c r="BG172" s="20">
        <f t="shared" si="168"/>
        <v>712.32444295533423</v>
      </c>
      <c r="BH172" s="59">
        <f t="shared" si="116"/>
        <v>1005.6577762886675</v>
      </c>
      <c r="BI172" s="59">
        <f ca="1">AVERAGE(OFFSET($BH$3,0,0,'Données projet'!$E$11+1,1))-AVERAGE(OFFSET($H$3,0,0,'Données projet'!$E$11+1,1))</f>
        <v>316.58509520829671</v>
      </c>
      <c r="BJ172" s="59">
        <f t="shared" si="146"/>
        <v>240.71332110643596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0.16157764622785331</v>
      </c>
      <c r="BQ172" s="21">
        <f>EXP(-LN(2)/25)*BQ171+(1-EXP(-LN(2)/25))/(LN(2)/25)*Calculateur!BL172*Calculateur!BN172*VLOOKUP('Données projet'!$B$11,Paramètres!$A$1:$I$89,3,0)*0.475*44/12</f>
        <v>0.32363336656740405</v>
      </c>
      <c r="BR172" s="21">
        <f>EXP(-LN(2)/2)*BR171+(1-EXP(-LN(2)/2))/(LN(2)/2)*BL172*BO172*VLOOKUP('Données projet'!$B$11,Paramètres!$A$1:$I$89,3,0)*0.475*44/12</f>
        <v>2.6280820543597732E-20</v>
      </c>
      <c r="BS172" s="22">
        <f t="shared" si="169"/>
        <v>0.48521101279525736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-5.1159076974727213E-13</v>
      </c>
      <c r="BZ172" s="13">
        <f>BY172*VLOOKUP('Données projet'!$B$12,Paramètres!$A$1:$I$89,3,0)*VLOOKUP('Données projet'!$B$12,Paramètres!$A$1:$I$89,5,0)</f>
        <v>-4.0702161641092972E-13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260.20517190557814</v>
      </c>
      <c r="CE172" s="59">
        <f t="shared" si="148"/>
        <v>307.22009971147133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0.20801596545398462</v>
      </c>
      <c r="CL172" s="21">
        <f>EXP(-LN(2)/25)*CL171+(1-EXP(-LN(2)/25))/(LN(2)/25)*Calculateur!CG172*Calculateur!CI172*VLOOKUP('Données projet'!$B$12,Paramètres!$A$1:$I$89,3,0)*0.475*44/12</f>
        <v>0.43495284146822882</v>
      </c>
      <c r="CM172" s="21">
        <f>EXP(-LN(2)/2)*CM171+(1-EXP(-LN(2)/2))/(LN(2)/2)*CG172*CJ172*VLOOKUP('Données projet'!$B$12,Paramètres!$A$1:$I$89,3,0)*0.475*44/12</f>
        <v>2.87960101274835E-20</v>
      </c>
      <c r="CN172" s="22">
        <f t="shared" si="172"/>
        <v>0.64296880692221348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4.5474735088646412E-13</v>
      </c>
      <c r="CU172" s="17">
        <f>CT172*VLOOKUP('Données projet'!$B$13,Paramètres!$A$1:$I$89,3,0)*VLOOKUP('Données projet'!$B$13,Paramètres!$A$1:$I$89,5,0)</f>
        <v>4.6111381379887462E-13</v>
      </c>
      <c r="CV172" s="13">
        <f t="shared" si="173"/>
        <v>5.7981965206434308E-12</v>
      </c>
      <c r="CW172" s="20">
        <f t="shared" si="174"/>
        <v>1.0901632165820347E-11</v>
      </c>
      <c r="CX172" s="59">
        <f t="shared" si="122"/>
        <v>293.33333333334423</v>
      </c>
      <c r="CY172" s="59">
        <f ca="1">AVERAGE(OFFSET($CX$3,0,0,'Données projet'!$E$13+1,1))-AVERAGE(OFFSET($H$3,0,0,'Données projet'!$E$13+1,1))</f>
        <v>263.15518481854753</v>
      </c>
      <c r="CZ172" s="59">
        <f t="shared" si="150"/>
        <v>210.80755370263819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0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275.99999999999972</v>
      </c>
      <c r="DP172" s="17">
        <f>DO172*VLOOKUP('Données projet'!$B$14,Paramètres!$A$1:$I$89,3,0)*VLOOKUP('Données projet'!$B$14,Paramètres!$A$1:$I$89,5,0)</f>
        <v>223.8911999999998</v>
      </c>
      <c r="DQ172" s="13">
        <f t="shared" si="176"/>
        <v>54.95975389514858</v>
      </c>
      <c r="DR172" s="20">
        <f t="shared" si="177"/>
        <v>485.66541136738346</v>
      </c>
      <c r="DS172" s="59">
        <f t="shared" si="125"/>
        <v>778.99874470071677</v>
      </c>
      <c r="DT172" s="59">
        <f ca="1">AVERAGE(OFFSET($DS$3,0,0,'Données projet'!$E$14+1,1))-AVERAGE(OFFSET($H$3,0,0,'Données projet'!$E$14+1,1))</f>
        <v>203.21935660591021</v>
      </c>
      <c r="DU172" s="59">
        <f t="shared" si="152"/>
        <v>180.54762778843178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6.3914254889450017E-2</v>
      </c>
      <c r="EB172" s="21">
        <f>EXP(-LN(2)/25)*EB171+(1-EXP(-LN(2)/25))/(LN(2)/25)*Calculateur!DW172*Calculateur!DY172*VLOOKUP('Données projet'!$B$14,Paramètres!$A$1:$I$89,3,0)*0.475*44/12</f>
        <v>0.12302071609812275</v>
      </c>
      <c r="EC172" s="21">
        <f>EXP(-LN(2)/2)*EC171+(1-EXP(-LN(2)/2))/(LN(2)/2)*DW172*DZ172*VLOOKUP('Données projet'!$B$14,Paramètres!$A$1:$I$89,3,0)*0.475*44/12</f>
        <v>1.0856058212950694E-20</v>
      </c>
      <c r="ED172" s="22">
        <f t="shared" si="178"/>
        <v>0.18693497098757278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-5.1159076974727213E-13</v>
      </c>
      <c r="EK172" s="17">
        <f>EJ172*VLOOKUP('Données projet'!$B$15,Paramètres!$A$1:$I$89,3,0)*VLOOKUP('Données projet'!$B$15,Paramètres!$A$1:$I$89,5,0)</f>
        <v>-3.4317508834647017E-13</v>
      </c>
      <c r="EL172" s="13" t="e">
        <f t="shared" si="179"/>
        <v>#NUM!</v>
      </c>
      <c r="EM172" s="20" t="e">
        <f t="shared" si="180"/>
        <v>#NUM!</v>
      </c>
      <c r="EN172" s="59" t="e">
        <f t="shared" si="128"/>
        <v>#NUM!</v>
      </c>
      <c r="EO172" s="59">
        <f ca="1">AVERAGE(OFFSET($EN$3,0,0,'Données projet'!$E$15+1,1))-AVERAGE(OFFSET($H$3,0,0,'Données projet'!$E$15+1,1))</f>
        <v>207.93042467236967</v>
      </c>
      <c r="EP172" s="59">
        <f t="shared" si="154"/>
        <v>250.70954318710835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0.17538601008865348</v>
      </c>
      <c r="EW172" s="21">
        <f>EXP(-LN(2)/25)*EW171+(1-EXP(-LN(2)/25))/(LN(2)/25)*Calculateur!ER172*Calculateur!ET172*VLOOKUP('Données projet'!$B$15,Paramètres!$A$1:$I$89,3,0)*0.475*44/12</f>
        <v>0.36672494476733081</v>
      </c>
      <c r="EX172" s="21">
        <f>EXP(-LN(2)/2)*EX171+(1-EXP(-LN(2)/2))/(LN(2)/2)*ER172*EU172*VLOOKUP('Données projet'!$B$15,Paramètres!$A$1:$I$89,3,0)*0.475*44/12</f>
        <v>2.4278988931015498E-20</v>
      </c>
      <c r="EY172" s="22">
        <f t="shared" si="181"/>
        <v>0.54211095485598426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-2.2737367544323206E-13</v>
      </c>
      <c r="O173" s="13">
        <f>N173*VLOOKUP('Données projet'!$B$9,Paramètres!$A$1:$I$89,3,0)*VLOOKUP('Données projet'!$B$9,Paramètres!$A$1:$I$89,5,0)</f>
        <v>-1.2710188457276673E-13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255.5374979188561</v>
      </c>
      <c r="T173" s="59">
        <f t="shared" si="142"/>
        <v>343.10418468620901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0.19312755290965006</v>
      </c>
      <c r="AA173" s="21">
        <f>EXP(-LN(2)/25)*AA172+(1-EXP(-LN(2)/25))/(LN(2)/25)*Calculateur!V173*Calculateur!X173*VLOOKUP('Données projet'!$B$9,Paramètres!$A$1:$I$89,3,0)*0.475*44/12</f>
        <v>0.32905762781834375</v>
      </c>
      <c r="AB173" s="21">
        <f>EXP(-LN(2)/2)*AB172+(1-EXP(-LN(2)/2))/(LN(2)/2)*V173*Y173*VLOOKUP('Données projet'!$B$9,Paramètres!$A$1:$I$89,3,0)*0.475*44/12</f>
        <v>1.4337320795360977E-21</v>
      </c>
      <c r="AC173" s="22">
        <f t="shared" si="163"/>
        <v>0.5221851807279938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1.5961632016114892E-13</v>
      </c>
      <c r="AK173" s="13">
        <f t="shared" si="164"/>
        <v>2.2708641912150958E-12</v>
      </c>
      <c r="AL173" s="20">
        <f t="shared" si="165"/>
        <v>4.2330868906469593E-12</v>
      </c>
      <c r="AM173" s="59">
        <f t="shared" si="113"/>
        <v>293.33333333333752</v>
      </c>
      <c r="AN173" s="59">
        <f ca="1">AVERAGE(OFFSET($AM$3,0,0,'Données projet'!$E$10+1,1))-AVERAGE(OFFSET($H$3,0,0,'Données projet'!$E$10+1,1))</f>
        <v>158.58786357608489</v>
      </c>
      <c r="AO173" s="59">
        <f t="shared" si="144"/>
        <v>163.20074068819849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553.99999999999955</v>
      </c>
      <c r="BE173" s="13">
        <f>BD173*VLOOKUP('Données projet'!$B$11,Paramètres!$A$1:$I$89,3,0)*VLOOKUP('Données projet'!$B$11,Paramètres!$A$1:$I$89,5,0)</f>
        <v>331.29199999999975</v>
      </c>
      <c r="BF173" s="13">
        <f t="shared" si="167"/>
        <v>77.698110787752</v>
      </c>
      <c r="BG173" s="20">
        <f t="shared" si="168"/>
        <v>712.32444295533423</v>
      </c>
      <c r="BH173" s="59">
        <f t="shared" si="116"/>
        <v>1005.6577762886675</v>
      </c>
      <c r="BI173" s="59">
        <f ca="1">AVERAGE(OFFSET($BH$3,0,0,'Données projet'!$E$11+1,1))-AVERAGE(OFFSET($H$3,0,0,'Données projet'!$E$11+1,1))</f>
        <v>316.58509520829671</v>
      </c>
      <c r="BJ173" s="59">
        <f t="shared" si="146"/>
        <v>240.71332110643596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0.15840920713795803</v>
      </c>
      <c r="BQ173" s="21">
        <f>EXP(-LN(2)/25)*BQ172+(1-EXP(-LN(2)/25))/(LN(2)/25)*Calculateur!BL173*Calculateur!BN173*VLOOKUP('Données projet'!$B$11,Paramètres!$A$1:$I$89,3,0)*0.475*44/12</f>
        <v>0.31478359513947929</v>
      </c>
      <c r="BR173" s="21">
        <f>EXP(-LN(2)/2)*BR172+(1-EXP(-LN(2)/2))/(LN(2)/2)*BL173*BO173*VLOOKUP('Données projet'!$B$11,Paramètres!$A$1:$I$89,3,0)*0.475*44/12</f>
        <v>1.8583346421524684E-20</v>
      </c>
      <c r="BS173" s="22">
        <f t="shared" si="169"/>
        <v>0.47319280227743732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-5.1159076974727213E-13</v>
      </c>
      <c r="BZ173" s="13">
        <f>BY173*VLOOKUP('Données projet'!$B$12,Paramètres!$A$1:$I$89,3,0)*VLOOKUP('Données projet'!$B$12,Paramètres!$A$1:$I$89,5,0)</f>
        <v>-4.0702161641092972E-13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260.20517190557814</v>
      </c>
      <c r="CE173" s="59">
        <f t="shared" si="148"/>
        <v>307.22009971147133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0.20393689924864283</v>
      </c>
      <c r="CL173" s="21">
        <f>EXP(-LN(2)/25)*CL172+(1-EXP(-LN(2)/25))/(LN(2)/25)*Calculateur!CG173*Calculateur!CI173*VLOOKUP('Données projet'!$B$12,Paramètres!$A$1:$I$89,3,0)*0.475*44/12</f>
        <v>0.42305903314510429</v>
      </c>
      <c r="CM173" s="21">
        <f>EXP(-LN(2)/2)*CM172+(1-EXP(-LN(2)/2))/(LN(2)/2)*CG173*CJ173*VLOOKUP('Données projet'!$B$12,Paramètres!$A$1:$I$89,3,0)*0.475*44/12</f>
        <v>2.0361854032260082E-20</v>
      </c>
      <c r="CN173" s="22">
        <f t="shared" si="172"/>
        <v>0.62699593239374707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4.5474735088646412E-13</v>
      </c>
      <c r="CU173" s="17">
        <f>CT173*VLOOKUP('Données projet'!$B$13,Paramètres!$A$1:$I$89,3,0)*VLOOKUP('Données projet'!$B$13,Paramètres!$A$1:$I$89,5,0)</f>
        <v>4.6111381379887462E-13</v>
      </c>
      <c r="CV173" s="13">
        <f t="shared" si="173"/>
        <v>5.7981965206434308E-12</v>
      </c>
      <c r="CW173" s="20">
        <f t="shared" si="174"/>
        <v>1.0901632165820347E-11</v>
      </c>
      <c r="CX173" s="59">
        <f t="shared" si="122"/>
        <v>293.33333333334423</v>
      </c>
      <c r="CY173" s="59">
        <f ca="1">AVERAGE(OFFSET($CX$3,0,0,'Données projet'!$E$13+1,1))-AVERAGE(OFFSET($H$3,0,0,'Données projet'!$E$13+1,1))</f>
        <v>263.15518481854753</v>
      </c>
      <c r="CZ173" s="59">
        <f t="shared" si="150"/>
        <v>210.80755370263819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0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275.99999999999972</v>
      </c>
      <c r="DP173" s="17">
        <f>DO173*VLOOKUP('Données projet'!$B$14,Paramètres!$A$1:$I$89,3,0)*VLOOKUP('Données projet'!$B$14,Paramètres!$A$1:$I$89,5,0)</f>
        <v>223.8911999999998</v>
      </c>
      <c r="DQ173" s="13">
        <f t="shared" si="176"/>
        <v>54.95975389514858</v>
      </c>
      <c r="DR173" s="20">
        <f t="shared" si="177"/>
        <v>485.66541136738346</v>
      </c>
      <c r="DS173" s="59">
        <f t="shared" si="125"/>
        <v>778.99874470071677</v>
      </c>
      <c r="DT173" s="59">
        <f ca="1">AVERAGE(OFFSET($DS$3,0,0,'Données projet'!$E$14+1,1))-AVERAGE(OFFSET($H$3,0,0,'Données projet'!$E$14+1,1))</f>
        <v>203.21935660591021</v>
      </c>
      <c r="DU173" s="59">
        <f t="shared" si="152"/>
        <v>180.54762778843178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6.2660935334914056E-2</v>
      </c>
      <c r="EB173" s="21">
        <f>EXP(-LN(2)/25)*EB172+(1-EXP(-LN(2)/25))/(LN(2)/25)*Calculateur!DW173*Calculateur!DY173*VLOOKUP('Données projet'!$B$14,Paramètres!$A$1:$I$89,3,0)*0.475*44/12</f>
        <v>0.1196567081470413</v>
      </c>
      <c r="EC173" s="21">
        <f>EXP(-LN(2)/2)*EC172+(1-EXP(-LN(2)/2))/(LN(2)/2)*DW173*DZ173*VLOOKUP('Données projet'!$B$14,Paramètres!$A$1:$I$89,3,0)*0.475*44/12</f>
        <v>7.6763923793333481E-21</v>
      </c>
      <c r="ED173" s="22">
        <f t="shared" si="178"/>
        <v>0.18231764348195534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-5.1159076974727213E-13</v>
      </c>
      <c r="EK173" s="17">
        <f>EJ173*VLOOKUP('Données projet'!$B$15,Paramètres!$A$1:$I$89,3,0)*VLOOKUP('Données projet'!$B$15,Paramètres!$A$1:$I$89,5,0)</f>
        <v>-3.4317508834647017E-13</v>
      </c>
      <c r="EL173" s="13" t="e">
        <f t="shared" si="179"/>
        <v>#NUM!</v>
      </c>
      <c r="EM173" s="20" t="e">
        <f t="shared" si="180"/>
        <v>#NUM!</v>
      </c>
      <c r="EN173" s="59" t="e">
        <f t="shared" si="128"/>
        <v>#NUM!</v>
      </c>
      <c r="EO173" s="59">
        <f ca="1">AVERAGE(OFFSET($EN$3,0,0,'Données projet'!$E$15+1,1))-AVERAGE(OFFSET($H$3,0,0,'Données projet'!$E$15+1,1))</f>
        <v>207.93042467236967</v>
      </c>
      <c r="EP173" s="59">
        <f t="shared" si="154"/>
        <v>250.70954318710835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0.17194679740571825</v>
      </c>
      <c r="EW173" s="21">
        <f>EXP(-LN(2)/25)*EW172+(1-EXP(-LN(2)/25))/(LN(2)/25)*Calculateur!ER173*Calculateur!ET173*VLOOKUP('Données projet'!$B$15,Paramètres!$A$1:$I$89,3,0)*0.475*44/12</f>
        <v>0.35669683186744144</v>
      </c>
      <c r="EX173" s="21">
        <f>EXP(-LN(2)/2)*EX172+(1-EXP(-LN(2)/2))/(LN(2)/2)*ER173*EU173*VLOOKUP('Données projet'!$B$15,Paramètres!$A$1:$I$89,3,0)*0.475*44/12</f>
        <v>1.7167837713474185E-20</v>
      </c>
      <c r="EY173" s="22">
        <f t="shared" si="181"/>
        <v>0.52864362927315967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-2.2737367544323206E-13</v>
      </c>
      <c r="O174" s="13">
        <f>N174*VLOOKUP('Données projet'!$B$9,Paramètres!$A$1:$I$89,3,0)*VLOOKUP('Données projet'!$B$9,Paramètres!$A$1:$I$89,5,0)</f>
        <v>-1.2710188457276673E-13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255.5374979188561</v>
      </c>
      <c r="T174" s="59">
        <f t="shared" si="142"/>
        <v>343.10418468620901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0.1893404393932677</v>
      </c>
      <c r="AA174" s="21">
        <f>EXP(-LN(2)/25)*AA173+(1-EXP(-LN(2)/25))/(LN(2)/25)*Calculateur!V174*Calculateur!X174*VLOOKUP('Données projet'!$B$9,Paramètres!$A$1:$I$89,3,0)*0.475*44/12</f>
        <v>0.32005952968126256</v>
      </c>
      <c r="AB174" s="21">
        <f>EXP(-LN(2)/2)*AB173+(1-EXP(-LN(2)/2))/(LN(2)/2)*V174*Y174*VLOOKUP('Données projet'!$B$9,Paramètres!$A$1:$I$89,3,0)*0.475*44/12</f>
        <v>1.0138016758446652E-21</v>
      </c>
      <c r="AC174" s="22">
        <f t="shared" si="163"/>
        <v>0.50939996907453022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1.5961632016114892E-13</v>
      </c>
      <c r="AK174" s="13">
        <f t="shared" si="164"/>
        <v>2.2708641912150958E-12</v>
      </c>
      <c r="AL174" s="20">
        <f t="shared" si="165"/>
        <v>4.2330868906469593E-12</v>
      </c>
      <c r="AM174" s="59">
        <f t="shared" si="113"/>
        <v>293.33333333333752</v>
      </c>
      <c r="AN174" s="59">
        <f ca="1">AVERAGE(OFFSET($AM$3,0,0,'Données projet'!$E$10+1,1))-AVERAGE(OFFSET($H$3,0,0,'Données projet'!$E$10+1,1))</f>
        <v>158.58786357608489</v>
      </c>
      <c r="AO174" s="59">
        <f t="shared" si="144"/>
        <v>163.20074068819849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553.99999999999955</v>
      </c>
      <c r="BE174" s="13">
        <f>BD174*VLOOKUP('Données projet'!$B$11,Paramètres!$A$1:$I$89,3,0)*VLOOKUP('Données projet'!$B$11,Paramètres!$A$1:$I$89,5,0)</f>
        <v>331.29199999999975</v>
      </c>
      <c r="BF174" s="13">
        <f t="shared" si="167"/>
        <v>77.698110787752</v>
      </c>
      <c r="BG174" s="20">
        <f t="shared" si="168"/>
        <v>712.32444295533423</v>
      </c>
      <c r="BH174" s="59">
        <f t="shared" si="116"/>
        <v>1005.6577762886675</v>
      </c>
      <c r="BI174" s="59">
        <f ca="1">AVERAGE(OFFSET($BH$3,0,0,'Données projet'!$E$11+1,1))-AVERAGE(OFFSET($H$3,0,0,'Données projet'!$E$11+1,1))</f>
        <v>316.58509520829671</v>
      </c>
      <c r="BJ174" s="59">
        <f t="shared" si="146"/>
        <v>240.71332110643596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0.15530289920605858</v>
      </c>
      <c r="BQ174" s="21">
        <f>EXP(-LN(2)/25)*BQ173+(1-EXP(-LN(2)/25))/(LN(2)/25)*Calculateur!BL174*Calculateur!BN174*VLOOKUP('Données projet'!$B$11,Paramètres!$A$1:$I$89,3,0)*0.475*44/12</f>
        <v>0.30617582117664038</v>
      </c>
      <c r="BR174" s="21">
        <f>EXP(-LN(2)/2)*BR173+(1-EXP(-LN(2)/2))/(LN(2)/2)*BL174*BO174*VLOOKUP('Données projet'!$B$11,Paramètres!$A$1:$I$89,3,0)*0.475*44/12</f>
        <v>1.3140410271798866E-20</v>
      </c>
      <c r="BS174" s="22">
        <f t="shared" si="169"/>
        <v>0.46147872038269899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-5.1159076974727213E-13</v>
      </c>
      <c r="BZ174" s="13">
        <f>BY174*VLOOKUP('Données projet'!$B$12,Paramètres!$A$1:$I$89,3,0)*VLOOKUP('Données projet'!$B$12,Paramètres!$A$1:$I$89,5,0)</f>
        <v>-4.0702161641092972E-13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260.20517190557814</v>
      </c>
      <c r="CE174" s="59">
        <f t="shared" si="148"/>
        <v>307.22009971147133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0.19993782104360308</v>
      </c>
      <c r="CL174" s="21">
        <f>EXP(-LN(2)/25)*CL173+(1-EXP(-LN(2)/25))/(LN(2)/25)*Calculateur!CG174*Calculateur!CI174*VLOOKUP('Données projet'!$B$12,Paramètres!$A$1:$I$89,3,0)*0.475*44/12</f>
        <v>0.4114904616360438</v>
      </c>
      <c r="CM174" s="21">
        <f>EXP(-LN(2)/2)*CM173+(1-EXP(-LN(2)/2))/(LN(2)/2)*CG174*CJ174*VLOOKUP('Données projet'!$B$12,Paramètres!$A$1:$I$89,3,0)*0.475*44/12</f>
        <v>1.439800506374175E-20</v>
      </c>
      <c r="CN174" s="22">
        <f t="shared" si="172"/>
        <v>0.61142828267964688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4.5474735088646412E-13</v>
      </c>
      <c r="CU174" s="17">
        <f>CT174*VLOOKUP('Données projet'!$B$13,Paramètres!$A$1:$I$89,3,0)*VLOOKUP('Données projet'!$B$13,Paramètres!$A$1:$I$89,5,0)</f>
        <v>4.6111381379887462E-13</v>
      </c>
      <c r="CV174" s="13">
        <f t="shared" si="173"/>
        <v>5.7981965206434308E-12</v>
      </c>
      <c r="CW174" s="20">
        <f t="shared" si="174"/>
        <v>1.0901632165820347E-11</v>
      </c>
      <c r="CX174" s="59">
        <f t="shared" si="122"/>
        <v>293.33333333334423</v>
      </c>
      <c r="CY174" s="59">
        <f ca="1">AVERAGE(OFFSET($CX$3,0,0,'Données projet'!$E$13+1,1))-AVERAGE(OFFSET($H$3,0,0,'Données projet'!$E$13+1,1))</f>
        <v>263.15518481854753</v>
      </c>
      <c r="CZ174" s="59">
        <f t="shared" si="150"/>
        <v>210.80755370263819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0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275.99999999999972</v>
      </c>
      <c r="DP174" s="17">
        <f>DO174*VLOOKUP('Données projet'!$B$14,Paramètres!$A$1:$I$89,3,0)*VLOOKUP('Données projet'!$B$14,Paramètres!$A$1:$I$89,5,0)</f>
        <v>223.8911999999998</v>
      </c>
      <c r="DQ174" s="13">
        <f t="shared" si="176"/>
        <v>54.95975389514858</v>
      </c>
      <c r="DR174" s="20">
        <f t="shared" si="177"/>
        <v>485.66541136738346</v>
      </c>
      <c r="DS174" s="59">
        <f t="shared" si="125"/>
        <v>778.99874470071677</v>
      </c>
      <c r="DT174" s="59">
        <f ca="1">AVERAGE(OFFSET($DS$3,0,0,'Données projet'!$E$14+1,1))-AVERAGE(OFFSET($H$3,0,0,'Données projet'!$E$14+1,1))</f>
        <v>203.21935660591021</v>
      </c>
      <c r="DU174" s="59">
        <f t="shared" si="152"/>
        <v>180.54762778843178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6.1432192612393091E-2</v>
      </c>
      <c r="EB174" s="21">
        <f>EXP(-LN(2)/25)*EB173+(1-EXP(-LN(2)/25))/(LN(2)/25)*Calculateur!DW174*Calculateur!DY174*VLOOKUP('Données projet'!$B$14,Paramètres!$A$1:$I$89,3,0)*0.475*44/12</f>
        <v>0.11638468917028764</v>
      </c>
      <c r="EC174" s="21">
        <f>EXP(-LN(2)/2)*EC173+(1-EXP(-LN(2)/2))/(LN(2)/2)*DW174*DZ174*VLOOKUP('Données projet'!$B$14,Paramètres!$A$1:$I$89,3,0)*0.475*44/12</f>
        <v>5.4280291064753468E-21</v>
      </c>
      <c r="ED174" s="22">
        <f t="shared" si="178"/>
        <v>0.17781688178268074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-5.1159076974727213E-13</v>
      </c>
      <c r="EK174" s="17">
        <f>EJ174*VLOOKUP('Données projet'!$B$15,Paramètres!$A$1:$I$89,3,0)*VLOOKUP('Données projet'!$B$15,Paramètres!$A$1:$I$89,5,0)</f>
        <v>-3.4317508834647017E-13</v>
      </c>
      <c r="EL174" s="13" t="e">
        <f t="shared" si="179"/>
        <v>#NUM!</v>
      </c>
      <c r="EM174" s="20" t="e">
        <f t="shared" si="180"/>
        <v>#NUM!</v>
      </c>
      <c r="EN174" s="59" t="e">
        <f t="shared" si="128"/>
        <v>#NUM!</v>
      </c>
      <c r="EO174" s="59">
        <f ca="1">AVERAGE(OFFSET($EN$3,0,0,'Données projet'!$E$15+1,1))-AVERAGE(OFFSET($H$3,0,0,'Données projet'!$E$15+1,1))</f>
        <v>207.93042467236967</v>
      </c>
      <c r="EP174" s="59">
        <f t="shared" si="154"/>
        <v>250.70954318710835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0.16857502558578277</v>
      </c>
      <c r="EW174" s="21">
        <f>EXP(-LN(2)/25)*EW173+(1-EXP(-LN(2)/25))/(LN(2)/25)*Calculateur!ER174*Calculateur!ET174*VLOOKUP('Données projet'!$B$15,Paramètres!$A$1:$I$89,3,0)*0.475*44/12</f>
        <v>0.34694293824215511</v>
      </c>
      <c r="EX174" s="21">
        <f>EXP(-LN(2)/2)*EX173+(1-EXP(-LN(2)/2))/(LN(2)/2)*ER174*EU174*VLOOKUP('Données projet'!$B$15,Paramètres!$A$1:$I$89,3,0)*0.475*44/12</f>
        <v>1.2139494465507749E-20</v>
      </c>
      <c r="EY174" s="22">
        <f t="shared" si="181"/>
        <v>0.51551796382793791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-2.2737367544323206E-13</v>
      </c>
      <c r="O175" s="13">
        <f>N175*VLOOKUP('Données projet'!$B$9,Paramètres!$A$1:$I$89,3,0)*VLOOKUP('Données projet'!$B$9,Paramètres!$A$1:$I$89,5,0)</f>
        <v>-1.2710188457276673E-13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255.5374979188561</v>
      </c>
      <c r="T175" s="59">
        <f t="shared" si="142"/>
        <v>343.10418468620901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0.18562758886303043</v>
      </c>
      <c r="AA175" s="21">
        <f>EXP(-LN(2)/25)*AA174+(1-EXP(-LN(2)/25))/(LN(2)/25)*Calculateur!V175*Calculateur!X175*VLOOKUP('Données projet'!$B$9,Paramètres!$A$1:$I$89,3,0)*0.475*44/12</f>
        <v>0.31130748501092925</v>
      </c>
      <c r="AB175" s="21">
        <f>EXP(-LN(2)/2)*AB174+(1-EXP(-LN(2)/2))/(LN(2)/2)*V175*Y175*VLOOKUP('Données projet'!$B$9,Paramètres!$A$1:$I$89,3,0)*0.475*44/12</f>
        <v>7.1686603976804885E-22</v>
      </c>
      <c r="AC175" s="22">
        <f t="shared" si="163"/>
        <v>0.49693507387395969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1.5961632016114892E-13</v>
      </c>
      <c r="AK175" s="13">
        <f t="shared" si="164"/>
        <v>2.2708641912150958E-12</v>
      </c>
      <c r="AL175" s="20">
        <f t="shared" si="165"/>
        <v>4.2330868906469593E-12</v>
      </c>
      <c r="AM175" s="59">
        <f t="shared" si="113"/>
        <v>293.33333333333752</v>
      </c>
      <c r="AN175" s="59">
        <f ca="1">AVERAGE(OFFSET($AM$3,0,0,'Données projet'!$E$10+1,1))-AVERAGE(OFFSET($H$3,0,0,'Données projet'!$E$10+1,1))</f>
        <v>158.58786357608489</v>
      </c>
      <c r="AO175" s="59">
        <f t="shared" si="144"/>
        <v>163.20074068819849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553.99999999999955</v>
      </c>
      <c r="BE175" s="13">
        <f>BD175*VLOOKUP('Données projet'!$B$11,Paramètres!$A$1:$I$89,3,0)*VLOOKUP('Données projet'!$B$11,Paramètres!$A$1:$I$89,5,0)</f>
        <v>331.29199999999975</v>
      </c>
      <c r="BF175" s="13">
        <f t="shared" si="167"/>
        <v>77.698110787752</v>
      </c>
      <c r="BG175" s="20">
        <f t="shared" si="168"/>
        <v>712.32444295533423</v>
      </c>
      <c r="BH175" s="59">
        <f t="shared" si="116"/>
        <v>1005.6577762886675</v>
      </c>
      <c r="BI175" s="59">
        <f ca="1">AVERAGE(OFFSET($BH$3,0,0,'Données projet'!$E$11+1,1))-AVERAGE(OFFSET($H$3,0,0,'Données projet'!$E$11+1,1))</f>
        <v>316.58509520829671</v>
      </c>
      <c r="BJ175" s="59">
        <f t="shared" si="146"/>
        <v>240.71332110643596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0.15225750407804292</v>
      </c>
      <c r="BQ175" s="21">
        <f>EXP(-LN(2)/25)*BQ174+(1-EXP(-LN(2)/25))/(LN(2)/25)*Calculateur!BL175*Calculateur!BN175*VLOOKUP('Données projet'!$B$11,Paramètres!$A$1:$I$89,3,0)*0.475*44/12</f>
        <v>0.29780342724547848</v>
      </c>
      <c r="BR175" s="21">
        <f>EXP(-LN(2)/2)*BR174+(1-EXP(-LN(2)/2))/(LN(2)/2)*BL175*BO175*VLOOKUP('Données projet'!$B$11,Paramètres!$A$1:$I$89,3,0)*0.475*44/12</f>
        <v>9.2916732107623419E-21</v>
      </c>
      <c r="BS175" s="22">
        <f t="shared" si="169"/>
        <v>0.45006093132352143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-5.1159076974727213E-13</v>
      </c>
      <c r="BZ175" s="13">
        <f>BY175*VLOOKUP('Données projet'!$B$12,Paramètres!$A$1:$I$89,3,0)*VLOOKUP('Données projet'!$B$12,Paramètres!$A$1:$I$89,5,0)</f>
        <v>-4.0702161641092972E-13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260.20517190557814</v>
      </c>
      <c r="CE175" s="59">
        <f t="shared" si="148"/>
        <v>307.22009971147133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0.19601716232296729</v>
      </c>
      <c r="CL175" s="21">
        <f>EXP(-LN(2)/25)*CL174+(1-EXP(-LN(2)/25))/(LN(2)/25)*Calculateur!CG175*Calculateur!CI175*VLOOKUP('Données projet'!$B$12,Paramètres!$A$1:$I$89,3,0)*0.475*44/12</f>
        <v>0.4002382333232633</v>
      </c>
      <c r="CM175" s="21">
        <f>EXP(-LN(2)/2)*CM174+(1-EXP(-LN(2)/2))/(LN(2)/2)*CG175*CJ175*VLOOKUP('Données projet'!$B$12,Paramètres!$A$1:$I$89,3,0)*0.475*44/12</f>
        <v>1.0180927016130041E-20</v>
      </c>
      <c r="CN175" s="22">
        <f t="shared" si="172"/>
        <v>0.59625539564623065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4.5474735088646412E-13</v>
      </c>
      <c r="CU175" s="17">
        <f>CT175*VLOOKUP('Données projet'!$B$13,Paramètres!$A$1:$I$89,3,0)*VLOOKUP('Données projet'!$B$13,Paramètres!$A$1:$I$89,5,0)</f>
        <v>4.6111381379887462E-13</v>
      </c>
      <c r="CV175" s="13">
        <f t="shared" si="173"/>
        <v>5.7981965206434308E-12</v>
      </c>
      <c r="CW175" s="20">
        <f t="shared" si="174"/>
        <v>1.0901632165820347E-11</v>
      </c>
      <c r="CX175" s="59">
        <f t="shared" si="122"/>
        <v>293.33333333334423</v>
      </c>
      <c r="CY175" s="59">
        <f ca="1">AVERAGE(OFFSET($CX$3,0,0,'Données projet'!$E$13+1,1))-AVERAGE(OFFSET($H$3,0,0,'Données projet'!$E$13+1,1))</f>
        <v>263.15518481854753</v>
      </c>
      <c r="CZ175" s="59">
        <f t="shared" si="150"/>
        <v>210.80755370263819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0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275.99999999999972</v>
      </c>
      <c r="DP175" s="17">
        <f>DO175*VLOOKUP('Données projet'!$B$14,Paramètres!$A$1:$I$89,3,0)*VLOOKUP('Données projet'!$B$14,Paramètres!$A$1:$I$89,5,0)</f>
        <v>223.8911999999998</v>
      </c>
      <c r="DQ175" s="13">
        <f t="shared" si="176"/>
        <v>54.95975389514858</v>
      </c>
      <c r="DR175" s="20">
        <f t="shared" si="177"/>
        <v>485.66541136738346</v>
      </c>
      <c r="DS175" s="59">
        <f t="shared" si="125"/>
        <v>778.99874470071677</v>
      </c>
      <c r="DT175" s="59">
        <f ca="1">AVERAGE(OFFSET($DS$3,0,0,'Données projet'!$E$14+1,1))-AVERAGE(OFFSET($H$3,0,0,'Données projet'!$E$14+1,1))</f>
        <v>203.21935660591021</v>
      </c>
      <c r="DU175" s="59">
        <f t="shared" si="152"/>
        <v>180.54762778843178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6.022754478520171E-2</v>
      </c>
      <c r="EB175" s="21">
        <f>EXP(-LN(2)/25)*EB174+(1-EXP(-LN(2)/25))/(LN(2)/25)*Calculateur!DW175*Calculateur!DY175*VLOOKUP('Données projet'!$B$14,Paramètres!$A$1:$I$89,3,0)*0.475*44/12</f>
        <v>0.11320214372452132</v>
      </c>
      <c r="EC175" s="21">
        <f>EXP(-LN(2)/2)*EC174+(1-EXP(-LN(2)/2))/(LN(2)/2)*DW175*DZ175*VLOOKUP('Données projet'!$B$14,Paramètres!$A$1:$I$89,3,0)*0.475*44/12</f>
        <v>3.8381961896666741E-21</v>
      </c>
      <c r="ED175" s="22">
        <f t="shared" si="178"/>
        <v>0.17342968850972304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-5.1159076974727213E-13</v>
      </c>
      <c r="EK175" s="17">
        <f>EJ175*VLOOKUP('Données projet'!$B$15,Paramètres!$A$1:$I$89,3,0)*VLOOKUP('Données projet'!$B$15,Paramètres!$A$1:$I$89,5,0)</f>
        <v>-3.4317508834647017E-13</v>
      </c>
      <c r="EL175" s="13" t="e">
        <f t="shared" si="179"/>
        <v>#NUM!</v>
      </c>
      <c r="EM175" s="20" t="e">
        <f t="shared" si="180"/>
        <v>#NUM!</v>
      </c>
      <c r="EN175" s="59" t="e">
        <f t="shared" si="128"/>
        <v>#NUM!</v>
      </c>
      <c r="EO175" s="59">
        <f ca="1">AVERAGE(OFFSET($EN$3,0,0,'Données projet'!$E$15+1,1))-AVERAGE(OFFSET($H$3,0,0,'Données projet'!$E$15+1,1))</f>
        <v>207.93042467236967</v>
      </c>
      <c r="EP175" s="59">
        <f t="shared" si="154"/>
        <v>250.70954318710835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0.16526937215465848</v>
      </c>
      <c r="EW175" s="21">
        <f>EXP(-LN(2)/25)*EW174+(1-EXP(-LN(2)/25))/(LN(2)/25)*Calculateur!ER175*Calculateur!ET175*VLOOKUP('Données projet'!$B$15,Paramètres!$A$1:$I$89,3,0)*0.475*44/12</f>
        <v>0.3374557653509872</v>
      </c>
      <c r="EX175" s="21">
        <f>EXP(-LN(2)/2)*EX174+(1-EXP(-LN(2)/2))/(LN(2)/2)*ER175*EU175*VLOOKUP('Données projet'!$B$15,Paramètres!$A$1:$I$89,3,0)*0.475*44/12</f>
        <v>8.5839188567370926E-21</v>
      </c>
      <c r="EY175" s="22">
        <f t="shared" si="181"/>
        <v>0.50272513750564563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-2.2737367544323206E-13</v>
      </c>
      <c r="O176" s="13">
        <f>N176*VLOOKUP('Données projet'!$B$9,Paramètres!$A$1:$I$89,3,0)*VLOOKUP('Données projet'!$B$9,Paramètres!$A$1:$I$89,5,0)</f>
        <v>-1.2710188457276673E-13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255.5374979188561</v>
      </c>
      <c r="T176" s="59">
        <f t="shared" si="142"/>
        <v>343.10418468620901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0.1819875450670759</v>
      </c>
      <c r="AA176" s="21">
        <f>EXP(-LN(2)/25)*AA175+(1-EXP(-LN(2)/25))/(LN(2)/25)*Calculateur!V176*Calculateur!X176*VLOOKUP('Données projet'!$B$9,Paramètres!$A$1:$I$89,3,0)*0.475*44/12</f>
        <v>0.30279476546235629</v>
      </c>
      <c r="AB176" s="21">
        <f>EXP(-LN(2)/2)*AB175+(1-EXP(-LN(2)/2))/(LN(2)/2)*V176*Y176*VLOOKUP('Données projet'!$B$9,Paramètres!$A$1:$I$89,3,0)*0.475*44/12</f>
        <v>5.0690083792233259E-22</v>
      </c>
      <c r="AC176" s="22">
        <f t="shared" si="163"/>
        <v>0.48478231052943221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1.5961632016114892E-13</v>
      </c>
      <c r="AK176" s="13">
        <f t="shared" si="164"/>
        <v>2.2708641912150958E-12</v>
      </c>
      <c r="AL176" s="20">
        <f t="shared" si="165"/>
        <v>4.2330868906469593E-12</v>
      </c>
      <c r="AM176" s="59">
        <f t="shared" si="113"/>
        <v>293.33333333333752</v>
      </c>
      <c r="AN176" s="59">
        <f ca="1">AVERAGE(OFFSET($AM$3,0,0,'Données projet'!$E$10+1,1))-AVERAGE(OFFSET($H$3,0,0,'Données projet'!$E$10+1,1))</f>
        <v>158.58786357608489</v>
      </c>
      <c r="AO176" s="59">
        <f t="shared" si="144"/>
        <v>163.20074068819849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553.99999999999955</v>
      </c>
      <c r="BE176" s="13">
        <f>BD176*VLOOKUP('Données projet'!$B$11,Paramètres!$A$1:$I$89,3,0)*VLOOKUP('Données projet'!$B$11,Paramètres!$A$1:$I$89,5,0)</f>
        <v>331.29199999999975</v>
      </c>
      <c r="BF176" s="13">
        <f t="shared" si="167"/>
        <v>77.698110787752</v>
      </c>
      <c r="BG176" s="20">
        <f t="shared" si="168"/>
        <v>712.32444295533423</v>
      </c>
      <c r="BH176" s="59">
        <f t="shared" si="116"/>
        <v>1005.6577762886675</v>
      </c>
      <c r="BI176" s="59">
        <f ca="1">AVERAGE(OFFSET($BH$3,0,0,'Données projet'!$E$11+1,1))-AVERAGE(OFFSET($H$3,0,0,'Données projet'!$E$11+1,1))</f>
        <v>316.58509520829671</v>
      </c>
      <c r="BJ176" s="59">
        <f t="shared" si="146"/>
        <v>240.71332110643596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0.14927182729098004</v>
      </c>
      <c r="BQ176" s="21">
        <f>EXP(-LN(2)/25)*BQ175+(1-EXP(-LN(2)/25))/(LN(2)/25)*Calculateur!BL176*Calculateur!BN176*VLOOKUP('Données projet'!$B$11,Paramètres!$A$1:$I$89,3,0)*0.475*44/12</f>
        <v>0.28965997686664929</v>
      </c>
      <c r="BR176" s="21">
        <f>EXP(-LN(2)/2)*BR175+(1-EXP(-LN(2)/2))/(LN(2)/2)*BL176*BO176*VLOOKUP('Données projet'!$B$11,Paramètres!$A$1:$I$89,3,0)*0.475*44/12</f>
        <v>6.5702051358994329E-21</v>
      </c>
      <c r="BS176" s="22">
        <f t="shared" si="169"/>
        <v>0.43893180415762933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-5.1159076974727213E-13</v>
      </c>
      <c r="BZ176" s="13">
        <f>BY176*VLOOKUP('Données projet'!$B$12,Paramètres!$A$1:$I$89,3,0)*VLOOKUP('Données projet'!$B$12,Paramètres!$A$1:$I$89,5,0)</f>
        <v>-4.0702161641092972E-13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260.20517190557814</v>
      </c>
      <c r="CE176" s="59">
        <f t="shared" si="148"/>
        <v>307.22009971147133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0.19217338532847747</v>
      </c>
      <c r="CL176" s="21">
        <f>EXP(-LN(2)/25)*CL175+(1-EXP(-LN(2)/25))/(LN(2)/25)*Calculateur!CG176*Calculateur!CI176*VLOOKUP('Données projet'!$B$12,Paramètres!$A$1:$I$89,3,0)*0.475*44/12</f>
        <v>0.38929369778542472</v>
      </c>
      <c r="CM176" s="21">
        <f>EXP(-LN(2)/2)*CM175+(1-EXP(-LN(2)/2))/(LN(2)/2)*CG176*CJ176*VLOOKUP('Données projet'!$B$12,Paramètres!$A$1:$I$89,3,0)*0.475*44/12</f>
        <v>7.1990025318708749E-21</v>
      </c>
      <c r="CN176" s="22">
        <f t="shared" si="172"/>
        <v>0.58146708311390216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4.5474735088646412E-13</v>
      </c>
      <c r="CU176" s="17">
        <f>CT176*VLOOKUP('Données projet'!$B$13,Paramètres!$A$1:$I$89,3,0)*VLOOKUP('Données projet'!$B$13,Paramètres!$A$1:$I$89,5,0)</f>
        <v>4.6111381379887462E-13</v>
      </c>
      <c r="CV176" s="13">
        <f t="shared" si="173"/>
        <v>5.7981965206434308E-12</v>
      </c>
      <c r="CW176" s="20">
        <f t="shared" si="174"/>
        <v>1.0901632165820347E-11</v>
      </c>
      <c r="CX176" s="59">
        <f t="shared" si="122"/>
        <v>293.33333333334423</v>
      </c>
      <c r="CY176" s="59">
        <f ca="1">AVERAGE(OFFSET($CX$3,0,0,'Données projet'!$E$13+1,1))-AVERAGE(OFFSET($H$3,0,0,'Données projet'!$E$13+1,1))</f>
        <v>263.15518481854753</v>
      </c>
      <c r="CZ176" s="59">
        <f t="shared" si="150"/>
        <v>210.80755370263819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0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275.99999999999972</v>
      </c>
      <c r="DP176" s="17">
        <f>DO176*VLOOKUP('Données projet'!$B$14,Paramètres!$A$1:$I$89,3,0)*VLOOKUP('Données projet'!$B$14,Paramètres!$A$1:$I$89,5,0)</f>
        <v>223.8911999999998</v>
      </c>
      <c r="DQ176" s="13">
        <f t="shared" si="176"/>
        <v>54.95975389514858</v>
      </c>
      <c r="DR176" s="20">
        <f t="shared" si="177"/>
        <v>485.66541136738346</v>
      </c>
      <c r="DS176" s="59">
        <f t="shared" si="125"/>
        <v>778.99874470071677</v>
      </c>
      <c r="DT176" s="59">
        <f ca="1">AVERAGE(OFFSET($DS$3,0,0,'Données projet'!$E$14+1,1))-AVERAGE(OFFSET($H$3,0,0,'Données projet'!$E$14+1,1))</f>
        <v>203.21935660591021</v>
      </c>
      <c r="DU176" s="59">
        <f t="shared" si="152"/>
        <v>180.54762778843178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5.9046519367138929E-2</v>
      </c>
      <c r="EB176" s="21">
        <f>EXP(-LN(2)/25)*EB175+(1-EXP(-LN(2)/25))/(LN(2)/25)*Calculateur!DW176*Calculateur!DY176*VLOOKUP('Données projet'!$B$14,Paramètres!$A$1:$I$89,3,0)*0.475*44/12</f>
        <v>0.11010662515133228</v>
      </c>
      <c r="EC176" s="21">
        <f>EXP(-LN(2)/2)*EC175+(1-EXP(-LN(2)/2))/(LN(2)/2)*DW176*DZ176*VLOOKUP('Données projet'!$B$14,Paramètres!$A$1:$I$89,3,0)*0.475*44/12</f>
        <v>2.7140145532376734E-21</v>
      </c>
      <c r="ED176" s="22">
        <f t="shared" si="178"/>
        <v>0.16915314451847122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-5.1159076974727213E-13</v>
      </c>
      <c r="EK176" s="17">
        <f>EJ176*VLOOKUP('Données projet'!$B$15,Paramètres!$A$1:$I$89,3,0)*VLOOKUP('Données projet'!$B$15,Paramètres!$A$1:$I$89,5,0)</f>
        <v>-3.4317508834647017E-13</v>
      </c>
      <c r="EL176" s="13" t="e">
        <f t="shared" si="179"/>
        <v>#NUM!</v>
      </c>
      <c r="EM176" s="20" t="e">
        <f t="shared" si="180"/>
        <v>#NUM!</v>
      </c>
      <c r="EN176" s="59" t="e">
        <f t="shared" si="128"/>
        <v>#NUM!</v>
      </c>
      <c r="EO176" s="59">
        <f ca="1">AVERAGE(OFFSET($EN$3,0,0,'Données projet'!$E$15+1,1))-AVERAGE(OFFSET($H$3,0,0,'Données projet'!$E$15+1,1))</f>
        <v>207.93042467236967</v>
      </c>
      <c r="EP176" s="59">
        <f t="shared" si="154"/>
        <v>250.70954318710835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0.16202854057106902</v>
      </c>
      <c r="EW176" s="21">
        <f>EXP(-LN(2)/25)*EW175+(1-EXP(-LN(2)/25))/(LN(2)/25)*Calculateur!ER176*Calculateur!ET176*VLOOKUP('Données projet'!$B$15,Paramètres!$A$1:$I$89,3,0)*0.475*44/12</f>
        <v>0.328228019701437</v>
      </c>
      <c r="EX176" s="21">
        <f>EXP(-LN(2)/2)*EX175+(1-EXP(-LN(2)/2))/(LN(2)/2)*ER176*EU176*VLOOKUP('Données projet'!$B$15,Paramètres!$A$1:$I$89,3,0)*0.475*44/12</f>
        <v>6.0697472327538746E-21</v>
      </c>
      <c r="EY176" s="22">
        <f t="shared" si="181"/>
        <v>0.49025656027250603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-2.2737367544323206E-13</v>
      </c>
      <c r="O177" s="13">
        <f>N177*VLOOKUP('Données projet'!$B$9,Paramètres!$A$1:$I$89,3,0)*VLOOKUP('Données projet'!$B$9,Paramètres!$A$1:$I$89,5,0)</f>
        <v>-1.2710188457276673E-13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255.5374979188561</v>
      </c>
      <c r="T177" s="59">
        <f t="shared" si="142"/>
        <v>343.10418468620901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0.17841888030975256</v>
      </c>
      <c r="AA177" s="21">
        <f>EXP(-LN(2)/25)*AA176+(1-EXP(-LN(2)/25))/(LN(2)/25)*Calculateur!V177*Calculateur!X177*VLOOKUP('Données projet'!$B$9,Paramètres!$A$1:$I$89,3,0)*0.475*44/12</f>
        <v>0.29451482667750351</v>
      </c>
      <c r="AB177" s="21">
        <f>EXP(-LN(2)/2)*AB176+(1-EXP(-LN(2)/2))/(LN(2)/2)*V177*Y177*VLOOKUP('Données projet'!$B$9,Paramètres!$A$1:$I$89,3,0)*0.475*44/12</f>
        <v>3.5843301988402443E-22</v>
      </c>
      <c r="AC177" s="22">
        <f t="shared" si="163"/>
        <v>0.47293370698725606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1.5961632016114892E-13</v>
      </c>
      <c r="AK177" s="13">
        <f t="shared" si="164"/>
        <v>2.2708641912150958E-12</v>
      </c>
      <c r="AL177" s="20">
        <f t="shared" si="165"/>
        <v>4.2330868906469593E-12</v>
      </c>
      <c r="AM177" s="59">
        <f t="shared" si="113"/>
        <v>293.33333333333752</v>
      </c>
      <c r="AN177" s="59">
        <f ca="1">AVERAGE(OFFSET($AM$3,0,0,'Données projet'!$E$10+1,1))-AVERAGE(OFFSET($H$3,0,0,'Données projet'!$E$10+1,1))</f>
        <v>158.58786357608489</v>
      </c>
      <c r="AO177" s="59">
        <f t="shared" si="144"/>
        <v>163.20074068819849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553.99999999999955</v>
      </c>
      <c r="BE177" s="13">
        <f>BD177*VLOOKUP('Données projet'!$B$11,Paramètres!$A$1:$I$89,3,0)*VLOOKUP('Données projet'!$B$11,Paramètres!$A$1:$I$89,5,0)</f>
        <v>331.29199999999975</v>
      </c>
      <c r="BF177" s="13">
        <f t="shared" si="167"/>
        <v>77.698110787752</v>
      </c>
      <c r="BG177" s="20">
        <f t="shared" si="168"/>
        <v>712.32444295533423</v>
      </c>
      <c r="BH177" s="59">
        <f t="shared" si="116"/>
        <v>1005.6577762886675</v>
      </c>
      <c r="BI177" s="59">
        <f ca="1">AVERAGE(OFFSET($BH$3,0,0,'Données projet'!$E$11+1,1))-AVERAGE(OFFSET($H$3,0,0,'Données projet'!$E$11+1,1))</f>
        <v>316.58509520829671</v>
      </c>
      <c r="BJ177" s="59">
        <f t="shared" si="146"/>
        <v>240.71332110643596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0.14634469780462844</v>
      </c>
      <c r="BQ177" s="21">
        <f>EXP(-LN(2)/25)*BQ176+(1-EXP(-LN(2)/25))/(LN(2)/25)*Calculateur!BL177*Calculateur!BN177*VLOOKUP('Données projet'!$B$11,Paramètres!$A$1:$I$89,3,0)*0.475*44/12</f>
        <v>0.28173920956667459</v>
      </c>
      <c r="BR177" s="21">
        <f>EXP(-LN(2)/2)*BR176+(1-EXP(-LN(2)/2))/(LN(2)/2)*BL177*BO177*VLOOKUP('Données projet'!$B$11,Paramètres!$A$1:$I$89,3,0)*0.475*44/12</f>
        <v>4.645836605381171E-21</v>
      </c>
      <c r="BS177" s="22">
        <f t="shared" si="169"/>
        <v>0.42808390737130303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-5.1159076974727213E-13</v>
      </c>
      <c r="BZ177" s="13">
        <f>BY177*VLOOKUP('Données projet'!$B$12,Paramètres!$A$1:$I$89,3,0)*VLOOKUP('Données projet'!$B$12,Paramètres!$A$1:$I$89,5,0)</f>
        <v>-4.0702161641092972E-13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260.20517190557814</v>
      </c>
      <c r="CE177" s="59">
        <f t="shared" si="148"/>
        <v>307.22009971147133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0.18840498245637713</v>
      </c>
      <c r="CL177" s="21">
        <f>EXP(-LN(2)/25)*CL176+(1-EXP(-LN(2)/25))/(LN(2)/25)*Calculateur!CG177*Calculateur!CI177*VLOOKUP('Données projet'!$B$12,Paramètres!$A$1:$I$89,3,0)*0.475*44/12</f>
        <v>0.37864844114741647</v>
      </c>
      <c r="CM177" s="21">
        <f>EXP(-LN(2)/2)*CM176+(1-EXP(-LN(2)/2))/(LN(2)/2)*CG177*CJ177*VLOOKUP('Données projet'!$B$12,Paramètres!$A$1:$I$89,3,0)*0.475*44/12</f>
        <v>5.0904635080650204E-21</v>
      </c>
      <c r="CN177" s="22">
        <f t="shared" si="172"/>
        <v>0.56705342360379363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4.5474735088646412E-13</v>
      </c>
      <c r="CU177" s="17">
        <f>CT177*VLOOKUP('Données projet'!$B$13,Paramètres!$A$1:$I$89,3,0)*VLOOKUP('Données projet'!$B$13,Paramètres!$A$1:$I$89,5,0)</f>
        <v>4.6111381379887462E-13</v>
      </c>
      <c r="CV177" s="13">
        <f t="shared" si="173"/>
        <v>5.7981965206434308E-12</v>
      </c>
      <c r="CW177" s="20">
        <f t="shared" si="174"/>
        <v>1.0901632165820347E-11</v>
      </c>
      <c r="CX177" s="59">
        <f t="shared" si="122"/>
        <v>293.33333333334423</v>
      </c>
      <c r="CY177" s="59">
        <f ca="1">AVERAGE(OFFSET($CX$3,0,0,'Données projet'!$E$13+1,1))-AVERAGE(OFFSET($H$3,0,0,'Données projet'!$E$13+1,1))</f>
        <v>263.15518481854753</v>
      </c>
      <c r="CZ177" s="59">
        <f t="shared" si="150"/>
        <v>210.80755370263819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0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275.99999999999972</v>
      </c>
      <c r="DP177" s="17">
        <f>DO177*VLOOKUP('Données projet'!$B$14,Paramètres!$A$1:$I$89,3,0)*VLOOKUP('Données projet'!$B$14,Paramètres!$A$1:$I$89,5,0)</f>
        <v>223.8911999999998</v>
      </c>
      <c r="DQ177" s="13">
        <f t="shared" si="176"/>
        <v>54.95975389514858</v>
      </c>
      <c r="DR177" s="20">
        <f t="shared" si="177"/>
        <v>485.66541136738346</v>
      </c>
      <c r="DS177" s="59">
        <f t="shared" si="125"/>
        <v>778.99874470071677</v>
      </c>
      <c r="DT177" s="59">
        <f ca="1">AVERAGE(OFFSET($DS$3,0,0,'Données projet'!$E$14+1,1))-AVERAGE(OFFSET($H$3,0,0,'Données projet'!$E$14+1,1))</f>
        <v>203.21935660591021</v>
      </c>
      <c r="DU177" s="59">
        <f t="shared" si="152"/>
        <v>180.54762778843178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5.7888653137169982E-2</v>
      </c>
      <c r="EB177" s="21">
        <f>EXP(-LN(2)/25)*EB176+(1-EXP(-LN(2)/25))/(LN(2)/25)*Calculateur!DW177*Calculateur!DY177*VLOOKUP('Données projet'!$B$14,Paramètres!$A$1:$I$89,3,0)*0.475*44/12</f>
        <v>0.10709575369631333</v>
      </c>
      <c r="EC177" s="21">
        <f>EXP(-LN(2)/2)*EC176+(1-EXP(-LN(2)/2))/(LN(2)/2)*DW177*DZ177*VLOOKUP('Données projet'!$B$14,Paramètres!$A$1:$I$89,3,0)*0.475*44/12</f>
        <v>1.919098094833337E-21</v>
      </c>
      <c r="ED177" s="22">
        <f t="shared" si="178"/>
        <v>0.16498440683348331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-5.1159076974727213E-13</v>
      </c>
      <c r="EK177" s="17">
        <f>EJ177*VLOOKUP('Données projet'!$B$15,Paramètres!$A$1:$I$89,3,0)*VLOOKUP('Données projet'!$B$15,Paramètres!$A$1:$I$89,5,0)</f>
        <v>-3.4317508834647017E-13</v>
      </c>
      <c r="EL177" s="13" t="e">
        <f t="shared" si="179"/>
        <v>#NUM!</v>
      </c>
      <c r="EM177" s="20" t="e">
        <f t="shared" si="180"/>
        <v>#NUM!</v>
      </c>
      <c r="EN177" s="59" t="e">
        <f t="shared" si="128"/>
        <v>#NUM!</v>
      </c>
      <c r="EO177" s="59">
        <f ca="1">AVERAGE(OFFSET($EN$3,0,0,'Données projet'!$E$15+1,1))-AVERAGE(OFFSET($H$3,0,0,'Données projet'!$E$15+1,1))</f>
        <v>207.93042467236967</v>
      </c>
      <c r="EP177" s="59">
        <f t="shared" si="154"/>
        <v>250.70954318710835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0.1588512597181217</v>
      </c>
      <c r="EW177" s="21">
        <f>EXP(-LN(2)/25)*EW176+(1-EXP(-LN(2)/25))/(LN(2)/25)*Calculateur!ER177*Calculateur!ET177*VLOOKUP('Données projet'!$B$15,Paramètres!$A$1:$I$89,3,0)*0.475*44/12</f>
        <v>0.31925260724193982</v>
      </c>
      <c r="EX177" s="21">
        <f>EXP(-LN(2)/2)*EX176+(1-EXP(-LN(2)/2))/(LN(2)/2)*ER177*EU177*VLOOKUP('Données projet'!$B$15,Paramètres!$A$1:$I$89,3,0)*0.475*44/12</f>
        <v>4.2919594283685463E-21</v>
      </c>
      <c r="EY177" s="22">
        <f t="shared" si="181"/>
        <v>0.47810386696006152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-2.2737367544323206E-13</v>
      </c>
      <c r="O178" s="13">
        <f>N178*VLOOKUP('Données projet'!$B$9,Paramètres!$A$1:$I$89,3,0)*VLOOKUP('Données projet'!$B$9,Paramètres!$A$1:$I$89,5,0)</f>
        <v>-1.2710188457276673E-13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255.5374979188561</v>
      </c>
      <c r="T178" s="59">
        <f t="shared" si="142"/>
        <v>343.10418468620901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0.17492019489164976</v>
      </c>
      <c r="AA178" s="21">
        <f>EXP(-LN(2)/25)*AA177+(1-EXP(-LN(2)/25))/(LN(2)/25)*Calculateur!V178*Calculateur!X178*VLOOKUP('Données projet'!$B$9,Paramètres!$A$1:$I$89,3,0)*0.475*44/12</f>
        <v>0.28646130325414554</v>
      </c>
      <c r="AB178" s="21">
        <f>EXP(-LN(2)/2)*AB177+(1-EXP(-LN(2)/2))/(LN(2)/2)*V178*Y178*VLOOKUP('Données projet'!$B$9,Paramètres!$A$1:$I$89,3,0)*0.475*44/12</f>
        <v>2.5345041896116629E-22</v>
      </c>
      <c r="AC178" s="22">
        <f t="shared" si="163"/>
        <v>0.46138149814579532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1.5961632016114892E-13</v>
      </c>
      <c r="AK178" s="13">
        <f t="shared" si="164"/>
        <v>2.2708641912150958E-12</v>
      </c>
      <c r="AL178" s="20">
        <f t="shared" si="165"/>
        <v>4.2330868906469593E-12</v>
      </c>
      <c r="AM178" s="59">
        <f t="shared" si="113"/>
        <v>293.33333333333752</v>
      </c>
      <c r="AN178" s="59">
        <f ca="1">AVERAGE(OFFSET($AM$3,0,0,'Données projet'!$E$10+1,1))-AVERAGE(OFFSET($H$3,0,0,'Données projet'!$E$10+1,1))</f>
        <v>158.58786357608489</v>
      </c>
      <c r="AO178" s="59">
        <f t="shared" si="144"/>
        <v>163.20074068819849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553.99999999999955</v>
      </c>
      <c r="BE178" s="13">
        <f>BD178*VLOOKUP('Données projet'!$B$11,Paramètres!$A$1:$I$89,3,0)*VLOOKUP('Données projet'!$B$11,Paramètres!$A$1:$I$89,5,0)</f>
        <v>331.29199999999975</v>
      </c>
      <c r="BF178" s="13">
        <f t="shared" si="167"/>
        <v>77.698110787752</v>
      </c>
      <c r="BG178" s="20">
        <f t="shared" si="168"/>
        <v>712.32444295533423</v>
      </c>
      <c r="BH178" s="59">
        <f t="shared" si="116"/>
        <v>1005.6577762886675</v>
      </c>
      <c r="BI178" s="59">
        <f ca="1">AVERAGE(OFFSET($BH$3,0,0,'Données projet'!$E$11+1,1))-AVERAGE(OFFSET($H$3,0,0,'Données projet'!$E$11+1,1))</f>
        <v>316.58509520829671</v>
      </c>
      <c r="BJ178" s="59">
        <f t="shared" si="146"/>
        <v>240.71332110643596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0.14347496754213152</v>
      </c>
      <c r="BQ178" s="21">
        <f>EXP(-LN(2)/25)*BQ177+(1-EXP(-LN(2)/25))/(LN(2)/25)*Calculateur!BL178*Calculateur!BN178*VLOOKUP('Données projet'!$B$11,Paramètres!$A$1:$I$89,3,0)*0.475*44/12</f>
        <v>0.27403503606505275</v>
      </c>
      <c r="BR178" s="21">
        <f>EXP(-LN(2)/2)*BR177+(1-EXP(-LN(2)/2))/(LN(2)/2)*BL178*BO178*VLOOKUP('Données projet'!$B$11,Paramètres!$A$1:$I$89,3,0)*0.475*44/12</f>
        <v>3.2851025679497164E-21</v>
      </c>
      <c r="BS178" s="22">
        <f t="shared" si="169"/>
        <v>0.41751000360718427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-5.1159076974727213E-13</v>
      </c>
      <c r="BZ178" s="13">
        <f>BY178*VLOOKUP('Données projet'!$B$12,Paramètres!$A$1:$I$89,3,0)*VLOOKUP('Données projet'!$B$12,Paramètres!$A$1:$I$89,5,0)</f>
        <v>-4.0702161641092972E-13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260.20517190557814</v>
      </c>
      <c r="CE178" s="59">
        <f t="shared" si="148"/>
        <v>307.22009971147133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0.18471047566609988</v>
      </c>
      <c r="CL178" s="21">
        <f>EXP(-LN(2)/25)*CL177+(1-EXP(-LN(2)/25))/(LN(2)/25)*Calculateur!CG178*Calculateur!CI178*VLOOKUP('Données projet'!$B$12,Paramètres!$A$1:$I$89,3,0)*0.475*44/12</f>
        <v>0.36829427961198424</v>
      </c>
      <c r="CM178" s="21">
        <f>EXP(-LN(2)/2)*CM177+(1-EXP(-LN(2)/2))/(LN(2)/2)*CG178*CJ178*VLOOKUP('Données projet'!$B$12,Paramètres!$A$1:$I$89,3,0)*0.475*44/12</f>
        <v>3.5995012659354375E-21</v>
      </c>
      <c r="CN178" s="22">
        <f t="shared" si="172"/>
        <v>0.55300475527808413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4.5474735088646412E-13</v>
      </c>
      <c r="CU178" s="17">
        <f>CT178*VLOOKUP('Données projet'!$B$13,Paramètres!$A$1:$I$89,3,0)*VLOOKUP('Données projet'!$B$13,Paramètres!$A$1:$I$89,5,0)</f>
        <v>4.6111381379887462E-13</v>
      </c>
      <c r="CV178" s="13">
        <f t="shared" si="173"/>
        <v>5.7981965206434308E-12</v>
      </c>
      <c r="CW178" s="20">
        <f t="shared" si="174"/>
        <v>1.0901632165820347E-11</v>
      </c>
      <c r="CX178" s="59">
        <f t="shared" si="122"/>
        <v>293.33333333334423</v>
      </c>
      <c r="CY178" s="59">
        <f ca="1">AVERAGE(OFFSET($CX$3,0,0,'Données projet'!$E$13+1,1))-AVERAGE(OFFSET($H$3,0,0,'Données projet'!$E$13+1,1))</f>
        <v>263.15518481854753</v>
      </c>
      <c r="CZ178" s="59">
        <f t="shared" si="150"/>
        <v>210.80755370263819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0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275.99999999999972</v>
      </c>
      <c r="DP178" s="17">
        <f>DO178*VLOOKUP('Données projet'!$B$14,Paramètres!$A$1:$I$89,3,0)*VLOOKUP('Données projet'!$B$14,Paramètres!$A$1:$I$89,5,0)</f>
        <v>223.8911999999998</v>
      </c>
      <c r="DQ178" s="13">
        <f t="shared" si="176"/>
        <v>54.95975389514858</v>
      </c>
      <c r="DR178" s="20">
        <f t="shared" si="177"/>
        <v>485.66541136738346</v>
      </c>
      <c r="DS178" s="59">
        <f t="shared" si="125"/>
        <v>778.99874470071677</v>
      </c>
      <c r="DT178" s="59">
        <f ca="1">AVERAGE(OFFSET($DS$3,0,0,'Données projet'!$E$14+1,1))-AVERAGE(OFFSET($H$3,0,0,'Données projet'!$E$14+1,1))</f>
        <v>203.21935660591021</v>
      </c>
      <c r="DU178" s="59">
        <f t="shared" si="152"/>
        <v>180.54762778843178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5.6753491957742055E-2</v>
      </c>
      <c r="EB178" s="21">
        <f>EXP(-LN(2)/25)*EB177+(1-EXP(-LN(2)/25))/(LN(2)/25)*Calculateur!DW178*Calculateur!DY178*VLOOKUP('Données projet'!$B$14,Paramètres!$A$1:$I$89,3,0)*0.475*44/12</f>
        <v>0.10416721467956673</v>
      </c>
      <c r="EC178" s="21">
        <f>EXP(-LN(2)/2)*EC177+(1-EXP(-LN(2)/2))/(LN(2)/2)*DW178*DZ178*VLOOKUP('Données projet'!$B$14,Paramètres!$A$1:$I$89,3,0)*0.475*44/12</f>
        <v>1.3570072766188367E-21</v>
      </c>
      <c r="ED178" s="22">
        <f t="shared" si="178"/>
        <v>0.16092070663730879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-5.1159076974727213E-13</v>
      </c>
      <c r="EK178" s="17">
        <f>EJ178*VLOOKUP('Données projet'!$B$15,Paramètres!$A$1:$I$89,3,0)*VLOOKUP('Données projet'!$B$15,Paramètres!$A$1:$I$89,5,0)</f>
        <v>-3.4317508834647017E-13</v>
      </c>
      <c r="EL178" s="13" t="e">
        <f t="shared" si="179"/>
        <v>#NUM!</v>
      </c>
      <c r="EM178" s="20" t="e">
        <f t="shared" si="180"/>
        <v>#NUM!</v>
      </c>
      <c r="EN178" s="59" t="e">
        <f t="shared" si="128"/>
        <v>#NUM!</v>
      </c>
      <c r="EO178" s="59">
        <f ca="1">AVERAGE(OFFSET($EN$3,0,0,'Données projet'!$E$15+1,1))-AVERAGE(OFFSET($H$3,0,0,'Données projet'!$E$15+1,1))</f>
        <v>207.93042467236967</v>
      </c>
      <c r="EP178" s="59">
        <f t="shared" si="154"/>
        <v>250.70954318710835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0.15573628340475068</v>
      </c>
      <c r="EW178" s="21">
        <f>EXP(-LN(2)/25)*EW177+(1-EXP(-LN(2)/25))/(LN(2)/25)*Calculateur!ER178*Calculateur!ET178*VLOOKUP('Données projet'!$B$15,Paramètres!$A$1:$I$89,3,0)*0.475*44/12</f>
        <v>0.310522627908144</v>
      </c>
      <c r="EX178" s="21">
        <f>EXP(-LN(2)/2)*EX177+(1-EXP(-LN(2)/2))/(LN(2)/2)*ER178*EU178*VLOOKUP('Données projet'!$B$15,Paramètres!$A$1:$I$89,3,0)*0.475*44/12</f>
        <v>3.0348736163769373E-21</v>
      </c>
      <c r="EY178" s="22">
        <f t="shared" si="181"/>
        <v>0.46625891131289465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-2.2737367544323206E-13</v>
      </c>
      <c r="O179" s="13">
        <f>N179*VLOOKUP('Données projet'!$B$9,Paramètres!$A$1:$I$89,3,0)*VLOOKUP('Données projet'!$B$9,Paramètres!$A$1:$I$89,5,0)</f>
        <v>-1.2710188457276673E-13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255.5374979188561</v>
      </c>
      <c r="T179" s="59">
        <f t="shared" si="142"/>
        <v>343.10418468620901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0.17149011656060856</v>
      </c>
      <c r="AA179" s="21">
        <f>EXP(-LN(2)/25)*AA178+(1-EXP(-LN(2)/25))/(LN(2)/25)*Calculateur!V179*Calculateur!X179*VLOOKUP('Données projet'!$B$9,Paramètres!$A$1:$I$89,3,0)*0.475*44/12</f>
        <v>0.27862800385231573</v>
      </c>
      <c r="AB179" s="21">
        <f>EXP(-LN(2)/2)*AB178+(1-EXP(-LN(2)/2))/(LN(2)/2)*V179*Y179*VLOOKUP('Données projet'!$B$9,Paramètres!$A$1:$I$89,3,0)*0.475*44/12</f>
        <v>1.7921650994201221E-22</v>
      </c>
      <c r="AC179" s="22">
        <f t="shared" si="163"/>
        <v>0.45011812041292432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1.5961632016114892E-13</v>
      </c>
      <c r="AK179" s="13">
        <f t="shared" si="164"/>
        <v>2.2708641912150958E-12</v>
      </c>
      <c r="AL179" s="20">
        <f t="shared" si="165"/>
        <v>4.2330868906469593E-12</v>
      </c>
      <c r="AM179" s="59">
        <f t="shared" si="113"/>
        <v>293.33333333333752</v>
      </c>
      <c r="AN179" s="59">
        <f ca="1">AVERAGE(OFFSET($AM$3,0,0,'Données projet'!$E$10+1,1))-AVERAGE(OFFSET($H$3,0,0,'Données projet'!$E$10+1,1))</f>
        <v>158.58786357608489</v>
      </c>
      <c r="AO179" s="59">
        <f t="shared" si="144"/>
        <v>163.20074068819849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553.99999999999955</v>
      </c>
      <c r="BE179" s="13">
        <f>BD179*VLOOKUP('Données projet'!$B$11,Paramètres!$A$1:$I$89,3,0)*VLOOKUP('Données projet'!$B$11,Paramètres!$A$1:$I$89,5,0)</f>
        <v>331.29199999999975</v>
      </c>
      <c r="BF179" s="13">
        <f t="shared" si="167"/>
        <v>77.698110787752</v>
      </c>
      <c r="BG179" s="20">
        <f t="shared" si="168"/>
        <v>712.32444295533423</v>
      </c>
      <c r="BH179" s="59">
        <f t="shared" si="116"/>
        <v>1005.6577762886675</v>
      </c>
      <c r="BI179" s="59">
        <f ca="1">AVERAGE(OFFSET($BH$3,0,0,'Données projet'!$E$11+1,1))-AVERAGE(OFFSET($H$3,0,0,'Données projet'!$E$11+1,1))</f>
        <v>316.58509520829671</v>
      </c>
      <c r="BJ179" s="59">
        <f t="shared" si="146"/>
        <v>240.71332110643596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0.14066151093971951</v>
      </c>
      <c r="BQ179" s="21">
        <f>EXP(-LN(2)/25)*BQ178+(1-EXP(-LN(2)/25))/(LN(2)/25)*Calculateur!BL179*Calculateur!BN179*VLOOKUP('Données projet'!$B$11,Paramètres!$A$1:$I$89,3,0)*0.475*44/12</f>
        <v>0.26654153359297766</v>
      </c>
      <c r="BR179" s="21">
        <f>EXP(-LN(2)/2)*BR178+(1-EXP(-LN(2)/2))/(LN(2)/2)*BL179*BO179*VLOOKUP('Données projet'!$B$11,Paramètres!$A$1:$I$89,3,0)*0.475*44/12</f>
        <v>2.3229183026905855E-21</v>
      </c>
      <c r="BS179" s="22">
        <f t="shared" si="169"/>
        <v>0.40720304453269718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-5.1159076974727213E-13</v>
      </c>
      <c r="BZ179" s="13">
        <f>BY179*VLOOKUP('Données projet'!$B$12,Paramètres!$A$1:$I$89,3,0)*VLOOKUP('Données projet'!$B$12,Paramètres!$A$1:$I$89,5,0)</f>
        <v>-4.0702161641092972E-13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260.20517190557814</v>
      </c>
      <c r="CE179" s="59">
        <f t="shared" si="148"/>
        <v>307.22009971147133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0.18108841590055336</v>
      </c>
      <c r="CL179" s="21">
        <f>EXP(-LN(2)/25)*CL178+(1-EXP(-LN(2)/25))/(LN(2)/25)*Calculateur!CG179*Calculateur!CI179*VLOOKUP('Données projet'!$B$12,Paramètres!$A$1:$I$89,3,0)*0.475*44/12</f>
        <v>0.35822325316824011</v>
      </c>
      <c r="CM179" s="21">
        <f>EXP(-LN(2)/2)*CM178+(1-EXP(-LN(2)/2))/(LN(2)/2)*CG179*CJ179*VLOOKUP('Données projet'!$B$12,Paramètres!$A$1:$I$89,3,0)*0.475*44/12</f>
        <v>2.5452317540325102E-21</v>
      </c>
      <c r="CN179" s="22">
        <f t="shared" si="172"/>
        <v>0.53931166906879346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4.5474735088646412E-13</v>
      </c>
      <c r="CU179" s="17">
        <f>CT179*VLOOKUP('Données projet'!$B$13,Paramètres!$A$1:$I$89,3,0)*VLOOKUP('Données projet'!$B$13,Paramètres!$A$1:$I$89,5,0)</f>
        <v>4.6111381379887462E-13</v>
      </c>
      <c r="CV179" s="13">
        <f t="shared" si="173"/>
        <v>5.7981965206434308E-12</v>
      </c>
      <c r="CW179" s="20">
        <f t="shared" si="174"/>
        <v>1.0901632165820347E-11</v>
      </c>
      <c r="CX179" s="59">
        <f t="shared" si="122"/>
        <v>293.33333333334423</v>
      </c>
      <c r="CY179" s="59">
        <f ca="1">AVERAGE(OFFSET($CX$3,0,0,'Données projet'!$E$13+1,1))-AVERAGE(OFFSET($H$3,0,0,'Données projet'!$E$13+1,1))</f>
        <v>263.15518481854753</v>
      </c>
      <c r="CZ179" s="59">
        <f t="shared" si="150"/>
        <v>210.80755370263819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0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275.99999999999972</v>
      </c>
      <c r="DP179" s="17">
        <f>DO179*VLOOKUP('Données projet'!$B$14,Paramètres!$A$1:$I$89,3,0)*VLOOKUP('Données projet'!$B$14,Paramètres!$A$1:$I$89,5,0)</f>
        <v>223.8911999999998</v>
      </c>
      <c r="DQ179" s="13">
        <f t="shared" si="176"/>
        <v>54.95975389514858</v>
      </c>
      <c r="DR179" s="20">
        <f t="shared" si="177"/>
        <v>485.66541136738346</v>
      </c>
      <c r="DS179" s="59">
        <f t="shared" si="125"/>
        <v>778.99874470071677</v>
      </c>
      <c r="DT179" s="59">
        <f ca="1">AVERAGE(OFFSET($DS$3,0,0,'Données projet'!$E$14+1,1))-AVERAGE(OFFSET($H$3,0,0,'Données projet'!$E$14+1,1))</f>
        <v>203.21935660591021</v>
      </c>
      <c r="DU179" s="59">
        <f t="shared" si="152"/>
        <v>180.54762778843178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5.5640590596662758E-2</v>
      </c>
      <c r="EB179" s="21">
        <f>EXP(-LN(2)/25)*EB178+(1-EXP(-LN(2)/25))/(LN(2)/25)*Calculateur!DW179*Calculateur!DY179*VLOOKUP('Données projet'!$B$14,Paramètres!$A$1:$I$89,3,0)*0.475*44/12</f>
        <v>0.10131875671623823</v>
      </c>
      <c r="EC179" s="21">
        <f>EXP(-LN(2)/2)*EC178+(1-EXP(-LN(2)/2))/(LN(2)/2)*DW179*DZ179*VLOOKUP('Données projet'!$B$14,Paramètres!$A$1:$I$89,3,0)*0.475*44/12</f>
        <v>9.5954904741666852E-22</v>
      </c>
      <c r="ED179" s="22">
        <f t="shared" si="178"/>
        <v>0.15695934731290098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-5.1159076974727213E-13</v>
      </c>
      <c r="EK179" s="17">
        <f>EJ179*VLOOKUP('Données projet'!$B$15,Paramètres!$A$1:$I$89,3,0)*VLOOKUP('Données projet'!$B$15,Paramètres!$A$1:$I$89,5,0)</f>
        <v>-3.4317508834647017E-13</v>
      </c>
      <c r="EL179" s="13" t="e">
        <f t="shared" si="179"/>
        <v>#NUM!</v>
      </c>
      <c r="EM179" s="20" t="e">
        <f t="shared" si="180"/>
        <v>#NUM!</v>
      </c>
      <c r="EN179" s="59" t="e">
        <f t="shared" si="128"/>
        <v>#NUM!</v>
      </c>
      <c r="EO179" s="59">
        <f ca="1">AVERAGE(OFFSET($EN$3,0,0,'Données projet'!$E$15+1,1))-AVERAGE(OFFSET($H$3,0,0,'Données projet'!$E$15+1,1))</f>
        <v>207.93042467236967</v>
      </c>
      <c r="EP179" s="59">
        <f t="shared" si="154"/>
        <v>250.70954318710835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0.15268238987693694</v>
      </c>
      <c r="EW179" s="21">
        <f>EXP(-LN(2)/25)*EW178+(1-EXP(-LN(2)/25))/(LN(2)/25)*Calculateur!ER179*Calculateur!ET179*VLOOKUP('Données projet'!$B$15,Paramètres!$A$1:$I$89,3,0)*0.475*44/12</f>
        <v>0.3020313703183205</v>
      </c>
      <c r="EX179" s="21">
        <f>EXP(-LN(2)/2)*EX178+(1-EXP(-LN(2)/2))/(LN(2)/2)*ER179*EU179*VLOOKUP('Données projet'!$B$15,Paramètres!$A$1:$I$89,3,0)*0.475*44/12</f>
        <v>2.1459797141842731E-21</v>
      </c>
      <c r="EY179" s="22">
        <f t="shared" si="181"/>
        <v>0.45471376019525744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-2.2737367544323206E-13</v>
      </c>
      <c r="O180" s="13">
        <f>N180*VLOOKUP('Données projet'!$B$9,Paramètres!$A$1:$I$89,3,0)*VLOOKUP('Données projet'!$B$9,Paramètres!$A$1:$I$89,5,0)</f>
        <v>-1.2710188457276673E-13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255.5374979188561</v>
      </c>
      <c r="T180" s="59">
        <f t="shared" si="142"/>
        <v>343.10418468620901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0.16812729997349787</v>
      </c>
      <c r="AA180" s="21">
        <f>EXP(-LN(2)/25)*AA179+(1-EXP(-LN(2)/25))/(LN(2)/25)*Calculateur!V180*Calculateur!X180*VLOOKUP('Données projet'!$B$9,Paramètres!$A$1:$I$89,3,0)*0.475*44/12</f>
        <v>0.27100890643456427</v>
      </c>
      <c r="AB180" s="21">
        <f>EXP(-LN(2)/2)*AB179+(1-EXP(-LN(2)/2))/(LN(2)/2)*V180*Y180*VLOOKUP('Données projet'!$B$9,Paramètres!$A$1:$I$89,3,0)*0.475*44/12</f>
        <v>1.2672520948058315E-22</v>
      </c>
      <c r="AC180" s="22">
        <f t="shared" si="163"/>
        <v>0.43913620640806217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1.5961632016114892E-13</v>
      </c>
      <c r="AK180" s="13">
        <f t="shared" si="164"/>
        <v>2.2708641912150958E-12</v>
      </c>
      <c r="AL180" s="20">
        <f t="shared" si="165"/>
        <v>4.2330868906469593E-12</v>
      </c>
      <c r="AM180" s="59">
        <f t="shared" si="113"/>
        <v>293.33333333333752</v>
      </c>
      <c r="AN180" s="59">
        <f ca="1">AVERAGE(OFFSET($AM$3,0,0,'Données projet'!$E$10+1,1))-AVERAGE(OFFSET($H$3,0,0,'Données projet'!$E$10+1,1))</f>
        <v>158.58786357608489</v>
      </c>
      <c r="AO180" s="59">
        <f t="shared" si="144"/>
        <v>163.20074068819849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553.99999999999955</v>
      </c>
      <c r="BE180" s="13">
        <f>BD180*VLOOKUP('Données projet'!$B$11,Paramètres!$A$1:$I$89,3,0)*VLOOKUP('Données projet'!$B$11,Paramètres!$A$1:$I$89,5,0)</f>
        <v>331.29199999999975</v>
      </c>
      <c r="BF180" s="13">
        <f t="shared" si="167"/>
        <v>77.698110787752</v>
      </c>
      <c r="BG180" s="20">
        <f t="shared" si="168"/>
        <v>712.32444295533423</v>
      </c>
      <c r="BH180" s="59">
        <f t="shared" si="116"/>
        <v>1005.6577762886675</v>
      </c>
      <c r="BI180" s="59">
        <f ca="1">AVERAGE(OFFSET($BH$3,0,0,'Données projet'!$E$11+1,1))-AVERAGE(OFFSET($H$3,0,0,'Données projet'!$E$11+1,1))</f>
        <v>316.58509520829671</v>
      </c>
      <c r="BJ180" s="59">
        <f t="shared" si="146"/>
        <v>240.71332110643596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0.13790322450524173</v>
      </c>
      <c r="BQ180" s="21">
        <f>EXP(-LN(2)/25)*BQ179+(1-EXP(-LN(2)/25))/(LN(2)/25)*Calculateur!BL180*Calculateur!BN180*VLOOKUP('Données projet'!$B$11,Paramètres!$A$1:$I$89,3,0)*0.475*44/12</f>
        <v>0.2592529413400676</v>
      </c>
      <c r="BR180" s="21">
        <f>EXP(-LN(2)/2)*BR179+(1-EXP(-LN(2)/2))/(LN(2)/2)*BL180*BO180*VLOOKUP('Données projet'!$B$11,Paramètres!$A$1:$I$89,3,0)*0.475*44/12</f>
        <v>1.6425512839748582E-21</v>
      </c>
      <c r="BS180" s="22">
        <f t="shared" si="169"/>
        <v>0.39715616584530933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-5.1159076974727213E-13</v>
      </c>
      <c r="BZ180" s="13">
        <f>BY180*VLOOKUP('Données projet'!$B$12,Paramètres!$A$1:$I$89,3,0)*VLOOKUP('Données projet'!$B$12,Paramètres!$A$1:$I$89,5,0)</f>
        <v>-4.0702161641092972E-13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260.20517190557814</v>
      </c>
      <c r="CE180" s="59">
        <f t="shared" si="148"/>
        <v>307.22009971147133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0.17753738251777088</v>
      </c>
      <c r="CL180" s="21">
        <f>EXP(-LN(2)/25)*CL179+(1-EXP(-LN(2)/25))/(LN(2)/25)*Calculateur!CG180*Calculateur!CI180*VLOOKUP('Données projet'!$B$12,Paramètres!$A$1:$I$89,3,0)*0.475*44/12</f>
        <v>0.3484276194722124</v>
      </c>
      <c r="CM180" s="21">
        <f>EXP(-LN(2)/2)*CM179+(1-EXP(-LN(2)/2))/(LN(2)/2)*CG180*CJ180*VLOOKUP('Données projet'!$B$12,Paramètres!$A$1:$I$89,3,0)*0.475*44/12</f>
        <v>1.7997506329677187E-21</v>
      </c>
      <c r="CN180" s="22">
        <f t="shared" si="172"/>
        <v>0.52596500198998331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4.5474735088646412E-13</v>
      </c>
      <c r="CU180" s="17">
        <f>CT180*VLOOKUP('Données projet'!$B$13,Paramètres!$A$1:$I$89,3,0)*VLOOKUP('Données projet'!$B$13,Paramètres!$A$1:$I$89,5,0)</f>
        <v>4.6111381379887462E-13</v>
      </c>
      <c r="CV180" s="13">
        <f t="shared" si="173"/>
        <v>5.7981965206434308E-12</v>
      </c>
      <c r="CW180" s="20">
        <f t="shared" si="174"/>
        <v>1.0901632165820347E-11</v>
      </c>
      <c r="CX180" s="59">
        <f t="shared" si="122"/>
        <v>293.33333333334423</v>
      </c>
      <c r="CY180" s="59">
        <f ca="1">AVERAGE(OFFSET($CX$3,0,0,'Données projet'!$E$13+1,1))-AVERAGE(OFFSET($H$3,0,0,'Données projet'!$E$13+1,1))</f>
        <v>263.15518481854753</v>
      </c>
      <c r="CZ180" s="59">
        <f t="shared" si="150"/>
        <v>210.80755370263819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0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275.99999999999972</v>
      </c>
      <c r="DP180" s="17">
        <f>DO180*VLOOKUP('Données projet'!$B$14,Paramètres!$A$1:$I$89,3,0)*VLOOKUP('Données projet'!$B$14,Paramètres!$A$1:$I$89,5,0)</f>
        <v>223.8911999999998</v>
      </c>
      <c r="DQ180" s="13">
        <f t="shared" si="176"/>
        <v>54.95975389514858</v>
      </c>
      <c r="DR180" s="20">
        <f t="shared" si="177"/>
        <v>485.66541136738346</v>
      </c>
      <c r="DS180" s="59">
        <f t="shared" si="125"/>
        <v>778.99874470071677</v>
      </c>
      <c r="DT180" s="59">
        <f ca="1">AVERAGE(OFFSET($DS$3,0,0,'Données projet'!$E$14+1,1))-AVERAGE(OFFSET($H$3,0,0,'Données projet'!$E$14+1,1))</f>
        <v>203.21935660591021</v>
      </c>
      <c r="DU180" s="59">
        <f t="shared" si="152"/>
        <v>180.54762778843178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5.4549512552471424E-2</v>
      </c>
      <c r="EB180" s="21">
        <f>EXP(-LN(2)/25)*EB179+(1-EXP(-LN(2)/25))/(LN(2)/25)*Calculateur!DW180*Calculateur!DY180*VLOOKUP('Données projet'!$B$14,Paramètres!$A$1:$I$89,3,0)*0.475*44/12</f>
        <v>9.8548189985710855E-2</v>
      </c>
      <c r="EC180" s="21">
        <f>EXP(-LN(2)/2)*EC179+(1-EXP(-LN(2)/2))/(LN(2)/2)*DW180*DZ180*VLOOKUP('Données projet'!$B$14,Paramètres!$A$1:$I$89,3,0)*0.475*44/12</f>
        <v>6.7850363830941835E-22</v>
      </c>
      <c r="ED180" s="22">
        <f t="shared" si="178"/>
        <v>0.15309770253818228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-5.1159076974727213E-13</v>
      </c>
      <c r="EK180" s="17">
        <f>EJ180*VLOOKUP('Données projet'!$B$15,Paramètres!$A$1:$I$89,3,0)*VLOOKUP('Données projet'!$B$15,Paramètres!$A$1:$I$89,5,0)</f>
        <v>-3.4317508834647017E-13</v>
      </c>
      <c r="EL180" s="13" t="e">
        <f t="shared" si="179"/>
        <v>#NUM!</v>
      </c>
      <c r="EM180" s="20" t="e">
        <f t="shared" si="180"/>
        <v>#NUM!</v>
      </c>
      <c r="EN180" s="59" t="e">
        <f t="shared" si="128"/>
        <v>#NUM!</v>
      </c>
      <c r="EO180" s="59">
        <f ca="1">AVERAGE(OFFSET($EN$3,0,0,'Données projet'!$E$15+1,1))-AVERAGE(OFFSET($H$3,0,0,'Données projet'!$E$15+1,1))</f>
        <v>207.93042467236967</v>
      </c>
      <c r="EP180" s="59">
        <f t="shared" si="154"/>
        <v>250.70954318710835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0.14968838133851251</v>
      </c>
      <c r="EW180" s="21">
        <f>EXP(-LN(2)/25)*EW179+(1-EXP(-LN(2)/25))/(LN(2)/25)*Calculateur!ER180*Calculateur!ET180*VLOOKUP('Données projet'!$B$15,Paramètres!$A$1:$I$89,3,0)*0.475*44/12</f>
        <v>0.29377230661382658</v>
      </c>
      <c r="EX180" s="21">
        <f>EXP(-LN(2)/2)*EX179+(1-EXP(-LN(2)/2))/(LN(2)/2)*ER180*EU180*VLOOKUP('Données projet'!$B$15,Paramètres!$A$1:$I$89,3,0)*0.475*44/12</f>
        <v>1.5174368081884686E-21</v>
      </c>
      <c r="EY180" s="22">
        <f t="shared" si="181"/>
        <v>0.44346068795233906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-2.2737367544323206E-13</v>
      </c>
      <c r="O181" s="13">
        <f>N181*VLOOKUP('Données projet'!$B$9,Paramètres!$A$1:$I$89,3,0)*VLOOKUP('Données projet'!$B$9,Paramètres!$A$1:$I$89,5,0)</f>
        <v>-1.2710188457276673E-13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255.5374979188561</v>
      </c>
      <c r="T181" s="59">
        <f t="shared" si="142"/>
        <v>343.10418468620901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0.16483042616854485</v>
      </c>
      <c r="AA181" s="21">
        <f>EXP(-LN(2)/25)*AA180+(1-EXP(-LN(2)/25))/(LN(2)/25)*Calculateur!V181*Calculateur!X181*VLOOKUP('Données projet'!$B$9,Paramètres!$A$1:$I$89,3,0)*0.475*44/12</f>
        <v>0.26359815363637212</v>
      </c>
      <c r="AB181" s="21">
        <f>EXP(-LN(2)/2)*AB180+(1-EXP(-LN(2)/2))/(LN(2)/2)*V181*Y181*VLOOKUP('Données projet'!$B$9,Paramètres!$A$1:$I$89,3,0)*0.475*44/12</f>
        <v>8.9608254971006107E-23</v>
      </c>
      <c r="AC181" s="22">
        <f t="shared" si="163"/>
        <v>0.428428579804917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1.5961632016114892E-13</v>
      </c>
      <c r="AK181" s="13">
        <f t="shared" si="164"/>
        <v>2.2708641912150958E-12</v>
      </c>
      <c r="AL181" s="20">
        <f t="shared" si="165"/>
        <v>4.2330868906469593E-12</v>
      </c>
      <c r="AM181" s="59">
        <f t="shared" si="113"/>
        <v>293.33333333333752</v>
      </c>
      <c r="AN181" s="59">
        <f ca="1">AVERAGE(OFFSET($AM$3,0,0,'Données projet'!$E$10+1,1))-AVERAGE(OFFSET($H$3,0,0,'Données projet'!$E$10+1,1))</f>
        <v>158.58786357608489</v>
      </c>
      <c r="AO181" s="59">
        <f t="shared" si="144"/>
        <v>163.20074068819849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553.99999999999955</v>
      </c>
      <c r="BE181" s="13">
        <f>BD181*VLOOKUP('Données projet'!$B$11,Paramètres!$A$1:$I$89,3,0)*VLOOKUP('Données projet'!$B$11,Paramètres!$A$1:$I$89,5,0)</f>
        <v>331.29199999999975</v>
      </c>
      <c r="BF181" s="13">
        <f t="shared" si="167"/>
        <v>77.698110787752</v>
      </c>
      <c r="BG181" s="20">
        <f t="shared" si="168"/>
        <v>712.32444295533423</v>
      </c>
      <c r="BH181" s="59">
        <f t="shared" si="116"/>
        <v>1005.6577762886675</v>
      </c>
      <c r="BI181" s="59">
        <f ca="1">AVERAGE(OFFSET($BH$3,0,0,'Données projet'!$E$11+1,1))-AVERAGE(OFFSET($H$3,0,0,'Données projet'!$E$11+1,1))</f>
        <v>316.58509520829671</v>
      </c>
      <c r="BJ181" s="59">
        <f t="shared" si="146"/>
        <v>240.71332110643596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0.13519902638535544</v>
      </c>
      <c r="BQ181" s="21">
        <f>EXP(-LN(2)/25)*BQ180+(1-EXP(-LN(2)/25))/(LN(2)/25)*Calculateur!BL181*Calculateur!BN181*VLOOKUP('Données projet'!$B$11,Paramètres!$A$1:$I$89,3,0)*0.475*44/12</f>
        <v>0.25216365602560381</v>
      </c>
      <c r="BR181" s="21">
        <f>EXP(-LN(2)/2)*BR180+(1-EXP(-LN(2)/2))/(LN(2)/2)*BL181*BO181*VLOOKUP('Données projet'!$B$11,Paramètres!$A$1:$I$89,3,0)*0.475*44/12</f>
        <v>1.1614591513452927E-21</v>
      </c>
      <c r="BS181" s="22">
        <f t="shared" si="169"/>
        <v>0.38736268241095928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-5.1159076974727213E-13</v>
      </c>
      <c r="BZ181" s="13">
        <f>BY181*VLOOKUP('Données projet'!$B$12,Paramètres!$A$1:$I$89,3,0)*VLOOKUP('Données projet'!$B$12,Paramètres!$A$1:$I$89,5,0)</f>
        <v>-4.0702161641092972E-13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260.20517190557814</v>
      </c>
      <c r="CE181" s="59">
        <f t="shared" si="148"/>
        <v>307.22009971147133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0.17405598273370826</v>
      </c>
      <c r="CL181" s="21">
        <f>EXP(-LN(2)/25)*CL180+(1-EXP(-LN(2)/25))/(LN(2)/25)*Calculateur!CG181*Calculateur!CI181*VLOOKUP('Données projet'!$B$12,Paramètres!$A$1:$I$89,3,0)*0.475*44/12</f>
        <v>0.3388998478947326</v>
      </c>
      <c r="CM181" s="21">
        <f>EXP(-LN(2)/2)*CM180+(1-EXP(-LN(2)/2))/(LN(2)/2)*CG181*CJ181*VLOOKUP('Données projet'!$B$12,Paramètres!$A$1:$I$89,3,0)*0.475*44/12</f>
        <v>1.2726158770162551E-21</v>
      </c>
      <c r="CN181" s="22">
        <f t="shared" si="172"/>
        <v>0.51295583062844086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4.5474735088646412E-13</v>
      </c>
      <c r="CU181" s="17">
        <f>CT181*VLOOKUP('Données projet'!$B$13,Paramètres!$A$1:$I$89,3,0)*VLOOKUP('Données projet'!$B$13,Paramètres!$A$1:$I$89,5,0)</f>
        <v>4.6111381379887462E-13</v>
      </c>
      <c r="CV181" s="13">
        <f t="shared" si="173"/>
        <v>5.7981965206434308E-12</v>
      </c>
      <c r="CW181" s="20">
        <f t="shared" si="174"/>
        <v>1.0901632165820347E-11</v>
      </c>
      <c r="CX181" s="59">
        <f t="shared" si="122"/>
        <v>293.33333333334423</v>
      </c>
      <c r="CY181" s="59">
        <f ca="1">AVERAGE(OFFSET($CX$3,0,0,'Données projet'!$E$13+1,1))-AVERAGE(OFFSET($H$3,0,0,'Données projet'!$E$13+1,1))</f>
        <v>263.15518481854753</v>
      </c>
      <c r="CZ181" s="59">
        <f t="shared" si="150"/>
        <v>210.80755370263819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0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275.99999999999972</v>
      </c>
      <c r="DP181" s="17">
        <f>DO181*VLOOKUP('Données projet'!$B$14,Paramètres!$A$1:$I$89,3,0)*VLOOKUP('Données projet'!$B$14,Paramètres!$A$1:$I$89,5,0)</f>
        <v>223.8911999999998</v>
      </c>
      <c r="DQ181" s="13">
        <f t="shared" si="176"/>
        <v>54.95975389514858</v>
      </c>
      <c r="DR181" s="20">
        <f t="shared" si="177"/>
        <v>485.66541136738346</v>
      </c>
      <c r="DS181" s="59">
        <f t="shared" si="125"/>
        <v>778.99874470071677</v>
      </c>
      <c r="DT181" s="59">
        <f ca="1">AVERAGE(OFFSET($DS$3,0,0,'Données projet'!$E$14+1,1))-AVERAGE(OFFSET($H$3,0,0,'Données projet'!$E$14+1,1))</f>
        <v>203.21935660591021</v>
      </c>
      <c r="DU181" s="59">
        <f t="shared" si="152"/>
        <v>180.54762778843178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5.347982988323479E-2</v>
      </c>
      <c r="EB181" s="21">
        <f>EXP(-LN(2)/25)*EB180+(1-EXP(-LN(2)/25))/(LN(2)/25)*Calculateur!DW181*Calculateur!DY181*VLOOKUP('Données projet'!$B$14,Paramètres!$A$1:$I$89,3,0)*0.475*44/12</f>
        <v>9.5853384548127515E-2</v>
      </c>
      <c r="EC181" s="21">
        <f>EXP(-LN(2)/2)*EC180+(1-EXP(-LN(2)/2))/(LN(2)/2)*DW181*DZ181*VLOOKUP('Données projet'!$B$14,Paramètres!$A$1:$I$89,3,0)*0.475*44/12</f>
        <v>4.7977452370833426E-22</v>
      </c>
      <c r="ED181" s="22">
        <f t="shared" si="178"/>
        <v>0.1493332144313623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-5.1159076974727213E-13</v>
      </c>
      <c r="EK181" s="17">
        <f>EJ181*VLOOKUP('Données projet'!$B$15,Paramètres!$A$1:$I$89,3,0)*VLOOKUP('Données projet'!$B$15,Paramètres!$A$1:$I$89,5,0)</f>
        <v>-3.4317508834647017E-13</v>
      </c>
      <c r="EL181" s="13" t="e">
        <f t="shared" si="179"/>
        <v>#NUM!</v>
      </c>
      <c r="EM181" s="20" t="e">
        <f t="shared" si="180"/>
        <v>#NUM!</v>
      </c>
      <c r="EN181" s="59" t="e">
        <f t="shared" si="128"/>
        <v>#NUM!</v>
      </c>
      <c r="EO181" s="59">
        <f ca="1">AVERAGE(OFFSET($EN$3,0,0,'Données projet'!$E$15+1,1))-AVERAGE(OFFSET($H$3,0,0,'Données projet'!$E$15+1,1))</f>
        <v>207.93042467236967</v>
      </c>
      <c r="EP181" s="59">
        <f t="shared" si="154"/>
        <v>250.70954318710835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0.14675308348136168</v>
      </c>
      <c r="EW181" s="21">
        <f>EXP(-LN(2)/25)*EW180+(1-EXP(-LN(2)/25))/(LN(2)/25)*Calculateur!ER181*Calculateur!ET181*VLOOKUP('Données projet'!$B$15,Paramètres!$A$1:$I$89,3,0)*0.475*44/12</f>
        <v>0.28573908744065729</v>
      </c>
      <c r="EX181" s="21">
        <f>EXP(-LN(2)/2)*EX180+(1-EXP(-LN(2)/2))/(LN(2)/2)*ER181*EU181*VLOOKUP('Données projet'!$B$15,Paramètres!$A$1:$I$89,3,0)*0.475*44/12</f>
        <v>1.0729898570921366E-21</v>
      </c>
      <c r="EY181" s="22">
        <f t="shared" si="181"/>
        <v>0.43249217092201897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-2.2737367544323206E-13</v>
      </c>
      <c r="O182" s="13">
        <f>N182*VLOOKUP('Données projet'!$B$9,Paramètres!$A$1:$I$89,3,0)*VLOOKUP('Données projet'!$B$9,Paramètres!$A$1:$I$89,5,0)</f>
        <v>-1.2710188457276673E-13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255.5374979188561</v>
      </c>
      <c r="T182" s="59">
        <f t="shared" si="142"/>
        <v>343.10418468620901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0.16159820204801248</v>
      </c>
      <c r="AA182" s="21">
        <f>EXP(-LN(2)/25)*AA181+(1-EXP(-LN(2)/25))/(LN(2)/25)*Calculateur!V182*Calculateur!X182*VLOOKUP('Données projet'!$B$9,Paramètres!$A$1:$I$89,3,0)*0.475*44/12</f>
        <v>0.25639004826316109</v>
      </c>
      <c r="AB182" s="21">
        <f>EXP(-LN(2)/2)*AB181+(1-EXP(-LN(2)/2))/(LN(2)/2)*V182*Y182*VLOOKUP('Données projet'!$B$9,Paramètres!$A$1:$I$89,3,0)*0.475*44/12</f>
        <v>6.3362604740291573E-23</v>
      </c>
      <c r="AC182" s="22">
        <f t="shared" si="163"/>
        <v>0.41798825031117359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1.5961632016114892E-13</v>
      </c>
      <c r="AK182" s="13">
        <f t="shared" si="164"/>
        <v>2.2708641912150958E-12</v>
      </c>
      <c r="AL182" s="20">
        <f t="shared" si="165"/>
        <v>4.2330868906469593E-12</v>
      </c>
      <c r="AM182" s="59">
        <f t="shared" si="113"/>
        <v>293.33333333333752</v>
      </c>
      <c r="AN182" s="59">
        <f ca="1">AVERAGE(OFFSET($AM$3,0,0,'Données projet'!$E$10+1,1))-AVERAGE(OFFSET($H$3,0,0,'Données projet'!$E$10+1,1))</f>
        <v>158.58786357608489</v>
      </c>
      <c r="AO182" s="59">
        <f t="shared" si="144"/>
        <v>163.20074068819849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553.99999999999955</v>
      </c>
      <c r="BE182" s="13">
        <f>BD182*VLOOKUP('Données projet'!$B$11,Paramètres!$A$1:$I$89,3,0)*VLOOKUP('Données projet'!$B$11,Paramètres!$A$1:$I$89,5,0)</f>
        <v>331.29199999999975</v>
      </c>
      <c r="BF182" s="13">
        <f t="shared" si="167"/>
        <v>77.698110787752</v>
      </c>
      <c r="BG182" s="20">
        <f t="shared" si="168"/>
        <v>712.32444295533423</v>
      </c>
      <c r="BH182" s="59">
        <f t="shared" si="116"/>
        <v>1005.6577762886675</v>
      </c>
      <c r="BI182" s="59">
        <f ca="1">AVERAGE(OFFSET($BH$3,0,0,'Données projet'!$E$11+1,1))-AVERAGE(OFFSET($H$3,0,0,'Données projet'!$E$11+1,1))</f>
        <v>316.58509520829671</v>
      </c>
      <c r="BJ182" s="59">
        <f t="shared" si="146"/>
        <v>240.71332110643596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0.13254785594120214</v>
      </c>
      <c r="BQ182" s="21">
        <f>EXP(-LN(2)/25)*BQ181+(1-EXP(-LN(2)/25))/(LN(2)/25)*Calculateur!BL182*Calculateur!BN182*VLOOKUP('Données projet'!$B$11,Paramètres!$A$1:$I$89,3,0)*0.475*44/12</f>
        <v>0.24526822759087333</v>
      </c>
      <c r="BR182" s="21">
        <f>EXP(-LN(2)/2)*BR181+(1-EXP(-LN(2)/2))/(LN(2)/2)*BL182*BO182*VLOOKUP('Données projet'!$B$11,Paramètres!$A$1:$I$89,3,0)*0.475*44/12</f>
        <v>8.2127564198742911E-22</v>
      </c>
      <c r="BS182" s="22">
        <f t="shared" si="169"/>
        <v>0.37781608353207546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-5.1159076974727213E-13</v>
      </c>
      <c r="BZ182" s="13">
        <f>BY182*VLOOKUP('Données projet'!$B$12,Paramètres!$A$1:$I$89,3,0)*VLOOKUP('Données projet'!$B$12,Paramètres!$A$1:$I$89,5,0)</f>
        <v>-4.0702161641092972E-13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260.20517190557814</v>
      </c>
      <c r="CE182" s="59">
        <f t="shared" si="148"/>
        <v>307.22009971147133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0.17064285107596691</v>
      </c>
      <c r="CL182" s="21">
        <f>EXP(-LN(2)/25)*CL181+(1-EXP(-LN(2)/25))/(LN(2)/25)*Calculateur!CG182*Calculateur!CI182*VLOOKUP('Données projet'!$B$12,Paramètres!$A$1:$I$89,3,0)*0.475*44/12</f>
        <v>0.32963261373208269</v>
      </c>
      <c r="CM182" s="21">
        <f>EXP(-LN(2)/2)*CM181+(1-EXP(-LN(2)/2))/(LN(2)/2)*CG182*CJ182*VLOOKUP('Données projet'!$B$12,Paramètres!$A$1:$I$89,3,0)*0.475*44/12</f>
        <v>8.9987531648385936E-22</v>
      </c>
      <c r="CN182" s="22">
        <f t="shared" si="172"/>
        <v>0.50027546480804963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4.5474735088646412E-13</v>
      </c>
      <c r="CU182" s="17">
        <f>CT182*VLOOKUP('Données projet'!$B$13,Paramètres!$A$1:$I$89,3,0)*VLOOKUP('Données projet'!$B$13,Paramètres!$A$1:$I$89,5,0)</f>
        <v>4.6111381379887462E-13</v>
      </c>
      <c r="CV182" s="13">
        <f t="shared" si="173"/>
        <v>5.7981965206434308E-12</v>
      </c>
      <c r="CW182" s="20">
        <f t="shared" si="174"/>
        <v>1.0901632165820347E-11</v>
      </c>
      <c r="CX182" s="59">
        <f t="shared" si="122"/>
        <v>293.33333333334423</v>
      </c>
      <c r="CY182" s="59">
        <f ca="1">AVERAGE(OFFSET($CX$3,0,0,'Données projet'!$E$13+1,1))-AVERAGE(OFFSET($H$3,0,0,'Données projet'!$E$13+1,1))</f>
        <v>263.15518481854753</v>
      </c>
      <c r="CZ182" s="59">
        <f t="shared" si="150"/>
        <v>210.80755370263819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0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275.99999999999972</v>
      </c>
      <c r="DP182" s="17">
        <f>DO182*VLOOKUP('Données projet'!$B$14,Paramètres!$A$1:$I$89,3,0)*VLOOKUP('Données projet'!$B$14,Paramètres!$A$1:$I$89,5,0)</f>
        <v>223.8911999999998</v>
      </c>
      <c r="DQ182" s="13">
        <f t="shared" si="176"/>
        <v>54.95975389514858</v>
      </c>
      <c r="DR182" s="20">
        <f t="shared" si="177"/>
        <v>485.66541136738346</v>
      </c>
      <c r="DS182" s="59">
        <f t="shared" si="125"/>
        <v>778.99874470071677</v>
      </c>
      <c r="DT182" s="59">
        <f ca="1">AVERAGE(OFFSET($DS$3,0,0,'Données projet'!$E$14+1,1))-AVERAGE(OFFSET($H$3,0,0,'Données projet'!$E$14+1,1))</f>
        <v>203.21935660591021</v>
      </c>
      <c r="DU182" s="59">
        <f t="shared" si="152"/>
        <v>180.54762778843178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5.243112303869988E-2</v>
      </c>
      <c r="EB182" s="21">
        <f>EXP(-LN(2)/25)*EB181+(1-EXP(-LN(2)/25))/(LN(2)/25)*Calculateur!DW182*Calculateur!DY182*VLOOKUP('Données projet'!$B$14,Paramètres!$A$1:$I$89,3,0)*0.475*44/12</f>
        <v>9.3232268706948548E-2</v>
      </c>
      <c r="EC182" s="21">
        <f>EXP(-LN(2)/2)*EC181+(1-EXP(-LN(2)/2))/(LN(2)/2)*DW182*DZ182*VLOOKUP('Données projet'!$B$14,Paramètres!$A$1:$I$89,3,0)*0.475*44/12</f>
        <v>3.3925181915470918E-22</v>
      </c>
      <c r="ED182" s="22">
        <f t="shared" si="178"/>
        <v>0.14566339174564844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-5.1159076974727213E-13</v>
      </c>
      <c r="EK182" s="17">
        <f>EJ182*VLOOKUP('Données projet'!$B$15,Paramètres!$A$1:$I$89,3,0)*VLOOKUP('Données projet'!$B$15,Paramètres!$A$1:$I$89,5,0)</f>
        <v>-3.4317508834647017E-13</v>
      </c>
      <c r="EL182" s="13" t="e">
        <f t="shared" si="179"/>
        <v>#NUM!</v>
      </c>
      <c r="EM182" s="20" t="e">
        <f t="shared" si="180"/>
        <v>#NUM!</v>
      </c>
      <c r="EN182" s="59" t="e">
        <f t="shared" si="128"/>
        <v>#NUM!</v>
      </c>
      <c r="EO182" s="59">
        <f ca="1">AVERAGE(OFFSET($EN$3,0,0,'Données projet'!$E$15+1,1))-AVERAGE(OFFSET($H$3,0,0,'Données projet'!$E$15+1,1))</f>
        <v>207.93042467236967</v>
      </c>
      <c r="EP182" s="59">
        <f t="shared" si="154"/>
        <v>250.70954318710835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0.14387534502483468</v>
      </c>
      <c r="EW182" s="21">
        <f>EXP(-LN(2)/25)*EW181+(1-EXP(-LN(2)/25))/(LN(2)/25)*Calculateur!ER182*Calculateur!ET182*VLOOKUP('Données projet'!$B$15,Paramètres!$A$1:$I$89,3,0)*0.475*44/12</f>
        <v>0.27792553706822698</v>
      </c>
      <c r="EX182" s="21">
        <f>EXP(-LN(2)/2)*EX181+(1-EXP(-LN(2)/2))/(LN(2)/2)*ER182*EU182*VLOOKUP('Données projet'!$B$15,Paramètres!$A$1:$I$89,3,0)*0.475*44/12</f>
        <v>7.5871840409423432E-22</v>
      </c>
      <c r="EY182" s="22">
        <f t="shared" si="181"/>
        <v>0.42180088209306166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-2.2737367544323206E-13</v>
      </c>
      <c r="O183" s="13">
        <f>N183*VLOOKUP('Données projet'!$B$9,Paramètres!$A$1:$I$89,3,0)*VLOOKUP('Données projet'!$B$9,Paramètres!$A$1:$I$89,5,0)</f>
        <v>-1.2710188457276673E-13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255.5374979188561</v>
      </c>
      <c r="T183" s="59">
        <f t="shared" si="142"/>
        <v>343.10418468620901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0.15842935987102169</v>
      </c>
      <c r="AA183" s="21">
        <f>EXP(-LN(2)/25)*AA182+(1-EXP(-LN(2)/25))/(LN(2)/25)*Calculateur!V183*Calculateur!X183*VLOOKUP('Données projet'!$B$9,Paramètres!$A$1:$I$89,3,0)*0.475*44/12</f>
        <v>0.2493790489104383</v>
      </c>
      <c r="AB183" s="21">
        <f>EXP(-LN(2)/2)*AB182+(1-EXP(-LN(2)/2))/(LN(2)/2)*V183*Y183*VLOOKUP('Données projet'!$B$9,Paramètres!$A$1:$I$89,3,0)*0.475*44/12</f>
        <v>4.4804127485503053E-23</v>
      </c>
      <c r="AC183" s="22">
        <f t="shared" si="163"/>
        <v>0.40780840878145996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1.5961632016114892E-13</v>
      </c>
      <c r="AK183" s="13">
        <f t="shared" si="164"/>
        <v>2.2708641912150958E-12</v>
      </c>
      <c r="AL183" s="20">
        <f t="shared" si="165"/>
        <v>4.2330868906469593E-12</v>
      </c>
      <c r="AM183" s="59">
        <f t="shared" si="113"/>
        <v>293.33333333333752</v>
      </c>
      <c r="AN183" s="59">
        <f ca="1">AVERAGE(OFFSET($AM$3,0,0,'Données projet'!$E$10+1,1))-AVERAGE(OFFSET($H$3,0,0,'Données projet'!$E$10+1,1))</f>
        <v>158.58786357608489</v>
      </c>
      <c r="AO183" s="59">
        <f t="shared" si="144"/>
        <v>163.20074068819849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553.99999999999955</v>
      </c>
      <c r="BE183" s="13">
        <f>BD183*VLOOKUP('Données projet'!$B$11,Paramètres!$A$1:$I$89,3,0)*VLOOKUP('Données projet'!$B$11,Paramètres!$A$1:$I$89,5,0)</f>
        <v>331.29199999999975</v>
      </c>
      <c r="BF183" s="13">
        <f t="shared" si="167"/>
        <v>77.698110787752</v>
      </c>
      <c r="BG183" s="20">
        <f t="shared" si="168"/>
        <v>712.32444295533423</v>
      </c>
      <c r="BH183" s="59">
        <f t="shared" si="116"/>
        <v>1005.6577762886675</v>
      </c>
      <c r="BI183" s="59">
        <f ca="1">AVERAGE(OFFSET($BH$3,0,0,'Données projet'!$E$11+1,1))-AVERAGE(OFFSET($H$3,0,0,'Données projet'!$E$11+1,1))</f>
        <v>316.58509520829671</v>
      </c>
      <c r="BJ183" s="59">
        <f t="shared" si="146"/>
        <v>240.71332110643596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0.1299486733324044</v>
      </c>
      <c r="BQ183" s="21">
        <f>EXP(-LN(2)/25)*BQ182+(1-EXP(-LN(2)/25))/(LN(2)/25)*Calculateur!BL183*Calculateur!BN183*VLOOKUP('Données projet'!$B$11,Paramètres!$A$1:$I$89,3,0)*0.475*44/12</f>
        <v>0.23856135500930536</v>
      </c>
      <c r="BR183" s="21">
        <f>EXP(-LN(2)/2)*BR182+(1-EXP(-LN(2)/2))/(LN(2)/2)*BL183*BO183*VLOOKUP('Données projet'!$B$11,Paramètres!$A$1:$I$89,3,0)*0.475*44/12</f>
        <v>5.8072957567264637E-22</v>
      </c>
      <c r="BS183" s="22">
        <f t="shared" si="169"/>
        <v>0.36851002834170976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-5.1159076974727213E-13</v>
      </c>
      <c r="BZ183" s="13">
        <f>BY183*VLOOKUP('Données projet'!$B$12,Paramètres!$A$1:$I$89,3,0)*VLOOKUP('Données projet'!$B$12,Paramètres!$A$1:$I$89,5,0)</f>
        <v>-4.0702161641092972E-13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260.20517190557814</v>
      </c>
      <c r="CE183" s="59">
        <f t="shared" si="148"/>
        <v>307.22009971147133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0.16729664884822912</v>
      </c>
      <c r="CL183" s="21">
        <f>EXP(-LN(2)/25)*CL182+(1-EXP(-LN(2)/25))/(LN(2)/25)*Calculateur!CG183*Calculateur!CI183*VLOOKUP('Données projet'!$B$12,Paramètres!$A$1:$I$89,3,0)*0.475*44/12</f>
        <v>0.32061879257495313</v>
      </c>
      <c r="CM183" s="21">
        <f>EXP(-LN(2)/2)*CM182+(1-EXP(-LN(2)/2))/(LN(2)/2)*CG183*CJ183*VLOOKUP('Données projet'!$B$12,Paramètres!$A$1:$I$89,3,0)*0.475*44/12</f>
        <v>6.3630793850812755E-22</v>
      </c>
      <c r="CN183" s="22">
        <f t="shared" si="172"/>
        <v>0.48791544142318222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4.5474735088646412E-13</v>
      </c>
      <c r="CU183" s="17">
        <f>CT183*VLOOKUP('Données projet'!$B$13,Paramètres!$A$1:$I$89,3,0)*VLOOKUP('Données projet'!$B$13,Paramètres!$A$1:$I$89,5,0)</f>
        <v>4.6111381379887462E-13</v>
      </c>
      <c r="CV183" s="13">
        <f t="shared" si="173"/>
        <v>5.7981965206434308E-12</v>
      </c>
      <c r="CW183" s="20">
        <f t="shared" si="174"/>
        <v>1.0901632165820347E-11</v>
      </c>
      <c r="CX183" s="59">
        <f t="shared" si="122"/>
        <v>293.33333333334423</v>
      </c>
      <c r="CY183" s="59">
        <f ca="1">AVERAGE(OFFSET($CX$3,0,0,'Données projet'!$E$13+1,1))-AVERAGE(OFFSET($H$3,0,0,'Données projet'!$E$13+1,1))</f>
        <v>263.15518481854753</v>
      </c>
      <c r="CZ183" s="59">
        <f t="shared" si="150"/>
        <v>210.80755370263819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0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275.99999999999972</v>
      </c>
      <c r="DP183" s="17">
        <f>DO183*VLOOKUP('Données projet'!$B$14,Paramètres!$A$1:$I$89,3,0)*VLOOKUP('Données projet'!$B$14,Paramètres!$A$1:$I$89,5,0)</f>
        <v>223.8911999999998</v>
      </c>
      <c r="DQ183" s="13">
        <f t="shared" si="176"/>
        <v>54.95975389514858</v>
      </c>
      <c r="DR183" s="20">
        <f t="shared" si="177"/>
        <v>485.66541136738346</v>
      </c>
      <c r="DS183" s="59">
        <f t="shared" si="125"/>
        <v>778.99874470071677</v>
      </c>
      <c r="DT183" s="59">
        <f ca="1">AVERAGE(OFFSET($DS$3,0,0,'Données projet'!$E$14+1,1))-AVERAGE(OFFSET($H$3,0,0,'Données projet'!$E$14+1,1))</f>
        <v>203.21935660591021</v>
      </c>
      <c r="DU183" s="59">
        <f t="shared" si="152"/>
        <v>180.54762778843178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5.140298069573828E-2</v>
      </c>
      <c r="EB183" s="21">
        <f>EXP(-LN(2)/25)*EB182+(1-EXP(-LN(2)/25))/(LN(2)/25)*Calculateur!DW183*Calculateur!DY183*VLOOKUP('Données projet'!$B$14,Paramètres!$A$1:$I$89,3,0)*0.475*44/12</f>
        <v>9.0682827416285111E-2</v>
      </c>
      <c r="EC183" s="21">
        <f>EXP(-LN(2)/2)*EC182+(1-EXP(-LN(2)/2))/(LN(2)/2)*DW183*DZ183*VLOOKUP('Données projet'!$B$14,Paramètres!$A$1:$I$89,3,0)*0.475*44/12</f>
        <v>2.3988726185416713E-22</v>
      </c>
      <c r="ED183" s="22">
        <f t="shared" si="178"/>
        <v>0.1420858081120234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-5.1159076974727213E-13</v>
      </c>
      <c r="EK183" s="17">
        <f>EJ183*VLOOKUP('Données projet'!$B$15,Paramètres!$A$1:$I$89,3,0)*VLOOKUP('Données projet'!$B$15,Paramètres!$A$1:$I$89,5,0)</f>
        <v>-3.4317508834647017E-13</v>
      </c>
      <c r="EL183" s="13" t="e">
        <f t="shared" si="179"/>
        <v>#NUM!</v>
      </c>
      <c r="EM183" s="20" t="e">
        <f t="shared" si="180"/>
        <v>#NUM!</v>
      </c>
      <c r="EN183" s="59" t="e">
        <f t="shared" si="128"/>
        <v>#NUM!</v>
      </c>
      <c r="EO183" s="59">
        <f ca="1">AVERAGE(OFFSET($EN$3,0,0,'Données projet'!$E$15+1,1))-AVERAGE(OFFSET($H$3,0,0,'Données projet'!$E$15+1,1))</f>
        <v>207.93042467236967</v>
      </c>
      <c r="EP183" s="59">
        <f t="shared" si="154"/>
        <v>250.70954318710835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0.14105403726419302</v>
      </c>
      <c r="EW183" s="21">
        <f>EXP(-LN(2)/25)*EW182+(1-EXP(-LN(2)/25))/(LN(2)/25)*Calculateur!ER183*Calculateur!ET183*VLOOKUP('Données projet'!$B$15,Paramètres!$A$1:$I$89,3,0)*0.475*44/12</f>
        <v>0.2703256486416275</v>
      </c>
      <c r="EX183" s="21">
        <f>EXP(-LN(2)/2)*EX182+(1-EXP(-LN(2)/2))/(LN(2)/2)*ER183*EU183*VLOOKUP('Données projet'!$B$15,Paramètres!$A$1:$I$89,3,0)*0.475*44/12</f>
        <v>5.3649492854606829E-22</v>
      </c>
      <c r="EY183" s="22">
        <f t="shared" si="181"/>
        <v>0.41137968590582052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-2.2737367544323206E-13</v>
      </c>
      <c r="O184" s="13">
        <f>N184*VLOOKUP('Données projet'!$B$9,Paramètres!$A$1:$I$89,3,0)*VLOOKUP('Données projet'!$B$9,Paramètres!$A$1:$I$89,5,0)</f>
        <v>-1.2710188457276673E-13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255.5374979188561</v>
      </c>
      <c r="T184" s="59">
        <f t="shared" si="142"/>
        <v>343.10418468620901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0.15532265675631882</v>
      </c>
      <c r="AA184" s="21">
        <f>EXP(-LN(2)/25)*AA183+(1-EXP(-LN(2)/25))/(LN(2)/25)*Calculateur!V184*Calculateur!X184*VLOOKUP('Données projet'!$B$9,Paramètres!$A$1:$I$89,3,0)*0.475*44/12</f>
        <v>0.24255976570370816</v>
      </c>
      <c r="AB184" s="21">
        <f>EXP(-LN(2)/2)*AB183+(1-EXP(-LN(2)/2))/(LN(2)/2)*V184*Y184*VLOOKUP('Données projet'!$B$9,Paramètres!$A$1:$I$89,3,0)*0.475*44/12</f>
        <v>3.1681302370145787E-23</v>
      </c>
      <c r="AC184" s="22">
        <f t="shared" si="163"/>
        <v>0.39788242246002697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1.5961632016114892E-13</v>
      </c>
      <c r="AK184" s="13">
        <f t="shared" si="164"/>
        <v>2.2708641912150958E-12</v>
      </c>
      <c r="AL184" s="20">
        <f t="shared" si="165"/>
        <v>4.2330868906469593E-12</v>
      </c>
      <c r="AM184" s="59">
        <f t="shared" si="113"/>
        <v>293.33333333333752</v>
      </c>
      <c r="AN184" s="59">
        <f ca="1">AVERAGE(OFFSET($AM$3,0,0,'Données projet'!$E$10+1,1))-AVERAGE(OFFSET($H$3,0,0,'Données projet'!$E$10+1,1))</f>
        <v>158.58786357608489</v>
      </c>
      <c r="AO184" s="59">
        <f t="shared" si="144"/>
        <v>163.20074068819849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553.99999999999955</v>
      </c>
      <c r="BE184" s="13">
        <f>BD184*VLOOKUP('Données projet'!$B$11,Paramètres!$A$1:$I$89,3,0)*VLOOKUP('Données projet'!$B$11,Paramètres!$A$1:$I$89,5,0)</f>
        <v>331.29199999999975</v>
      </c>
      <c r="BF184" s="13">
        <f t="shared" si="167"/>
        <v>77.698110787752</v>
      </c>
      <c r="BG184" s="20">
        <f t="shared" si="168"/>
        <v>712.32444295533423</v>
      </c>
      <c r="BH184" s="59">
        <f t="shared" si="116"/>
        <v>1005.6577762886675</v>
      </c>
      <c r="BI184" s="59">
        <f ca="1">AVERAGE(OFFSET($BH$3,0,0,'Données projet'!$E$11+1,1))-AVERAGE(OFFSET($H$3,0,0,'Données projet'!$E$11+1,1))</f>
        <v>316.58509520829671</v>
      </c>
      <c r="BJ184" s="59">
        <f t="shared" si="146"/>
        <v>240.71332110643596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0.12740045910922032</v>
      </c>
      <c r="BQ184" s="21">
        <f>EXP(-LN(2)/25)*BQ183+(1-EXP(-LN(2)/25))/(LN(2)/25)*Calculateur!BL184*Calculateur!BN184*VLOOKUP('Données projet'!$B$11,Paramètres!$A$1:$I$89,3,0)*0.475*44/12</f>
        <v>0.23203788221117949</v>
      </c>
      <c r="BR184" s="21">
        <f>EXP(-LN(2)/2)*BR183+(1-EXP(-LN(2)/2))/(LN(2)/2)*BL184*BO184*VLOOKUP('Données projet'!$B$11,Paramètres!$A$1:$I$89,3,0)*0.475*44/12</f>
        <v>4.1063782099371456E-22</v>
      </c>
      <c r="BS184" s="22">
        <f t="shared" si="169"/>
        <v>0.35943834132039981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-5.1159076974727213E-13</v>
      </c>
      <c r="BZ184" s="13">
        <f>BY184*VLOOKUP('Données projet'!$B$12,Paramètres!$A$1:$I$89,3,0)*VLOOKUP('Données projet'!$B$12,Paramètres!$A$1:$I$89,5,0)</f>
        <v>-4.0702161641092972E-13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260.20517190557814</v>
      </c>
      <c r="CE184" s="59">
        <f t="shared" si="148"/>
        <v>307.22009971147133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0.16401606360519544</v>
      </c>
      <c r="CL184" s="21">
        <f>EXP(-LN(2)/25)*CL183+(1-EXP(-LN(2)/25))/(LN(2)/25)*Calculateur!CG184*Calculateur!CI184*VLOOKUP('Données projet'!$B$12,Paramètres!$A$1:$I$89,3,0)*0.475*44/12</f>
        <v>0.31185145483138149</v>
      </c>
      <c r="CM184" s="21">
        <f>EXP(-LN(2)/2)*CM183+(1-EXP(-LN(2)/2))/(LN(2)/2)*CG184*CJ184*VLOOKUP('Données projet'!$B$12,Paramètres!$A$1:$I$89,3,0)*0.475*44/12</f>
        <v>4.4993765824192968E-22</v>
      </c>
      <c r="CN184" s="22">
        <f t="shared" si="172"/>
        <v>0.47586751843657693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4.5474735088646412E-13</v>
      </c>
      <c r="CU184" s="17">
        <f>CT184*VLOOKUP('Données projet'!$B$13,Paramètres!$A$1:$I$89,3,0)*VLOOKUP('Données projet'!$B$13,Paramètres!$A$1:$I$89,5,0)</f>
        <v>4.6111381379887462E-13</v>
      </c>
      <c r="CV184" s="13">
        <f t="shared" si="173"/>
        <v>5.7981965206434308E-12</v>
      </c>
      <c r="CW184" s="20">
        <f t="shared" si="174"/>
        <v>1.0901632165820347E-11</v>
      </c>
      <c r="CX184" s="59">
        <f t="shared" si="122"/>
        <v>293.33333333334423</v>
      </c>
      <c r="CY184" s="59">
        <f ca="1">AVERAGE(OFFSET($CX$3,0,0,'Données projet'!$E$13+1,1))-AVERAGE(OFFSET($H$3,0,0,'Données projet'!$E$13+1,1))</f>
        <v>263.15518481854753</v>
      </c>
      <c r="CZ184" s="59">
        <f t="shared" si="150"/>
        <v>210.80755370263819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0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275.99999999999972</v>
      </c>
      <c r="DP184" s="17">
        <f>DO184*VLOOKUP('Données projet'!$B$14,Paramètres!$A$1:$I$89,3,0)*VLOOKUP('Données projet'!$B$14,Paramètres!$A$1:$I$89,5,0)</f>
        <v>223.8911999999998</v>
      </c>
      <c r="DQ184" s="13">
        <f t="shared" si="176"/>
        <v>54.95975389514858</v>
      </c>
      <c r="DR184" s="20">
        <f t="shared" si="177"/>
        <v>485.66541136738346</v>
      </c>
      <c r="DS184" s="59">
        <f t="shared" si="125"/>
        <v>778.99874470071677</v>
      </c>
      <c r="DT184" s="59">
        <f ca="1">AVERAGE(OFFSET($DS$3,0,0,'Données projet'!$E$14+1,1))-AVERAGE(OFFSET($H$3,0,0,'Données projet'!$E$14+1,1))</f>
        <v>203.21935660591021</v>
      </c>
      <c r="DU184" s="59">
        <f t="shared" si="152"/>
        <v>180.54762778843178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5.0394999597017251E-2</v>
      </c>
      <c r="EB184" s="21">
        <f>EXP(-LN(2)/25)*EB183+(1-EXP(-LN(2)/25))/(LN(2)/25)*Calculateur!DW184*Calculateur!DY184*VLOOKUP('Données projet'!$B$14,Paramètres!$A$1:$I$89,3,0)*0.475*44/12</f>
        <v>8.8203100731784154E-2</v>
      </c>
      <c r="EC184" s="21">
        <f>EXP(-LN(2)/2)*EC183+(1-EXP(-LN(2)/2))/(LN(2)/2)*DW184*DZ184*VLOOKUP('Données projet'!$B$14,Paramètres!$A$1:$I$89,3,0)*0.475*44/12</f>
        <v>1.6962590957735459E-22</v>
      </c>
      <c r="ED184" s="22">
        <f t="shared" si="178"/>
        <v>0.1385981003288014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-5.1159076974727213E-13</v>
      </c>
      <c r="EK184" s="17">
        <f>EJ184*VLOOKUP('Données projet'!$B$15,Paramètres!$A$1:$I$89,3,0)*VLOOKUP('Données projet'!$B$15,Paramètres!$A$1:$I$89,5,0)</f>
        <v>-3.4317508834647017E-13</v>
      </c>
      <c r="EL184" s="13" t="e">
        <f t="shared" si="179"/>
        <v>#NUM!</v>
      </c>
      <c r="EM184" s="20" t="e">
        <f t="shared" si="180"/>
        <v>#NUM!</v>
      </c>
      <c r="EN184" s="59" t="e">
        <f t="shared" si="128"/>
        <v>#NUM!</v>
      </c>
      <c r="EO184" s="59">
        <f ca="1">AVERAGE(OFFSET($EN$3,0,0,'Données projet'!$E$15+1,1))-AVERAGE(OFFSET($H$3,0,0,'Données projet'!$E$15+1,1))</f>
        <v>207.93042467236967</v>
      </c>
      <c r="EP184" s="59">
        <f t="shared" si="154"/>
        <v>250.70954318710835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0.13828805362790972</v>
      </c>
      <c r="EW184" s="21">
        <f>EXP(-LN(2)/25)*EW183+(1-EXP(-LN(2)/25))/(LN(2)/25)*Calculateur!ER184*Calculateur!ET184*VLOOKUP('Données projet'!$B$15,Paramètres!$A$1:$I$89,3,0)*0.475*44/12</f>
        <v>0.26293357956371416</v>
      </c>
      <c r="EX184" s="21">
        <f>EXP(-LN(2)/2)*EX183+(1-EXP(-LN(2)/2))/(LN(2)/2)*ER184*EU184*VLOOKUP('Données projet'!$B$15,Paramètres!$A$1:$I$89,3,0)*0.475*44/12</f>
        <v>3.7935920204711716E-22</v>
      </c>
      <c r="EY184" s="22">
        <f t="shared" si="181"/>
        <v>0.40122163319162385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-2.2737367544323206E-13</v>
      </c>
      <c r="O185" s="13">
        <f>N185*VLOOKUP('Données projet'!$B$9,Paramètres!$A$1:$I$89,3,0)*VLOOKUP('Données projet'!$B$9,Paramètres!$A$1:$I$89,5,0)</f>
        <v>-1.2710188457276673E-13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255.5374979188561</v>
      </c>
      <c r="T185" s="59">
        <f t="shared" si="142"/>
        <v>343.10418468620901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0.15227687419479347</v>
      </c>
      <c r="AA185" s="21">
        <f>EXP(-LN(2)/25)*AA184+(1-EXP(-LN(2)/25))/(LN(2)/25)*Calculateur!V185*Calculateur!X185*VLOOKUP('Données projet'!$B$9,Paramètres!$A$1:$I$89,3,0)*0.475*44/12</f>
        <v>0.23592695615487655</v>
      </c>
      <c r="AB185" s="21">
        <f>EXP(-LN(2)/2)*AB184+(1-EXP(-LN(2)/2))/(LN(2)/2)*V185*Y185*VLOOKUP('Données projet'!$B$9,Paramètres!$A$1:$I$89,3,0)*0.475*44/12</f>
        <v>2.2402063742751527E-23</v>
      </c>
      <c r="AC185" s="22">
        <f t="shared" si="163"/>
        <v>0.38820383034966999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1.5961632016114892E-13</v>
      </c>
      <c r="AK185" s="13">
        <f t="shared" si="164"/>
        <v>2.2708641912150958E-12</v>
      </c>
      <c r="AL185" s="20">
        <f t="shared" si="165"/>
        <v>4.2330868906469593E-12</v>
      </c>
      <c r="AM185" s="59">
        <f t="shared" si="113"/>
        <v>293.33333333333752</v>
      </c>
      <c r="AN185" s="59">
        <f ca="1">AVERAGE(OFFSET($AM$3,0,0,'Données projet'!$E$10+1,1))-AVERAGE(OFFSET($H$3,0,0,'Données projet'!$E$10+1,1))</f>
        <v>158.58786357608489</v>
      </c>
      <c r="AO185" s="59">
        <f t="shared" si="144"/>
        <v>163.20074068819849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553.99999999999955</v>
      </c>
      <c r="BE185" s="13">
        <f>BD185*VLOOKUP('Données projet'!$B$11,Paramètres!$A$1:$I$89,3,0)*VLOOKUP('Données projet'!$B$11,Paramètres!$A$1:$I$89,5,0)</f>
        <v>331.29199999999975</v>
      </c>
      <c r="BF185" s="13">
        <f t="shared" si="167"/>
        <v>77.698110787752</v>
      </c>
      <c r="BG185" s="20">
        <f t="shared" si="168"/>
        <v>712.32444295533423</v>
      </c>
      <c r="BH185" s="59">
        <f t="shared" si="116"/>
        <v>1005.6577762886675</v>
      </c>
      <c r="BI185" s="59">
        <f ca="1">AVERAGE(OFFSET($BH$3,0,0,'Données projet'!$E$11+1,1))-AVERAGE(OFFSET($H$3,0,0,'Données projet'!$E$11+1,1))</f>
        <v>316.58509520829671</v>
      </c>
      <c r="BJ185" s="59">
        <f t="shared" si="146"/>
        <v>240.71332110643596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0.12490221381269567</v>
      </c>
      <c r="BQ185" s="21">
        <f>EXP(-LN(2)/25)*BQ184+(1-EXP(-LN(2)/25))/(LN(2)/25)*Calculateur!BL185*Calculateur!BN185*VLOOKUP('Données projet'!$B$11,Paramètres!$A$1:$I$89,3,0)*0.475*44/12</f>
        <v>0.22569279411977289</v>
      </c>
      <c r="BR185" s="21">
        <f>EXP(-LN(2)/2)*BR184+(1-EXP(-LN(2)/2))/(LN(2)/2)*BL185*BO185*VLOOKUP('Données projet'!$B$11,Paramètres!$A$1:$I$89,3,0)*0.475*44/12</f>
        <v>2.9036478783632319E-22</v>
      </c>
      <c r="BS185" s="22">
        <f t="shared" si="169"/>
        <v>0.35059500793246856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-5.1159076974727213E-13</v>
      </c>
      <c r="BZ185" s="13">
        <f>BY185*VLOOKUP('Données projet'!$B$12,Paramètres!$A$1:$I$89,3,0)*VLOOKUP('Données projet'!$B$12,Paramètres!$A$1:$I$89,5,0)</f>
        <v>-4.0702161641092972E-13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260.20517190557814</v>
      </c>
      <c r="CE185" s="59">
        <f t="shared" si="148"/>
        <v>307.22009971147133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0.16079980863781823</v>
      </c>
      <c r="CL185" s="21">
        <f>EXP(-LN(2)/25)*CL184+(1-EXP(-LN(2)/25))/(LN(2)/25)*Calculateur!CG185*Calculateur!CI185*VLOOKUP('Données projet'!$B$12,Paramètres!$A$1:$I$89,3,0)*0.475*44/12</f>
        <v>0.30332386039946208</v>
      </c>
      <c r="CM185" s="21">
        <f>EXP(-LN(2)/2)*CM184+(1-EXP(-LN(2)/2))/(LN(2)/2)*CG185*CJ185*VLOOKUP('Données projet'!$B$12,Paramètres!$A$1:$I$89,3,0)*0.475*44/12</f>
        <v>3.1815396925406377E-22</v>
      </c>
      <c r="CN185" s="22">
        <f t="shared" si="172"/>
        <v>0.46412366903728031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4.5474735088646412E-13</v>
      </c>
      <c r="CU185" s="17">
        <f>CT185*VLOOKUP('Données projet'!$B$13,Paramètres!$A$1:$I$89,3,0)*VLOOKUP('Données projet'!$B$13,Paramètres!$A$1:$I$89,5,0)</f>
        <v>4.6111381379887462E-13</v>
      </c>
      <c r="CV185" s="13">
        <f t="shared" si="173"/>
        <v>5.7981965206434308E-12</v>
      </c>
      <c r="CW185" s="20">
        <f t="shared" si="174"/>
        <v>1.0901632165820347E-11</v>
      </c>
      <c r="CX185" s="59">
        <f t="shared" si="122"/>
        <v>293.33333333334423</v>
      </c>
      <c r="CY185" s="59">
        <f ca="1">AVERAGE(OFFSET($CX$3,0,0,'Données projet'!$E$13+1,1))-AVERAGE(OFFSET($H$3,0,0,'Données projet'!$E$13+1,1))</f>
        <v>263.15518481854753</v>
      </c>
      <c r="CZ185" s="59">
        <f t="shared" si="150"/>
        <v>210.80755370263819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0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275.99999999999972</v>
      </c>
      <c r="DP185" s="17">
        <f>DO185*VLOOKUP('Données projet'!$B$14,Paramètres!$A$1:$I$89,3,0)*VLOOKUP('Données projet'!$B$14,Paramètres!$A$1:$I$89,5,0)</f>
        <v>223.8911999999998</v>
      </c>
      <c r="DQ185" s="13">
        <f t="shared" si="176"/>
        <v>54.95975389514858</v>
      </c>
      <c r="DR185" s="20">
        <f t="shared" si="177"/>
        <v>485.66541136738346</v>
      </c>
      <c r="DS185" s="59">
        <f t="shared" si="125"/>
        <v>778.99874470071677</v>
      </c>
      <c r="DT185" s="59">
        <f ca="1">AVERAGE(OFFSET($DS$3,0,0,'Données projet'!$E$14+1,1))-AVERAGE(OFFSET($H$3,0,0,'Données projet'!$E$14+1,1))</f>
        <v>203.21935660591021</v>
      </c>
      <c r="DU185" s="59">
        <f t="shared" si="152"/>
        <v>180.54762778843178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4.9406784392834378E-2</v>
      </c>
      <c r="EB185" s="21">
        <f>EXP(-LN(2)/25)*EB184+(1-EXP(-LN(2)/25))/(LN(2)/25)*Calculateur!DW185*Calculateur!DY185*VLOOKUP('Données projet'!$B$14,Paramètres!$A$1:$I$89,3,0)*0.475*44/12</f>
        <v>8.5791182303874045E-2</v>
      </c>
      <c r="EC185" s="21">
        <f>EXP(-LN(2)/2)*EC184+(1-EXP(-LN(2)/2))/(LN(2)/2)*DW185*DZ185*VLOOKUP('Données projet'!$B$14,Paramètres!$A$1:$I$89,3,0)*0.475*44/12</f>
        <v>1.1994363092708356E-22</v>
      </c>
      <c r="ED185" s="22">
        <f t="shared" si="178"/>
        <v>0.13519796669670842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-5.1159076974727213E-13</v>
      </c>
      <c r="EK185" s="17">
        <f>EJ185*VLOOKUP('Données projet'!$B$15,Paramètres!$A$1:$I$89,3,0)*VLOOKUP('Données projet'!$B$15,Paramètres!$A$1:$I$89,5,0)</f>
        <v>-3.4317508834647017E-13</v>
      </c>
      <c r="EL185" s="13" t="e">
        <f t="shared" si="179"/>
        <v>#NUM!</v>
      </c>
      <c r="EM185" s="20" t="e">
        <f t="shared" si="180"/>
        <v>#NUM!</v>
      </c>
      <c r="EN185" s="59" t="e">
        <f t="shared" si="128"/>
        <v>#NUM!</v>
      </c>
      <c r="EO185" s="59">
        <f ca="1">AVERAGE(OFFSET($EN$3,0,0,'Données projet'!$E$15+1,1))-AVERAGE(OFFSET($H$3,0,0,'Données projet'!$E$15+1,1))</f>
        <v>207.93042467236967</v>
      </c>
      <c r="EP185" s="59">
        <f t="shared" si="154"/>
        <v>250.70954318710835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0.13557630924365052</v>
      </c>
      <c r="EW185" s="21">
        <f>EXP(-LN(2)/25)*EW184+(1-EXP(-LN(2)/25))/(LN(2)/25)*Calculateur!ER185*Calculateur!ET185*VLOOKUP('Données projet'!$B$15,Paramètres!$A$1:$I$89,3,0)*0.475*44/12</f>
        <v>0.25574364700346841</v>
      </c>
      <c r="EX185" s="21">
        <f>EXP(-LN(2)/2)*EX184+(1-EXP(-LN(2)/2))/(LN(2)/2)*ER185*EU185*VLOOKUP('Données projet'!$B$15,Paramètres!$A$1:$I$89,3,0)*0.475*44/12</f>
        <v>2.6824746427303414E-22</v>
      </c>
      <c r="EY185" s="22">
        <f t="shared" si="181"/>
        <v>0.39131995624711891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-2.2737367544323206E-13</v>
      </c>
      <c r="O186" s="13">
        <f>N186*VLOOKUP('Données projet'!$B$9,Paramètres!$A$1:$I$89,3,0)*VLOOKUP('Données projet'!$B$9,Paramètres!$A$1:$I$89,5,0)</f>
        <v>-1.2710188457276673E-13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255.5374979188561</v>
      </c>
      <c r="T186" s="59">
        <f t="shared" si="142"/>
        <v>343.10418468620901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0.14929081757155571</v>
      </c>
      <c r="AA186" s="21">
        <f>EXP(-LN(2)/25)*AA185+(1-EXP(-LN(2)/25))/(LN(2)/25)*Calculateur!V186*Calculateur!X186*VLOOKUP('Données projet'!$B$9,Paramètres!$A$1:$I$89,3,0)*0.475*44/12</f>
        <v>0.22947552113196204</v>
      </c>
      <c r="AB186" s="21">
        <f>EXP(-LN(2)/2)*AB185+(1-EXP(-LN(2)/2))/(LN(2)/2)*V186*Y186*VLOOKUP('Données projet'!$B$9,Paramètres!$A$1:$I$89,3,0)*0.475*44/12</f>
        <v>1.5840651185072893E-23</v>
      </c>
      <c r="AC186" s="22">
        <f t="shared" si="163"/>
        <v>0.37876633870351772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1.5961632016114892E-13</v>
      </c>
      <c r="AK186" s="13">
        <f t="shared" si="164"/>
        <v>2.2708641912150958E-12</v>
      </c>
      <c r="AL186" s="20">
        <f t="shared" si="165"/>
        <v>4.2330868906469593E-12</v>
      </c>
      <c r="AM186" s="59">
        <f t="shared" si="113"/>
        <v>293.33333333333752</v>
      </c>
      <c r="AN186" s="59">
        <f ca="1">AVERAGE(OFFSET($AM$3,0,0,'Données projet'!$E$10+1,1))-AVERAGE(OFFSET($H$3,0,0,'Données projet'!$E$10+1,1))</f>
        <v>158.58786357608489</v>
      </c>
      <c r="AO186" s="59">
        <f t="shared" si="144"/>
        <v>163.20074068819849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553.99999999999955</v>
      </c>
      <c r="BE186" s="13">
        <f>BD186*VLOOKUP('Données projet'!$B$11,Paramètres!$A$1:$I$89,3,0)*VLOOKUP('Données projet'!$B$11,Paramètres!$A$1:$I$89,5,0)</f>
        <v>331.29199999999975</v>
      </c>
      <c r="BF186" s="13">
        <f t="shared" si="167"/>
        <v>77.698110787752</v>
      </c>
      <c r="BG186" s="20">
        <f t="shared" si="168"/>
        <v>712.32444295533423</v>
      </c>
      <c r="BH186" s="59">
        <f t="shared" si="116"/>
        <v>1005.6577762886675</v>
      </c>
      <c r="BI186" s="59">
        <f ca="1">AVERAGE(OFFSET($BH$3,0,0,'Données projet'!$E$11+1,1))-AVERAGE(OFFSET($H$3,0,0,'Données projet'!$E$11+1,1))</f>
        <v>316.58509520829671</v>
      </c>
      <c r="BJ186" s="59">
        <f t="shared" si="146"/>
        <v>240.71332110643596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0.1224529575826567</v>
      </c>
      <c r="BQ186" s="21">
        <f>EXP(-LN(2)/25)*BQ185+(1-EXP(-LN(2)/25))/(LN(2)/25)*Calculateur!BL186*Calculateur!BN186*VLOOKUP('Données projet'!$B$11,Paramètres!$A$1:$I$89,3,0)*0.475*44/12</f>
        <v>0.21952121279589948</v>
      </c>
      <c r="BR186" s="21">
        <f>EXP(-LN(2)/2)*BR185+(1-EXP(-LN(2)/2))/(LN(2)/2)*BL186*BO186*VLOOKUP('Données projet'!$B$11,Paramètres!$A$1:$I$89,3,0)*0.475*44/12</f>
        <v>2.0531891049685728E-22</v>
      </c>
      <c r="BS186" s="22">
        <f t="shared" si="169"/>
        <v>0.34197417037855615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-5.1159076974727213E-13</v>
      </c>
      <c r="BZ186" s="13">
        <f>BY186*VLOOKUP('Données projet'!$B$12,Paramètres!$A$1:$I$89,3,0)*VLOOKUP('Données projet'!$B$12,Paramètres!$A$1:$I$89,5,0)</f>
        <v>-4.0702161641092972E-13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260.20517190557814</v>
      </c>
      <c r="CE186" s="59">
        <f t="shared" si="148"/>
        <v>307.22009971147133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0.15764662246862945</v>
      </c>
      <c r="CL186" s="21">
        <f>EXP(-LN(2)/25)*CL185+(1-EXP(-LN(2)/25))/(LN(2)/25)*Calculateur!CG186*Calculateur!CI186*VLOOKUP('Données projet'!$B$12,Paramètres!$A$1:$I$89,3,0)*0.475*44/12</f>
        <v>0.29502945348573023</v>
      </c>
      <c r="CM186" s="21">
        <f>EXP(-LN(2)/2)*CM185+(1-EXP(-LN(2)/2))/(LN(2)/2)*CG186*CJ186*VLOOKUP('Données projet'!$B$12,Paramètres!$A$1:$I$89,3,0)*0.475*44/12</f>
        <v>2.2496882912096484E-22</v>
      </c>
      <c r="CN186" s="22">
        <f t="shared" si="172"/>
        <v>0.45267607595435966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4.5474735088646412E-13</v>
      </c>
      <c r="CU186" s="17">
        <f>CT186*VLOOKUP('Données projet'!$B$13,Paramètres!$A$1:$I$89,3,0)*VLOOKUP('Données projet'!$B$13,Paramètres!$A$1:$I$89,5,0)</f>
        <v>4.6111381379887462E-13</v>
      </c>
      <c r="CV186" s="13">
        <f t="shared" si="173"/>
        <v>5.7981965206434308E-12</v>
      </c>
      <c r="CW186" s="20">
        <f t="shared" si="174"/>
        <v>1.0901632165820347E-11</v>
      </c>
      <c r="CX186" s="59">
        <f t="shared" si="122"/>
        <v>293.33333333334423</v>
      </c>
      <c r="CY186" s="59">
        <f ca="1">AVERAGE(OFFSET($CX$3,0,0,'Données projet'!$E$13+1,1))-AVERAGE(OFFSET($H$3,0,0,'Données projet'!$E$13+1,1))</f>
        <v>263.15518481854753</v>
      </c>
      <c r="CZ186" s="59">
        <f t="shared" si="150"/>
        <v>210.80755370263819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0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275.99999999999972</v>
      </c>
      <c r="DP186" s="17">
        <f>DO186*VLOOKUP('Données projet'!$B$14,Paramètres!$A$1:$I$89,3,0)*VLOOKUP('Données projet'!$B$14,Paramètres!$A$1:$I$89,5,0)</f>
        <v>223.8911999999998</v>
      </c>
      <c r="DQ186" s="13">
        <f t="shared" si="176"/>
        <v>54.95975389514858</v>
      </c>
      <c r="DR186" s="20">
        <f t="shared" si="177"/>
        <v>485.66541136738346</v>
      </c>
      <c r="DS186" s="59">
        <f t="shared" si="125"/>
        <v>778.99874470071677</v>
      </c>
      <c r="DT186" s="59">
        <f ca="1">AVERAGE(OFFSET($DS$3,0,0,'Données projet'!$E$14+1,1))-AVERAGE(OFFSET($H$3,0,0,'Données projet'!$E$14+1,1))</f>
        <v>203.21935660591021</v>
      </c>
      <c r="DU186" s="59">
        <f t="shared" si="152"/>
        <v>180.54762778843178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4.8437947486053776E-2</v>
      </c>
      <c r="EB186" s="21">
        <f>EXP(-LN(2)/25)*EB185+(1-EXP(-LN(2)/25))/(LN(2)/25)*Calculateur!DW186*Calculateur!DY186*VLOOKUP('Données projet'!$B$14,Paramètres!$A$1:$I$89,3,0)*0.475*44/12</f>
        <v>8.3445217912212405E-2</v>
      </c>
      <c r="EC186" s="21">
        <f>EXP(-LN(2)/2)*EC185+(1-EXP(-LN(2)/2))/(LN(2)/2)*DW186*DZ186*VLOOKUP('Données projet'!$B$14,Paramètres!$A$1:$I$89,3,0)*0.475*44/12</f>
        <v>8.4812954788677294E-23</v>
      </c>
      <c r="ED186" s="22">
        <f t="shared" si="178"/>
        <v>0.13188316539826617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-5.1159076974727213E-13</v>
      </c>
      <c r="EK186" s="17">
        <f>EJ186*VLOOKUP('Données projet'!$B$15,Paramètres!$A$1:$I$89,3,0)*VLOOKUP('Données projet'!$B$15,Paramètres!$A$1:$I$89,5,0)</f>
        <v>-3.4317508834647017E-13</v>
      </c>
      <c r="EL186" s="13" t="e">
        <f t="shared" si="179"/>
        <v>#NUM!</v>
      </c>
      <c r="EM186" s="20" t="e">
        <f t="shared" si="180"/>
        <v>#NUM!</v>
      </c>
      <c r="EN186" s="59" t="e">
        <f t="shared" si="128"/>
        <v>#NUM!</v>
      </c>
      <c r="EO186" s="59">
        <f ca="1">AVERAGE(OFFSET($EN$3,0,0,'Données projet'!$E$15+1,1))-AVERAGE(OFFSET($H$3,0,0,'Données projet'!$E$15+1,1))</f>
        <v>207.93042467236967</v>
      </c>
      <c r="EP186" s="59">
        <f t="shared" si="154"/>
        <v>250.70954318710835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0.13291774051276589</v>
      </c>
      <c r="EW186" s="21">
        <f>EXP(-LN(2)/25)*EW185+(1-EXP(-LN(2)/25))/(LN(2)/25)*Calculateur!ER186*Calculateur!ET186*VLOOKUP('Données projet'!$B$15,Paramètres!$A$1:$I$89,3,0)*0.475*44/12</f>
        <v>0.24875032352718468</v>
      </c>
      <c r="EX186" s="21">
        <f>EXP(-LN(2)/2)*EX185+(1-EXP(-LN(2)/2))/(LN(2)/2)*ER186*EU186*VLOOKUP('Données projet'!$B$15,Paramètres!$A$1:$I$89,3,0)*0.475*44/12</f>
        <v>1.8967960102355858E-22</v>
      </c>
      <c r="EY186" s="22">
        <f t="shared" si="181"/>
        <v>0.38166806403995057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-2.2737367544323206E-13</v>
      </c>
      <c r="O187" s="13">
        <f>N187*VLOOKUP('Données projet'!$B$9,Paramètres!$A$1:$I$89,3,0)*VLOOKUP('Données projet'!$B$9,Paramètres!$A$1:$I$89,5,0)</f>
        <v>-1.2710188457276673E-13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255.5374979188561</v>
      </c>
      <c r="T187" s="59">
        <f t="shared" si="142"/>
        <v>343.10418468620901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0.14636331569738495</v>
      </c>
      <c r="AA187" s="21">
        <f>EXP(-LN(2)/25)*AA186+(1-EXP(-LN(2)/25))/(LN(2)/25)*Calculateur!V187*Calculateur!X187*VLOOKUP('Données projet'!$B$9,Paramètres!$A$1:$I$89,3,0)*0.475*44/12</f>
        <v>0.22320050093901536</v>
      </c>
      <c r="AB187" s="21">
        <f>EXP(-LN(2)/2)*AB186+(1-EXP(-LN(2)/2))/(LN(2)/2)*V187*Y187*VLOOKUP('Données projet'!$B$9,Paramètres!$A$1:$I$89,3,0)*0.475*44/12</f>
        <v>1.1201031871375763E-23</v>
      </c>
      <c r="AC187" s="22">
        <f t="shared" si="163"/>
        <v>0.36956381663640031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1.5961632016114892E-13</v>
      </c>
      <c r="AK187" s="13">
        <f t="shared" si="164"/>
        <v>2.2708641912150958E-12</v>
      </c>
      <c r="AL187" s="20">
        <f t="shared" si="165"/>
        <v>4.2330868906469593E-12</v>
      </c>
      <c r="AM187" s="59">
        <f t="shared" si="113"/>
        <v>293.33333333333752</v>
      </c>
      <c r="AN187" s="59">
        <f ca="1">AVERAGE(OFFSET($AM$3,0,0,'Données projet'!$E$10+1,1))-AVERAGE(OFFSET($H$3,0,0,'Données projet'!$E$10+1,1))</f>
        <v>158.58786357608489</v>
      </c>
      <c r="AO187" s="59">
        <f t="shared" si="144"/>
        <v>163.20074068819849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553.99999999999955</v>
      </c>
      <c r="BE187" s="13">
        <f>BD187*VLOOKUP('Données projet'!$B$11,Paramètres!$A$1:$I$89,3,0)*VLOOKUP('Données projet'!$B$11,Paramètres!$A$1:$I$89,5,0)</f>
        <v>331.29199999999975</v>
      </c>
      <c r="BF187" s="13">
        <f t="shared" si="167"/>
        <v>77.698110787752</v>
      </c>
      <c r="BG187" s="20">
        <f t="shared" si="168"/>
        <v>712.32444295533423</v>
      </c>
      <c r="BH187" s="59">
        <f t="shared" si="116"/>
        <v>1005.6577762886675</v>
      </c>
      <c r="BI187" s="59">
        <f ca="1">AVERAGE(OFFSET($BH$3,0,0,'Données projet'!$E$11+1,1))-AVERAGE(OFFSET($H$3,0,0,'Données projet'!$E$11+1,1))</f>
        <v>316.58509520829671</v>
      </c>
      <c r="BJ187" s="59">
        <f t="shared" si="146"/>
        <v>240.71332110643596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0.12005172977339001</v>
      </c>
      <c r="BQ187" s="21">
        <f>EXP(-LN(2)/25)*BQ186+(1-EXP(-LN(2)/25))/(LN(2)/25)*Calculateur!BL187*Calculateur!BN187*VLOOKUP('Données projet'!$B$11,Paramètres!$A$1:$I$89,3,0)*0.475*44/12</f>
        <v>0.21351839368787676</v>
      </c>
      <c r="BR187" s="21">
        <f>EXP(-LN(2)/2)*BR186+(1-EXP(-LN(2)/2))/(LN(2)/2)*BL187*BO187*VLOOKUP('Données projet'!$B$11,Paramètres!$A$1:$I$89,3,0)*0.475*44/12</f>
        <v>1.4518239391816159E-22</v>
      </c>
      <c r="BS187" s="22">
        <f t="shared" si="169"/>
        <v>0.3335701234612668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-5.1159076974727213E-13</v>
      </c>
      <c r="BZ187" s="13">
        <f>BY187*VLOOKUP('Données projet'!$B$12,Paramètres!$A$1:$I$89,3,0)*VLOOKUP('Données projet'!$B$12,Paramètres!$A$1:$I$89,5,0)</f>
        <v>-4.0702161641092972E-13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260.20517190557814</v>
      </c>
      <c r="CE187" s="59">
        <f t="shared" si="148"/>
        <v>307.22009971147133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0.15455526835696481</v>
      </c>
      <c r="CL187" s="21">
        <f>EXP(-LN(2)/25)*CL186+(1-EXP(-LN(2)/25))/(LN(2)/25)*Calculateur!CG187*Calculateur!CI187*VLOOKUP('Données projet'!$B$12,Paramètres!$A$1:$I$89,3,0)*0.475*44/12</f>
        <v>0.28696185756523829</v>
      </c>
      <c r="CM187" s="21">
        <f>EXP(-LN(2)/2)*CM186+(1-EXP(-LN(2)/2))/(LN(2)/2)*CG187*CJ187*VLOOKUP('Données projet'!$B$12,Paramètres!$A$1:$I$89,3,0)*0.475*44/12</f>
        <v>1.5907698462703189E-22</v>
      </c>
      <c r="CN187" s="22">
        <f t="shared" si="172"/>
        <v>0.4415171259222031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4.5474735088646412E-13</v>
      </c>
      <c r="CU187" s="17">
        <f>CT187*VLOOKUP('Données projet'!$B$13,Paramètres!$A$1:$I$89,3,0)*VLOOKUP('Données projet'!$B$13,Paramètres!$A$1:$I$89,5,0)</f>
        <v>4.6111381379887462E-13</v>
      </c>
      <c r="CV187" s="13">
        <f t="shared" si="173"/>
        <v>5.7981965206434308E-12</v>
      </c>
      <c r="CW187" s="20">
        <f t="shared" si="174"/>
        <v>1.0901632165820347E-11</v>
      </c>
      <c r="CX187" s="59">
        <f t="shared" si="122"/>
        <v>293.33333333334423</v>
      </c>
      <c r="CY187" s="59">
        <f ca="1">AVERAGE(OFFSET($CX$3,0,0,'Données projet'!$E$13+1,1))-AVERAGE(OFFSET($H$3,0,0,'Données projet'!$E$13+1,1))</f>
        <v>263.15518481854753</v>
      </c>
      <c r="CZ187" s="59">
        <f t="shared" si="150"/>
        <v>210.80755370263819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0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275.99999999999972</v>
      </c>
      <c r="DP187" s="17">
        <f>DO187*VLOOKUP('Données projet'!$B$14,Paramètres!$A$1:$I$89,3,0)*VLOOKUP('Données projet'!$B$14,Paramètres!$A$1:$I$89,5,0)</f>
        <v>223.8911999999998</v>
      </c>
      <c r="DQ187" s="13">
        <f t="shared" si="176"/>
        <v>54.95975389514858</v>
      </c>
      <c r="DR187" s="20">
        <f t="shared" si="177"/>
        <v>485.66541136738346</v>
      </c>
      <c r="DS187" s="59">
        <f t="shared" si="125"/>
        <v>778.99874470071677</v>
      </c>
      <c r="DT187" s="59">
        <f ca="1">AVERAGE(OFFSET($DS$3,0,0,'Données projet'!$E$14+1,1))-AVERAGE(OFFSET($H$3,0,0,'Données projet'!$E$14+1,1))</f>
        <v>203.21935660591021</v>
      </c>
      <c r="DU187" s="59">
        <f t="shared" si="152"/>
        <v>180.54762778843178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4.748810888008298E-2</v>
      </c>
      <c r="EB187" s="21">
        <f>EXP(-LN(2)/25)*EB186+(1-EXP(-LN(2)/25))/(LN(2)/25)*Calculateur!DW187*Calculateur!DY187*VLOOKUP('Données projet'!$B$14,Paramètres!$A$1:$I$89,3,0)*0.475*44/12</f>
        <v>8.1163404040209663E-2</v>
      </c>
      <c r="EC187" s="21">
        <f>EXP(-LN(2)/2)*EC186+(1-EXP(-LN(2)/2))/(LN(2)/2)*DW187*DZ187*VLOOKUP('Données projet'!$B$14,Paramètres!$A$1:$I$89,3,0)*0.475*44/12</f>
        <v>5.9971815463541782E-23</v>
      </c>
      <c r="ED187" s="22">
        <f t="shared" si="178"/>
        <v>0.12865151292029264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-5.1159076974727213E-13</v>
      </c>
      <c r="EK187" s="17">
        <f>EJ187*VLOOKUP('Données projet'!$B$15,Paramètres!$A$1:$I$89,3,0)*VLOOKUP('Données projet'!$B$15,Paramètres!$A$1:$I$89,5,0)</f>
        <v>-3.4317508834647017E-13</v>
      </c>
      <c r="EL187" s="13" t="e">
        <f t="shared" si="179"/>
        <v>#NUM!</v>
      </c>
      <c r="EM187" s="20" t="e">
        <f t="shared" si="180"/>
        <v>#NUM!</v>
      </c>
      <c r="EN187" s="59" t="e">
        <f t="shared" si="128"/>
        <v>#NUM!</v>
      </c>
      <c r="EO187" s="59">
        <f ca="1">AVERAGE(OFFSET($EN$3,0,0,'Données projet'!$E$15+1,1))-AVERAGE(OFFSET($H$3,0,0,'Données projet'!$E$15+1,1))</f>
        <v>207.93042467236967</v>
      </c>
      <c r="EP187" s="59">
        <f t="shared" si="154"/>
        <v>250.70954318710835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0.1303113046931271</v>
      </c>
      <c r="EW187" s="21">
        <f>EXP(-LN(2)/25)*EW186+(1-EXP(-LN(2)/25))/(LN(2)/25)*Calculateur!ER187*Calculateur!ET187*VLOOKUP('Données projet'!$B$15,Paramètres!$A$1:$I$89,3,0)*0.475*44/12</f>
        <v>0.24194823284912284</v>
      </c>
      <c r="EX187" s="21">
        <f>EXP(-LN(2)/2)*EX186+(1-EXP(-LN(2)/2))/(LN(2)/2)*ER187*EU187*VLOOKUP('Données projet'!$B$15,Paramètres!$A$1:$I$89,3,0)*0.475*44/12</f>
        <v>1.3412373213651707E-22</v>
      </c>
      <c r="EY187" s="22">
        <f t="shared" si="181"/>
        <v>0.37225953754224994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-2.2737367544323206E-13</v>
      </c>
      <c r="O188" s="13">
        <f>N188*VLOOKUP('Données projet'!$B$9,Paramètres!$A$1:$I$89,3,0)*VLOOKUP('Données projet'!$B$9,Paramètres!$A$1:$I$89,5,0)</f>
        <v>-1.2710188457276673E-13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255.5374979188561</v>
      </c>
      <c r="T188" s="59">
        <f t="shared" si="142"/>
        <v>343.10418468620901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0.14349322034936685</v>
      </c>
      <c r="AA188" s="21">
        <f>EXP(-LN(2)/25)*AA187+(1-EXP(-LN(2)/25))/(LN(2)/25)*Calculateur!V188*Calculateur!X188*VLOOKUP('Données projet'!$B$9,Paramètres!$A$1:$I$89,3,0)*0.475*44/12</f>
        <v>0.21709707150323376</v>
      </c>
      <c r="AB188" s="21">
        <f>EXP(-LN(2)/2)*AB187+(1-EXP(-LN(2)/2))/(LN(2)/2)*V188*Y188*VLOOKUP('Données projet'!$B$9,Paramètres!$A$1:$I$89,3,0)*0.475*44/12</f>
        <v>7.9203255925364467E-24</v>
      </c>
      <c r="AC188" s="22">
        <f t="shared" si="163"/>
        <v>0.36059029185260061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1.5961632016114892E-13</v>
      </c>
      <c r="AK188" s="13">
        <f t="shared" si="164"/>
        <v>2.2708641912150958E-12</v>
      </c>
      <c r="AL188" s="20">
        <f t="shared" si="165"/>
        <v>4.2330868906469593E-12</v>
      </c>
      <c r="AM188" s="59">
        <f t="shared" si="113"/>
        <v>293.33333333333752</v>
      </c>
      <c r="AN188" s="59">
        <f ca="1">AVERAGE(OFFSET($AM$3,0,0,'Données projet'!$E$10+1,1))-AVERAGE(OFFSET($H$3,0,0,'Données projet'!$E$10+1,1))</f>
        <v>158.58786357608489</v>
      </c>
      <c r="AO188" s="59">
        <f t="shared" si="144"/>
        <v>163.20074068819849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553.99999999999955</v>
      </c>
      <c r="BE188" s="13">
        <f>BD188*VLOOKUP('Données projet'!$B$11,Paramètres!$A$1:$I$89,3,0)*VLOOKUP('Données projet'!$B$11,Paramètres!$A$1:$I$89,5,0)</f>
        <v>331.29199999999975</v>
      </c>
      <c r="BF188" s="13">
        <f t="shared" si="167"/>
        <v>77.698110787752</v>
      </c>
      <c r="BG188" s="20">
        <f t="shared" si="168"/>
        <v>712.32444295533423</v>
      </c>
      <c r="BH188" s="59">
        <f t="shared" si="116"/>
        <v>1005.6577762886675</v>
      </c>
      <c r="BI188" s="59">
        <f ca="1">AVERAGE(OFFSET($BH$3,0,0,'Données projet'!$E$11+1,1))-AVERAGE(OFFSET($H$3,0,0,'Données projet'!$E$11+1,1))</f>
        <v>316.58509520829671</v>
      </c>
      <c r="BJ188" s="59">
        <f t="shared" si="146"/>
        <v>240.71332110643596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0.11769758857685869</v>
      </c>
      <c r="BQ188" s="21">
        <f>EXP(-LN(2)/25)*BQ187+(1-EXP(-LN(2)/25))/(LN(2)/25)*Calculateur!BL188*Calculateur!BN188*VLOOKUP('Données projet'!$B$11,Paramètres!$A$1:$I$89,3,0)*0.475*44/12</f>
        <v>0.20767972198403745</v>
      </c>
      <c r="BR188" s="21">
        <f>EXP(-LN(2)/2)*BR187+(1-EXP(-LN(2)/2))/(LN(2)/2)*BL188*BO188*VLOOKUP('Données projet'!$B$11,Paramètres!$A$1:$I$89,3,0)*0.475*44/12</f>
        <v>1.0265945524842864E-22</v>
      </c>
      <c r="BS188" s="22">
        <f t="shared" si="169"/>
        <v>0.32537731056089614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-5.1159076974727213E-13</v>
      </c>
      <c r="BZ188" s="13">
        <f>BY188*VLOOKUP('Données projet'!$B$12,Paramètres!$A$1:$I$89,3,0)*VLOOKUP('Données projet'!$B$12,Paramètres!$A$1:$I$89,5,0)</f>
        <v>-4.0702161641092972E-13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260.20517190557814</v>
      </c>
      <c r="CE188" s="59">
        <f t="shared" si="148"/>
        <v>307.22009971147133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0.15152453381389011</v>
      </c>
      <c r="CL188" s="21">
        <f>EXP(-LN(2)/25)*CL187+(1-EXP(-LN(2)/25))/(LN(2)/25)*Calculateur!CG188*Calculateur!CI188*VLOOKUP('Données projet'!$B$12,Paramètres!$A$1:$I$89,3,0)*0.475*44/12</f>
        <v>0.27911487047944861</v>
      </c>
      <c r="CM188" s="21">
        <f>EXP(-LN(2)/2)*CM187+(1-EXP(-LN(2)/2))/(LN(2)/2)*CG188*CJ188*VLOOKUP('Données projet'!$B$12,Paramètres!$A$1:$I$89,3,0)*0.475*44/12</f>
        <v>1.1248441456048242E-22</v>
      </c>
      <c r="CN188" s="22">
        <f t="shared" si="172"/>
        <v>0.43063940429333869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4.5474735088646412E-13</v>
      </c>
      <c r="CU188" s="17">
        <f>CT188*VLOOKUP('Données projet'!$B$13,Paramètres!$A$1:$I$89,3,0)*VLOOKUP('Données projet'!$B$13,Paramètres!$A$1:$I$89,5,0)</f>
        <v>4.6111381379887462E-13</v>
      </c>
      <c r="CV188" s="13">
        <f t="shared" si="173"/>
        <v>5.7981965206434308E-12</v>
      </c>
      <c r="CW188" s="20">
        <f t="shared" si="174"/>
        <v>1.0901632165820347E-11</v>
      </c>
      <c r="CX188" s="59">
        <f t="shared" si="122"/>
        <v>293.33333333334423</v>
      </c>
      <c r="CY188" s="59">
        <f ca="1">AVERAGE(OFFSET($CX$3,0,0,'Données projet'!$E$13+1,1))-AVERAGE(OFFSET($H$3,0,0,'Données projet'!$E$13+1,1))</f>
        <v>263.15518481854753</v>
      </c>
      <c r="CZ188" s="59">
        <f t="shared" si="150"/>
        <v>210.80755370263819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0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275.99999999999972</v>
      </c>
      <c r="DP188" s="17">
        <f>DO188*VLOOKUP('Données projet'!$B$14,Paramètres!$A$1:$I$89,3,0)*VLOOKUP('Données projet'!$B$14,Paramètres!$A$1:$I$89,5,0)</f>
        <v>223.8911999999998</v>
      </c>
      <c r="DQ188" s="13">
        <f t="shared" si="176"/>
        <v>54.95975389514858</v>
      </c>
      <c r="DR188" s="20">
        <f t="shared" si="177"/>
        <v>485.66541136738346</v>
      </c>
      <c r="DS188" s="59">
        <f t="shared" si="125"/>
        <v>778.99874470071677</v>
      </c>
      <c r="DT188" s="59">
        <f ca="1">AVERAGE(OFFSET($DS$3,0,0,'Données projet'!$E$14+1,1))-AVERAGE(OFFSET($H$3,0,0,'Données projet'!$E$14+1,1))</f>
        <v>203.21935660591021</v>
      </c>
      <c r="DU188" s="59">
        <f t="shared" si="152"/>
        <v>180.54762778843178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4.6556896029830923E-2</v>
      </c>
      <c r="EB188" s="21">
        <f>EXP(-LN(2)/25)*EB187+(1-EXP(-LN(2)/25))/(LN(2)/25)*Calculateur!DW188*Calculateur!DY188*VLOOKUP('Données projet'!$B$14,Paramètres!$A$1:$I$89,3,0)*0.475*44/12</f>
        <v>7.8943986488532208E-2</v>
      </c>
      <c r="EC188" s="21">
        <f>EXP(-LN(2)/2)*EC187+(1-EXP(-LN(2)/2))/(LN(2)/2)*DW188*DZ188*VLOOKUP('Données projet'!$B$14,Paramètres!$A$1:$I$89,3,0)*0.475*44/12</f>
        <v>4.2406477394338647E-23</v>
      </c>
      <c r="ED188" s="22">
        <f t="shared" si="178"/>
        <v>0.12550088251836314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-5.1159076974727213E-13</v>
      </c>
      <c r="EK188" s="17">
        <f>EJ188*VLOOKUP('Données projet'!$B$15,Paramètres!$A$1:$I$89,3,0)*VLOOKUP('Données projet'!$B$15,Paramètres!$A$1:$I$89,5,0)</f>
        <v>-3.4317508834647017E-13</v>
      </c>
      <c r="EL188" s="13" t="e">
        <f t="shared" si="179"/>
        <v>#NUM!</v>
      </c>
      <c r="EM188" s="20" t="e">
        <f t="shared" si="180"/>
        <v>#NUM!</v>
      </c>
      <c r="EN188" s="59" t="e">
        <f t="shared" si="128"/>
        <v>#NUM!</v>
      </c>
      <c r="EO188" s="59">
        <f ca="1">AVERAGE(OFFSET($EN$3,0,0,'Données projet'!$E$15+1,1))-AVERAGE(OFFSET($H$3,0,0,'Données projet'!$E$15+1,1))</f>
        <v>207.93042467236967</v>
      </c>
      <c r="EP188" s="59">
        <f t="shared" si="154"/>
        <v>250.70954318710835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0.12775597949014253</v>
      </c>
      <c r="EW188" s="21">
        <f>EXP(-LN(2)/25)*EW187+(1-EXP(-LN(2)/25))/(LN(2)/25)*Calculateur!ER188*Calculateur!ET188*VLOOKUP('Données projet'!$B$15,Paramètres!$A$1:$I$89,3,0)*0.475*44/12</f>
        <v>0.235332145698359</v>
      </c>
      <c r="EX188" s="21">
        <f>EXP(-LN(2)/2)*EX187+(1-EXP(-LN(2)/2))/(LN(2)/2)*ER188*EU188*VLOOKUP('Données projet'!$B$15,Paramètres!$A$1:$I$89,3,0)*0.475*44/12</f>
        <v>9.4839800511779291E-23</v>
      </c>
      <c r="EY188" s="22">
        <f t="shared" si="181"/>
        <v>0.36308812518850153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-2.2737367544323206E-13</v>
      </c>
      <c r="O189" s="13">
        <f>N189*VLOOKUP('Données projet'!$B$9,Paramètres!$A$1:$I$89,3,0)*VLOOKUP('Données projet'!$B$9,Paramètres!$A$1:$I$89,5,0)</f>
        <v>-1.2710188457276673E-13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255.5374979188561</v>
      </c>
      <c r="T189" s="59">
        <f t="shared" si="142"/>
        <v>343.10418468620901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0.14067940582053806</v>
      </c>
      <c r="AA189" s="21">
        <f>EXP(-LN(2)/25)*AA188+(1-EXP(-LN(2)/25))/(LN(2)/25)*Calculateur!V189*Calculateur!X189*VLOOKUP('Données projet'!$B$9,Paramètres!$A$1:$I$89,3,0)*0.475*44/12</f>
        <v>0.21116054066633902</v>
      </c>
      <c r="AB189" s="21">
        <f>EXP(-LN(2)/2)*AB188+(1-EXP(-LN(2)/2))/(LN(2)/2)*V189*Y189*VLOOKUP('Données projet'!$B$9,Paramètres!$A$1:$I$89,3,0)*0.475*44/12</f>
        <v>5.6005159356878817E-24</v>
      </c>
      <c r="AC189" s="22">
        <f t="shared" si="163"/>
        <v>0.35183994648687711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1.5961632016114892E-13</v>
      </c>
      <c r="AK189" s="13">
        <f t="shared" si="164"/>
        <v>2.2708641912150958E-12</v>
      </c>
      <c r="AL189" s="20">
        <f t="shared" si="165"/>
        <v>4.2330868906469593E-12</v>
      </c>
      <c r="AM189" s="59">
        <f t="shared" si="113"/>
        <v>293.33333333333752</v>
      </c>
      <c r="AN189" s="59">
        <f ca="1">AVERAGE(OFFSET($AM$3,0,0,'Données projet'!$E$10+1,1))-AVERAGE(OFFSET($H$3,0,0,'Données projet'!$E$10+1,1))</f>
        <v>158.58786357608489</v>
      </c>
      <c r="AO189" s="59">
        <f t="shared" si="144"/>
        <v>163.20074068819849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553.99999999999955</v>
      </c>
      <c r="BE189" s="13">
        <f>BD189*VLOOKUP('Données projet'!$B$11,Paramètres!$A$1:$I$89,3,0)*VLOOKUP('Données projet'!$B$11,Paramètres!$A$1:$I$89,5,0)</f>
        <v>331.29199999999975</v>
      </c>
      <c r="BF189" s="13">
        <f t="shared" si="167"/>
        <v>77.698110787752</v>
      </c>
      <c r="BG189" s="20">
        <f t="shared" si="168"/>
        <v>712.32444295533423</v>
      </c>
      <c r="BH189" s="59">
        <f t="shared" si="116"/>
        <v>1005.6577762886675</v>
      </c>
      <c r="BI189" s="59">
        <f ca="1">AVERAGE(OFFSET($BH$3,0,0,'Données projet'!$E$11+1,1))-AVERAGE(OFFSET($H$3,0,0,'Données projet'!$E$11+1,1))</f>
        <v>316.58509520829671</v>
      </c>
      <c r="BJ189" s="59">
        <f t="shared" si="146"/>
        <v>240.71332110643596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0.11538961065330701</v>
      </c>
      <c r="BQ189" s="21">
        <f>EXP(-LN(2)/25)*BQ188+(1-EXP(-LN(2)/25))/(LN(2)/25)*Calculateur!BL189*Calculateur!BN189*VLOOKUP('Données projet'!$B$11,Paramètres!$A$1:$I$89,3,0)*0.475*44/12</f>
        <v>0.20200070906498202</v>
      </c>
      <c r="BR189" s="21">
        <f>EXP(-LN(2)/2)*BR188+(1-EXP(-LN(2)/2))/(LN(2)/2)*BL189*BO189*VLOOKUP('Données projet'!$B$11,Paramètres!$A$1:$I$89,3,0)*0.475*44/12</f>
        <v>7.2591196959080796E-23</v>
      </c>
      <c r="BS189" s="22">
        <f t="shared" si="169"/>
        <v>0.31739031971828902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-5.1159076974727213E-13</v>
      </c>
      <c r="BZ189" s="13">
        <f>BY189*VLOOKUP('Données projet'!$B$12,Paramètres!$A$1:$I$89,3,0)*VLOOKUP('Données projet'!$B$12,Paramètres!$A$1:$I$89,5,0)</f>
        <v>-4.0702161641092972E-13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260.20517190557814</v>
      </c>
      <c r="CE189" s="59">
        <f t="shared" si="148"/>
        <v>307.22009971147133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0.14855323012663954</v>
      </c>
      <c r="CL189" s="21">
        <f>EXP(-LN(2)/25)*CL188+(1-EXP(-LN(2)/25))/(LN(2)/25)*Calculateur!CG189*Calculateur!CI189*VLOOKUP('Données projet'!$B$12,Paramètres!$A$1:$I$89,3,0)*0.475*44/12</f>
        <v>0.27148245966817497</v>
      </c>
      <c r="CM189" s="21">
        <f>EXP(-LN(2)/2)*CM188+(1-EXP(-LN(2)/2))/(LN(2)/2)*CG189*CJ189*VLOOKUP('Données projet'!$B$12,Paramètres!$A$1:$I$89,3,0)*0.475*44/12</f>
        <v>7.9538492313515944E-23</v>
      </c>
      <c r="CN189" s="22">
        <f t="shared" si="172"/>
        <v>0.42003568979481454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4.5474735088646412E-13</v>
      </c>
      <c r="CU189" s="17">
        <f>CT189*VLOOKUP('Données projet'!$B$13,Paramètres!$A$1:$I$89,3,0)*VLOOKUP('Données projet'!$B$13,Paramètres!$A$1:$I$89,5,0)</f>
        <v>4.6111381379887462E-13</v>
      </c>
      <c r="CV189" s="13">
        <f t="shared" si="173"/>
        <v>5.7981965206434308E-12</v>
      </c>
      <c r="CW189" s="20">
        <f t="shared" si="174"/>
        <v>1.0901632165820347E-11</v>
      </c>
      <c r="CX189" s="59">
        <f t="shared" si="122"/>
        <v>293.33333333334423</v>
      </c>
      <c r="CY189" s="59">
        <f ca="1">AVERAGE(OFFSET($CX$3,0,0,'Données projet'!$E$13+1,1))-AVERAGE(OFFSET($H$3,0,0,'Données projet'!$E$13+1,1))</f>
        <v>263.15518481854753</v>
      </c>
      <c r="CZ189" s="59">
        <f t="shared" si="150"/>
        <v>210.80755370263819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0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275.99999999999972</v>
      </c>
      <c r="DP189" s="17">
        <f>DO189*VLOOKUP('Données projet'!$B$14,Paramètres!$A$1:$I$89,3,0)*VLOOKUP('Données projet'!$B$14,Paramètres!$A$1:$I$89,5,0)</f>
        <v>223.8911999999998</v>
      </c>
      <c r="DQ189" s="13">
        <f t="shared" si="176"/>
        <v>54.95975389514858</v>
      </c>
      <c r="DR189" s="20">
        <f t="shared" si="177"/>
        <v>485.66541136738346</v>
      </c>
      <c r="DS189" s="59">
        <f t="shared" si="125"/>
        <v>778.99874470071677</v>
      </c>
      <c r="DT189" s="59">
        <f ca="1">AVERAGE(OFFSET($DS$3,0,0,'Données projet'!$E$14+1,1))-AVERAGE(OFFSET($H$3,0,0,'Données projet'!$E$14+1,1))</f>
        <v>203.21935660591021</v>
      </c>
      <c r="DU189" s="59">
        <f t="shared" si="152"/>
        <v>180.54762778843178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4.5643943695588558E-2</v>
      </c>
      <c r="EB189" s="21">
        <f>EXP(-LN(2)/25)*EB188+(1-EXP(-LN(2)/25))/(LN(2)/25)*Calculateur!DW189*Calculateur!DY189*VLOOKUP('Données projet'!$B$14,Paramètres!$A$1:$I$89,3,0)*0.475*44/12</f>
        <v>7.6785259026519476E-2</v>
      </c>
      <c r="EC189" s="21">
        <f>EXP(-LN(2)/2)*EC188+(1-EXP(-LN(2)/2))/(LN(2)/2)*DW189*DZ189*VLOOKUP('Données projet'!$B$14,Paramètres!$A$1:$I$89,3,0)*0.475*44/12</f>
        <v>2.9985907731770891E-23</v>
      </c>
      <c r="ED189" s="22">
        <f t="shared" si="178"/>
        <v>0.12242920272210803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-5.1159076974727213E-13</v>
      </c>
      <c r="EK189" s="17">
        <f>EJ189*VLOOKUP('Données projet'!$B$15,Paramètres!$A$1:$I$89,3,0)*VLOOKUP('Données projet'!$B$15,Paramètres!$A$1:$I$89,5,0)</f>
        <v>-3.4317508834647017E-13</v>
      </c>
      <c r="EL189" s="13" t="e">
        <f t="shared" si="179"/>
        <v>#NUM!</v>
      </c>
      <c r="EM189" s="20" t="e">
        <f t="shared" si="180"/>
        <v>#NUM!</v>
      </c>
      <c r="EN189" s="59" t="e">
        <f t="shared" si="128"/>
        <v>#NUM!</v>
      </c>
      <c r="EO189" s="59">
        <f ca="1">AVERAGE(OFFSET($EN$3,0,0,'Données projet'!$E$15+1,1))-AVERAGE(OFFSET($H$3,0,0,'Données projet'!$E$15+1,1))</f>
        <v>207.93042467236967</v>
      </c>
      <c r="EP189" s="59">
        <f t="shared" si="154"/>
        <v>250.70954318710835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0.12525076265579402</v>
      </c>
      <c r="EW189" s="21">
        <f>EXP(-LN(2)/25)*EW188+(1-EXP(-LN(2)/25))/(LN(2)/25)*Calculateur!ER189*Calculateur!ET189*VLOOKUP('Données projet'!$B$15,Paramètres!$A$1:$I$89,3,0)*0.475*44/12</f>
        <v>0.2288969757986577</v>
      </c>
      <c r="EX189" s="21">
        <f>EXP(-LN(2)/2)*EX188+(1-EXP(-LN(2)/2))/(LN(2)/2)*ER189*EU189*VLOOKUP('Données projet'!$B$15,Paramètres!$A$1:$I$89,3,0)*0.475*44/12</f>
        <v>6.7061866068258536E-23</v>
      </c>
      <c r="EY189" s="22">
        <f t="shared" si="181"/>
        <v>0.35414773845445169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-2.2737367544323206E-13</v>
      </c>
      <c r="O190" s="13">
        <f>N190*VLOOKUP('Données projet'!$B$9,Paramètres!$A$1:$I$89,3,0)*VLOOKUP('Données projet'!$B$9,Paramètres!$A$1:$I$89,5,0)</f>
        <v>-1.2710188457276673E-13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255.5374979188561</v>
      </c>
      <c r="T190" s="59">
        <f t="shared" si="142"/>
        <v>343.10418468620901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0.13792076847836224</v>
      </c>
      <c r="AA190" s="21">
        <f>EXP(-LN(2)/25)*AA189+(1-EXP(-LN(2)/25))/(LN(2)/25)*Calculateur!V190*Calculateur!X190*VLOOKUP('Données projet'!$B$9,Paramètres!$A$1:$I$89,3,0)*0.475*44/12</f>
        <v>0.20538634457736776</v>
      </c>
      <c r="AB190" s="21">
        <f>EXP(-LN(2)/2)*AB189+(1-EXP(-LN(2)/2))/(LN(2)/2)*V190*Y190*VLOOKUP('Données projet'!$B$9,Paramètres!$A$1:$I$89,3,0)*0.475*44/12</f>
        <v>3.9601627962682233E-24</v>
      </c>
      <c r="AC190" s="22">
        <f t="shared" si="163"/>
        <v>0.34330711305573003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1.5961632016114892E-13</v>
      </c>
      <c r="AK190" s="13">
        <f t="shared" si="164"/>
        <v>2.2708641912150958E-12</v>
      </c>
      <c r="AL190" s="20">
        <f t="shared" si="165"/>
        <v>4.2330868906469593E-12</v>
      </c>
      <c r="AM190" s="59">
        <f t="shared" si="113"/>
        <v>293.33333333333752</v>
      </c>
      <c r="AN190" s="59">
        <f ca="1">AVERAGE(OFFSET($AM$3,0,0,'Données projet'!$E$10+1,1))-AVERAGE(OFFSET($H$3,0,0,'Données projet'!$E$10+1,1))</f>
        <v>158.58786357608489</v>
      </c>
      <c r="AO190" s="59">
        <f t="shared" si="144"/>
        <v>163.20074068819849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553.99999999999955</v>
      </c>
      <c r="BE190" s="13">
        <f>BD190*VLOOKUP('Données projet'!$B$11,Paramètres!$A$1:$I$89,3,0)*VLOOKUP('Données projet'!$B$11,Paramètres!$A$1:$I$89,5,0)</f>
        <v>331.29199999999975</v>
      </c>
      <c r="BF190" s="13">
        <f t="shared" si="167"/>
        <v>77.698110787752</v>
      </c>
      <c r="BG190" s="20">
        <f t="shared" si="168"/>
        <v>712.32444295533423</v>
      </c>
      <c r="BH190" s="59">
        <f t="shared" si="116"/>
        <v>1005.6577762886675</v>
      </c>
      <c r="BI190" s="59">
        <f ca="1">AVERAGE(OFFSET($BH$3,0,0,'Données projet'!$E$11+1,1))-AVERAGE(OFFSET($H$3,0,0,'Données projet'!$E$11+1,1))</f>
        <v>316.58509520829671</v>
      </c>
      <c r="BJ190" s="59">
        <f t="shared" si="146"/>
        <v>240.71332110643596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0.11312689076910865</v>
      </c>
      <c r="BQ190" s="21">
        <f>EXP(-LN(2)/25)*BQ189+(1-EXP(-LN(2)/25))/(LN(2)/25)*Calculateur!BL190*Calculateur!BN190*VLOOKUP('Données projet'!$B$11,Paramètres!$A$1:$I$89,3,0)*0.475*44/12</f>
        <v>0.19647698905284447</v>
      </c>
      <c r="BR190" s="21">
        <f>EXP(-LN(2)/2)*BR189+(1-EXP(-LN(2)/2))/(LN(2)/2)*BL190*BO190*VLOOKUP('Données projet'!$B$11,Paramètres!$A$1:$I$89,3,0)*0.475*44/12</f>
        <v>5.1329727624214319E-23</v>
      </c>
      <c r="BS190" s="22">
        <f t="shared" si="169"/>
        <v>0.30960387982195314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-5.1159076974727213E-13</v>
      </c>
      <c r="BZ190" s="13">
        <f>BY190*VLOOKUP('Données projet'!$B$12,Paramètres!$A$1:$I$89,3,0)*VLOOKUP('Données projet'!$B$12,Paramètres!$A$1:$I$89,5,0)</f>
        <v>-4.0702161641092972E-13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260.20517190557814</v>
      </c>
      <c r="CE190" s="59">
        <f t="shared" si="148"/>
        <v>307.22009971147133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0.14564019189237967</v>
      </c>
      <c r="CL190" s="21">
        <f>EXP(-LN(2)/25)*CL189+(1-EXP(-LN(2)/25))/(LN(2)/25)*Calculateur!CG190*Calculateur!CI190*VLOOKUP('Données projet'!$B$12,Paramètres!$A$1:$I$89,3,0)*0.475*44/12</f>
        <v>0.26405875753190666</v>
      </c>
      <c r="CM190" s="21">
        <f>EXP(-LN(2)/2)*CM189+(1-EXP(-LN(2)/2))/(LN(2)/2)*CG190*CJ190*VLOOKUP('Données projet'!$B$12,Paramètres!$A$1:$I$89,3,0)*0.475*44/12</f>
        <v>5.624220728024121E-23</v>
      </c>
      <c r="CN190" s="22">
        <f t="shared" si="172"/>
        <v>0.40969894942428631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4.5474735088646412E-13</v>
      </c>
      <c r="CU190" s="17">
        <f>CT190*VLOOKUP('Données projet'!$B$13,Paramètres!$A$1:$I$89,3,0)*VLOOKUP('Données projet'!$B$13,Paramètres!$A$1:$I$89,5,0)</f>
        <v>4.6111381379887462E-13</v>
      </c>
      <c r="CV190" s="13">
        <f t="shared" si="173"/>
        <v>5.7981965206434308E-12</v>
      </c>
      <c r="CW190" s="20">
        <f t="shared" si="174"/>
        <v>1.0901632165820347E-11</v>
      </c>
      <c r="CX190" s="59">
        <f t="shared" si="122"/>
        <v>293.33333333334423</v>
      </c>
      <c r="CY190" s="59">
        <f ca="1">AVERAGE(OFFSET($CX$3,0,0,'Données projet'!$E$13+1,1))-AVERAGE(OFFSET($H$3,0,0,'Données projet'!$E$13+1,1))</f>
        <v>263.15518481854753</v>
      </c>
      <c r="CZ190" s="59">
        <f t="shared" si="150"/>
        <v>210.80755370263819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0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275.99999999999972</v>
      </c>
      <c r="DP190" s="17">
        <f>DO190*VLOOKUP('Données projet'!$B$14,Paramètres!$A$1:$I$89,3,0)*VLOOKUP('Données projet'!$B$14,Paramètres!$A$1:$I$89,5,0)</f>
        <v>223.8911999999998</v>
      </c>
      <c r="DQ190" s="13">
        <f t="shared" si="176"/>
        <v>54.95975389514858</v>
      </c>
      <c r="DR190" s="20">
        <f t="shared" si="177"/>
        <v>485.66541136738346</v>
      </c>
      <c r="DS190" s="59">
        <f t="shared" si="125"/>
        <v>778.99874470071677</v>
      </c>
      <c r="DT190" s="59">
        <f ca="1">AVERAGE(OFFSET($DS$3,0,0,'Données projet'!$E$14+1,1))-AVERAGE(OFFSET($H$3,0,0,'Données projet'!$E$14+1,1))</f>
        <v>203.21935660591021</v>
      </c>
      <c r="DU190" s="59">
        <f t="shared" si="152"/>
        <v>180.54762778843178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4.4748893799774744E-2</v>
      </c>
      <c r="EB190" s="21">
        <f>EXP(-LN(2)/25)*EB189+(1-EXP(-LN(2)/25))/(LN(2)/25)*Calculateur!DW190*Calculateur!DY190*VLOOKUP('Données projet'!$B$14,Paramètres!$A$1:$I$89,3,0)*0.475*44/12</f>
        <v>7.4685562080478024E-2</v>
      </c>
      <c r="EC190" s="21">
        <f>EXP(-LN(2)/2)*EC189+(1-EXP(-LN(2)/2))/(LN(2)/2)*DW190*DZ190*VLOOKUP('Données projet'!$B$14,Paramètres!$A$1:$I$89,3,0)*0.475*44/12</f>
        <v>2.1203238697169324E-23</v>
      </c>
      <c r="ED190" s="22">
        <f t="shared" si="178"/>
        <v>0.11943445588025277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-5.1159076974727213E-13</v>
      </c>
      <c r="EK190" s="17">
        <f>EJ190*VLOOKUP('Données projet'!$B$15,Paramètres!$A$1:$I$89,3,0)*VLOOKUP('Données projet'!$B$15,Paramètres!$A$1:$I$89,5,0)</f>
        <v>-3.4317508834647017E-13</v>
      </c>
      <c r="EL190" s="13" t="e">
        <f t="shared" si="179"/>
        <v>#NUM!</v>
      </c>
      <c r="EM190" s="20" t="e">
        <f t="shared" si="180"/>
        <v>#NUM!</v>
      </c>
      <c r="EN190" s="59" t="e">
        <f t="shared" si="128"/>
        <v>#NUM!</v>
      </c>
      <c r="EO190" s="59">
        <f ca="1">AVERAGE(OFFSET($EN$3,0,0,'Données projet'!$E$15+1,1))-AVERAGE(OFFSET($H$3,0,0,'Données projet'!$E$15+1,1))</f>
        <v>207.93042467236967</v>
      </c>
      <c r="EP190" s="59">
        <f t="shared" si="154"/>
        <v>250.70954318710835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0.1227946715955357</v>
      </c>
      <c r="EW190" s="21">
        <f>EXP(-LN(2)/25)*EW189+(1-EXP(-LN(2)/25))/(LN(2)/25)*Calculateur!ER190*Calculateur!ET190*VLOOKUP('Données projet'!$B$15,Paramètres!$A$1:$I$89,3,0)*0.475*44/12</f>
        <v>0.22263777595827461</v>
      </c>
      <c r="EX190" s="21">
        <f>EXP(-LN(2)/2)*EX189+(1-EXP(-LN(2)/2))/(LN(2)/2)*ER190*EU190*VLOOKUP('Données projet'!$B$15,Paramètres!$A$1:$I$89,3,0)*0.475*44/12</f>
        <v>4.7419900255889645E-23</v>
      </c>
      <c r="EY190" s="22">
        <f t="shared" si="181"/>
        <v>0.34543244755381031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-2.2737367544323206E-13</v>
      </c>
      <c r="O191" s="13">
        <f>N191*VLOOKUP('Données projet'!$B$9,Paramètres!$A$1:$I$89,3,0)*VLOOKUP('Données projet'!$B$9,Paramètres!$A$1:$I$89,5,0)</f>
        <v>-1.2710188457276673E-13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255.5374979188561</v>
      </c>
      <c r="T191" s="59">
        <f t="shared" si="142"/>
        <v>343.10418468620901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0.13521622633186384</v>
      </c>
      <c r="AA191" s="21">
        <f>EXP(-LN(2)/25)*AA190+(1-EXP(-LN(2)/25))/(LN(2)/25)*Calculateur!V191*Calculateur!X191*VLOOKUP('Données projet'!$B$9,Paramètres!$A$1:$I$89,3,0)*0.475*44/12</f>
        <v>0.19977004418410119</v>
      </c>
      <c r="AB191" s="21">
        <f>EXP(-LN(2)/2)*AB190+(1-EXP(-LN(2)/2))/(LN(2)/2)*V191*Y191*VLOOKUP('Données projet'!$B$9,Paramètres!$A$1:$I$89,3,0)*0.475*44/12</f>
        <v>2.8002579678439408E-24</v>
      </c>
      <c r="AC191" s="22">
        <f t="shared" si="163"/>
        <v>0.33498627051596502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1.5961632016114892E-13</v>
      </c>
      <c r="AK191" s="13">
        <f t="shared" si="164"/>
        <v>2.2708641912150958E-12</v>
      </c>
      <c r="AL191" s="20">
        <f t="shared" si="165"/>
        <v>4.2330868906469593E-12</v>
      </c>
      <c r="AM191" s="59">
        <f t="shared" si="113"/>
        <v>293.33333333333752</v>
      </c>
      <c r="AN191" s="59">
        <f ca="1">AVERAGE(OFFSET($AM$3,0,0,'Données projet'!$E$10+1,1))-AVERAGE(OFFSET($H$3,0,0,'Données projet'!$E$10+1,1))</f>
        <v>158.58786357608489</v>
      </c>
      <c r="AO191" s="59">
        <f t="shared" si="144"/>
        <v>163.20074068819849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553.99999999999955</v>
      </c>
      <c r="BE191" s="13">
        <f>BD191*VLOOKUP('Données projet'!$B$11,Paramètres!$A$1:$I$89,3,0)*VLOOKUP('Données projet'!$B$11,Paramètres!$A$1:$I$89,5,0)</f>
        <v>331.29199999999975</v>
      </c>
      <c r="BF191" s="13">
        <f t="shared" si="167"/>
        <v>77.698110787752</v>
      </c>
      <c r="BG191" s="20">
        <f t="shared" si="168"/>
        <v>712.32444295533423</v>
      </c>
      <c r="BH191" s="59">
        <f t="shared" si="116"/>
        <v>1005.6577762886675</v>
      </c>
      <c r="BI191" s="59">
        <f ca="1">AVERAGE(OFFSET($BH$3,0,0,'Données projet'!$E$11+1,1))-AVERAGE(OFFSET($H$3,0,0,'Données projet'!$E$11+1,1))</f>
        <v>316.58509520829671</v>
      </c>
      <c r="BJ191" s="59">
        <f t="shared" si="146"/>
        <v>240.71332110643596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0.11090854144171655</v>
      </c>
      <c r="BQ191" s="21">
        <f>EXP(-LN(2)/25)*BQ190+(1-EXP(-LN(2)/25))/(LN(2)/25)*Calculateur!BL191*Calculateur!BN191*VLOOKUP('Données projet'!$B$11,Paramètres!$A$1:$I$89,3,0)*0.475*44/12</f>
        <v>0.19110431545491863</v>
      </c>
      <c r="BR191" s="21">
        <f>EXP(-LN(2)/2)*BR190+(1-EXP(-LN(2)/2))/(LN(2)/2)*BL191*BO191*VLOOKUP('Données projet'!$B$11,Paramètres!$A$1:$I$89,3,0)*0.475*44/12</f>
        <v>3.6295598479540398E-23</v>
      </c>
      <c r="BS191" s="22">
        <f t="shared" si="169"/>
        <v>0.30201285689663515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-5.1159076974727213E-13</v>
      </c>
      <c r="BZ191" s="13">
        <f>BY191*VLOOKUP('Données projet'!$B$12,Paramètres!$A$1:$I$89,3,0)*VLOOKUP('Données projet'!$B$12,Paramètres!$A$1:$I$89,5,0)</f>
        <v>-4.0702161641092972E-13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260.20517190557814</v>
      </c>
      <c r="CE191" s="59">
        <f t="shared" si="148"/>
        <v>307.22009971147133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0.14278427656111575</v>
      </c>
      <c r="CL191" s="21">
        <f>EXP(-LN(2)/25)*CL190+(1-EXP(-LN(2)/25))/(LN(2)/25)*Calculateur!CG191*Calculateur!CI191*VLOOKUP('Données projet'!$B$12,Paramètres!$A$1:$I$89,3,0)*0.475*44/12</f>
        <v>0.25683805692095013</v>
      </c>
      <c r="CM191" s="21">
        <f>EXP(-LN(2)/2)*CM190+(1-EXP(-LN(2)/2))/(LN(2)/2)*CG191*CJ191*VLOOKUP('Données projet'!$B$12,Paramètres!$A$1:$I$89,3,0)*0.475*44/12</f>
        <v>3.9769246156757972E-23</v>
      </c>
      <c r="CN191" s="22">
        <f t="shared" si="172"/>
        <v>0.39962233348206588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4.5474735088646412E-13</v>
      </c>
      <c r="CU191" s="17">
        <f>CT191*VLOOKUP('Données projet'!$B$13,Paramètres!$A$1:$I$89,3,0)*VLOOKUP('Données projet'!$B$13,Paramètres!$A$1:$I$89,5,0)</f>
        <v>4.6111381379887462E-13</v>
      </c>
      <c r="CV191" s="13">
        <f t="shared" si="173"/>
        <v>5.7981965206434308E-12</v>
      </c>
      <c r="CW191" s="20">
        <f t="shared" si="174"/>
        <v>1.0901632165820347E-11</v>
      </c>
      <c r="CX191" s="59">
        <f t="shared" si="122"/>
        <v>293.33333333334423</v>
      </c>
      <c r="CY191" s="59">
        <f ca="1">AVERAGE(OFFSET($CX$3,0,0,'Données projet'!$E$13+1,1))-AVERAGE(OFFSET($H$3,0,0,'Données projet'!$E$13+1,1))</f>
        <v>263.15518481854753</v>
      </c>
      <c r="CZ191" s="59">
        <f t="shared" si="150"/>
        <v>210.80755370263819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0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275.99999999999972</v>
      </c>
      <c r="DP191" s="17">
        <f>DO191*VLOOKUP('Données projet'!$B$14,Paramètres!$A$1:$I$89,3,0)*VLOOKUP('Données projet'!$B$14,Paramètres!$A$1:$I$89,5,0)</f>
        <v>223.8911999999998</v>
      </c>
      <c r="DQ191" s="13">
        <f t="shared" si="176"/>
        <v>54.95975389514858</v>
      </c>
      <c r="DR191" s="20">
        <f t="shared" si="177"/>
        <v>485.66541136738346</v>
      </c>
      <c r="DS191" s="59">
        <f t="shared" si="125"/>
        <v>778.99874470071677</v>
      </c>
      <c r="DT191" s="59">
        <f ca="1">AVERAGE(OFFSET($DS$3,0,0,'Données projet'!$E$14+1,1))-AVERAGE(OFFSET($H$3,0,0,'Données projet'!$E$14+1,1))</f>
        <v>203.21935660591021</v>
      </c>
      <c r="DU191" s="59">
        <f t="shared" si="152"/>
        <v>180.54762778843178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4.387139528649131E-2</v>
      </c>
      <c r="EB191" s="21">
        <f>EXP(-LN(2)/25)*EB190+(1-EXP(-LN(2)/25))/(LN(2)/25)*Calculateur!DW191*Calculateur!DY191*VLOOKUP('Données projet'!$B$14,Paramètres!$A$1:$I$89,3,0)*0.475*44/12</f>
        <v>7.2643281457844336E-2</v>
      </c>
      <c r="EC191" s="21">
        <f>EXP(-LN(2)/2)*EC190+(1-EXP(-LN(2)/2))/(LN(2)/2)*DW191*DZ191*VLOOKUP('Données projet'!$B$14,Paramètres!$A$1:$I$89,3,0)*0.475*44/12</f>
        <v>1.4992953865885446E-23</v>
      </c>
      <c r="ED191" s="22">
        <f t="shared" si="178"/>
        <v>0.11651467674433565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-5.1159076974727213E-13</v>
      </c>
      <c r="EK191" s="17">
        <f>EJ191*VLOOKUP('Données projet'!$B$15,Paramètres!$A$1:$I$89,3,0)*VLOOKUP('Données projet'!$B$15,Paramètres!$A$1:$I$89,5,0)</f>
        <v>-3.4317508834647017E-13</v>
      </c>
      <c r="EL191" s="13" t="e">
        <f t="shared" si="179"/>
        <v>#NUM!</v>
      </c>
      <c r="EM191" s="20" t="e">
        <f t="shared" si="180"/>
        <v>#NUM!</v>
      </c>
      <c r="EN191" s="59" t="e">
        <f t="shared" si="128"/>
        <v>#NUM!</v>
      </c>
      <c r="EO191" s="59">
        <f ca="1">AVERAGE(OFFSET($EN$3,0,0,'Données projet'!$E$15+1,1))-AVERAGE(OFFSET($H$3,0,0,'Données projet'!$E$15+1,1))</f>
        <v>207.93042467236967</v>
      </c>
      <c r="EP191" s="59">
        <f t="shared" si="154"/>
        <v>250.70954318710835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0.12038674298290142</v>
      </c>
      <c r="EW191" s="21">
        <f>EXP(-LN(2)/25)*EW190+(1-EXP(-LN(2)/25))/(LN(2)/25)*Calculateur!ER191*Calculateur!ET191*VLOOKUP('Données projet'!$B$15,Paramètres!$A$1:$I$89,3,0)*0.475*44/12</f>
        <v>0.21654973426668381</v>
      </c>
      <c r="EX191" s="21">
        <f>EXP(-LN(2)/2)*EX190+(1-EXP(-LN(2)/2))/(LN(2)/2)*ER191*EU191*VLOOKUP('Données projet'!$B$15,Paramètres!$A$1:$I$89,3,0)*0.475*44/12</f>
        <v>3.3530933034129268E-23</v>
      </c>
      <c r="EY191" s="22">
        <f t="shared" si="181"/>
        <v>0.3369364772495852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-2.2737367544323206E-13</v>
      </c>
      <c r="O192" s="13">
        <f>N192*VLOOKUP('Données projet'!$B$9,Paramètres!$A$1:$I$89,3,0)*VLOOKUP('Données projet'!$B$9,Paramètres!$A$1:$I$89,5,0)</f>
        <v>-1.2710188457276673E-13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255.5374979188561</v>
      </c>
      <c r="T192" s="59">
        <f t="shared" si="142"/>
        <v>343.10418468620901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0.13256471860725044</v>
      </c>
      <c r="AA192" s="21">
        <f>EXP(-LN(2)/25)*AA191+(1-EXP(-LN(2)/25))/(LN(2)/25)*Calculateur!V192*Calculateur!X192*VLOOKUP('Données projet'!$B$9,Paramètres!$A$1:$I$89,3,0)*0.475*44/12</f>
        <v>0.19430732182043689</v>
      </c>
      <c r="AB192" s="21">
        <f>EXP(-LN(2)/2)*AB191+(1-EXP(-LN(2)/2))/(LN(2)/2)*V192*Y192*VLOOKUP('Données projet'!$B$9,Paramètres!$A$1:$I$89,3,0)*0.475*44/12</f>
        <v>1.9800813981341117E-24</v>
      </c>
      <c r="AC192" s="22">
        <f t="shared" si="163"/>
        <v>0.32687204042768736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1.5961632016114892E-13</v>
      </c>
      <c r="AK192" s="13">
        <f t="shared" si="164"/>
        <v>2.2708641912150958E-12</v>
      </c>
      <c r="AL192" s="20">
        <f t="shared" si="165"/>
        <v>4.2330868906469593E-12</v>
      </c>
      <c r="AM192" s="59">
        <f t="shared" si="113"/>
        <v>293.33333333333752</v>
      </c>
      <c r="AN192" s="59">
        <f ca="1">AVERAGE(OFFSET($AM$3,0,0,'Données projet'!$E$10+1,1))-AVERAGE(OFFSET($H$3,0,0,'Données projet'!$E$10+1,1))</f>
        <v>158.58786357608489</v>
      </c>
      <c r="AO192" s="59">
        <f t="shared" si="144"/>
        <v>163.20074068819849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553.99999999999955</v>
      </c>
      <c r="BE192" s="13">
        <f>BD192*VLOOKUP('Données projet'!$B$11,Paramètres!$A$1:$I$89,3,0)*VLOOKUP('Données projet'!$B$11,Paramètres!$A$1:$I$89,5,0)</f>
        <v>331.29199999999975</v>
      </c>
      <c r="BF192" s="13">
        <f t="shared" si="167"/>
        <v>77.698110787752</v>
      </c>
      <c r="BG192" s="20">
        <f t="shared" si="168"/>
        <v>712.32444295533423</v>
      </c>
      <c r="BH192" s="59">
        <f t="shared" si="116"/>
        <v>1005.6577762886675</v>
      </c>
      <c r="BI192" s="59">
        <f ca="1">AVERAGE(OFFSET($BH$3,0,0,'Données projet'!$E$11+1,1))-AVERAGE(OFFSET($H$3,0,0,'Données projet'!$E$11+1,1))</f>
        <v>316.58509520829671</v>
      </c>
      <c r="BJ192" s="59">
        <f t="shared" si="146"/>
        <v>240.71332110643596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0.10873369259157513</v>
      </c>
      <c r="BQ192" s="21">
        <f>EXP(-LN(2)/25)*BQ191+(1-EXP(-LN(2)/25))/(LN(2)/25)*Calculateur!BL192*Calculateur!BN192*VLOOKUP('Données projet'!$B$11,Paramètres!$A$1:$I$89,3,0)*0.475*44/12</f>
        <v>0.18587855789906471</v>
      </c>
      <c r="BR192" s="21">
        <f>EXP(-LN(2)/2)*BR191+(1-EXP(-LN(2)/2))/(LN(2)/2)*BL192*BO192*VLOOKUP('Données projet'!$B$11,Paramètres!$A$1:$I$89,3,0)*0.475*44/12</f>
        <v>2.566486381210716E-23</v>
      </c>
      <c r="BS192" s="22">
        <f t="shared" si="169"/>
        <v>0.29461225049063983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-5.1159076974727213E-13</v>
      </c>
      <c r="BZ192" s="13">
        <f>BY192*VLOOKUP('Données projet'!$B$12,Paramètres!$A$1:$I$89,3,0)*VLOOKUP('Données projet'!$B$12,Paramètres!$A$1:$I$89,5,0)</f>
        <v>-4.0702161641092972E-13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260.20517190557814</v>
      </c>
      <c r="CE192" s="59">
        <f t="shared" si="148"/>
        <v>307.22009971147133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0.13998436398756156</v>
      </c>
      <c r="CL192" s="21">
        <f>EXP(-LN(2)/25)*CL191+(1-EXP(-LN(2)/25))/(LN(2)/25)*Calculateur!CG192*Calculateur!CI192*VLOOKUP('Données projet'!$B$12,Paramètres!$A$1:$I$89,3,0)*0.475*44/12</f>
        <v>0.24981480674792034</v>
      </c>
      <c r="CM192" s="21">
        <f>EXP(-LN(2)/2)*CM191+(1-EXP(-LN(2)/2))/(LN(2)/2)*CG192*CJ192*VLOOKUP('Données projet'!$B$12,Paramètres!$A$1:$I$89,3,0)*0.475*44/12</f>
        <v>2.8121103640120605E-23</v>
      </c>
      <c r="CN192" s="22">
        <f t="shared" si="172"/>
        <v>0.38979917073548187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4.5474735088646412E-13</v>
      </c>
      <c r="CU192" s="17">
        <f>CT192*VLOOKUP('Données projet'!$B$13,Paramètres!$A$1:$I$89,3,0)*VLOOKUP('Données projet'!$B$13,Paramètres!$A$1:$I$89,5,0)</f>
        <v>4.6111381379887462E-13</v>
      </c>
      <c r="CV192" s="13">
        <f t="shared" si="173"/>
        <v>5.7981965206434308E-12</v>
      </c>
      <c r="CW192" s="20">
        <f t="shared" si="174"/>
        <v>1.0901632165820347E-11</v>
      </c>
      <c r="CX192" s="59">
        <f t="shared" si="122"/>
        <v>293.33333333334423</v>
      </c>
      <c r="CY192" s="59">
        <f ca="1">AVERAGE(OFFSET($CX$3,0,0,'Données projet'!$E$13+1,1))-AVERAGE(OFFSET($H$3,0,0,'Données projet'!$E$13+1,1))</f>
        <v>263.15518481854753</v>
      </c>
      <c r="CZ192" s="59">
        <f t="shared" si="150"/>
        <v>210.80755370263819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0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275.99999999999972</v>
      </c>
      <c r="DP192" s="17">
        <f>DO192*VLOOKUP('Données projet'!$B$14,Paramètres!$A$1:$I$89,3,0)*VLOOKUP('Données projet'!$B$14,Paramètres!$A$1:$I$89,5,0)</f>
        <v>223.8911999999998</v>
      </c>
      <c r="DQ192" s="13">
        <f t="shared" si="176"/>
        <v>54.95975389514858</v>
      </c>
      <c r="DR192" s="20">
        <f t="shared" si="177"/>
        <v>485.66541136738346</v>
      </c>
      <c r="DS192" s="59">
        <f t="shared" si="125"/>
        <v>778.99874470071677</v>
      </c>
      <c r="DT192" s="59">
        <f ca="1">AVERAGE(OFFSET($DS$3,0,0,'Données projet'!$E$14+1,1))-AVERAGE(OFFSET($H$3,0,0,'Données projet'!$E$14+1,1))</f>
        <v>203.21935660591021</v>
      </c>
      <c r="DU192" s="59">
        <f t="shared" si="152"/>
        <v>180.54762778843178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4.3011103983832115E-2</v>
      </c>
      <c r="EB192" s="21">
        <f>EXP(-LN(2)/25)*EB191+(1-EXP(-LN(2)/25))/(LN(2)/25)*Calculateur!DW192*Calculateur!DY192*VLOOKUP('Données projet'!$B$14,Paramètres!$A$1:$I$89,3,0)*0.475*44/12</f>
        <v>7.0656847106235446E-2</v>
      </c>
      <c r="EC192" s="21">
        <f>EXP(-LN(2)/2)*EC191+(1-EXP(-LN(2)/2))/(LN(2)/2)*DW192*DZ192*VLOOKUP('Données projet'!$B$14,Paramètres!$A$1:$I$89,3,0)*0.475*44/12</f>
        <v>1.0601619348584662E-23</v>
      </c>
      <c r="ED192" s="22">
        <f t="shared" si="178"/>
        <v>0.11366795109006755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-5.1159076974727213E-13</v>
      </c>
      <c r="EK192" s="17">
        <f>EJ192*VLOOKUP('Données projet'!$B$15,Paramètres!$A$1:$I$89,3,0)*VLOOKUP('Données projet'!$B$15,Paramètres!$A$1:$I$89,5,0)</f>
        <v>-3.4317508834647017E-13</v>
      </c>
      <c r="EL192" s="13" t="e">
        <f t="shared" si="179"/>
        <v>#NUM!</v>
      </c>
      <c r="EM192" s="20" t="e">
        <f t="shared" si="180"/>
        <v>#NUM!</v>
      </c>
      <c r="EN192" s="59" t="e">
        <f t="shared" si="128"/>
        <v>#NUM!</v>
      </c>
      <c r="EO192" s="59">
        <f ca="1">AVERAGE(OFFSET($EN$3,0,0,'Données projet'!$E$15+1,1))-AVERAGE(OFFSET($H$3,0,0,'Données projet'!$E$15+1,1))</f>
        <v>207.93042467236967</v>
      </c>
      <c r="EP192" s="59">
        <f t="shared" si="154"/>
        <v>250.70954318710835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0.11802603238166946</v>
      </c>
      <c r="EW192" s="21">
        <f>EXP(-LN(2)/25)*EW191+(1-EXP(-LN(2)/25))/(LN(2)/25)*Calculateur!ER192*Calculateur!ET192*VLOOKUP('Données projet'!$B$15,Paramètres!$A$1:$I$89,3,0)*0.475*44/12</f>
        <v>0.21062817039530574</v>
      </c>
      <c r="EX192" s="21">
        <f>EXP(-LN(2)/2)*EX191+(1-EXP(-LN(2)/2))/(LN(2)/2)*ER192*EU192*VLOOKUP('Données projet'!$B$15,Paramètres!$A$1:$I$89,3,0)*0.475*44/12</f>
        <v>2.3709950127944823E-23</v>
      </c>
      <c r="EY192" s="22">
        <f t="shared" si="181"/>
        <v>0.32865420277697521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-2.2737367544323206E-13</v>
      </c>
      <c r="O193" s="13">
        <f>N193*VLOOKUP('Données projet'!$B$9,Paramètres!$A$1:$I$89,3,0)*VLOOKUP('Données projet'!$B$9,Paramètres!$A$1:$I$89,5,0)</f>
        <v>-1.2710188457276673E-13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255.5374979188561</v>
      </c>
      <c r="T193" s="59">
        <f t="shared" si="142"/>
        <v>343.10418468620901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0.12996520533185671</v>
      </c>
      <c r="AA193" s="21">
        <f>EXP(-LN(2)/25)*AA192+(1-EXP(-LN(2)/25))/(LN(2)/25)*Calculateur!V193*Calculateur!X193*VLOOKUP('Données projet'!$B$9,Paramètres!$A$1:$I$89,3,0)*0.475*44/12</f>
        <v>0.18899397788707908</v>
      </c>
      <c r="AB193" s="21">
        <f>EXP(-LN(2)/2)*AB192+(1-EXP(-LN(2)/2))/(LN(2)/2)*V193*Y193*VLOOKUP('Données projet'!$B$9,Paramètres!$A$1:$I$89,3,0)*0.475*44/12</f>
        <v>1.4001289839219704E-24</v>
      </c>
      <c r="AC193" s="22">
        <f t="shared" si="163"/>
        <v>0.31895918321893579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1.5961632016114892E-13</v>
      </c>
      <c r="AK193" s="13">
        <f t="shared" si="164"/>
        <v>2.2708641912150958E-12</v>
      </c>
      <c r="AL193" s="20">
        <f t="shared" si="165"/>
        <v>4.2330868906469593E-12</v>
      </c>
      <c r="AM193" s="59">
        <f t="shared" si="113"/>
        <v>293.33333333333752</v>
      </c>
      <c r="AN193" s="59">
        <f ca="1">AVERAGE(OFFSET($AM$3,0,0,'Données projet'!$E$10+1,1))-AVERAGE(OFFSET($H$3,0,0,'Données projet'!$E$10+1,1))</f>
        <v>158.58786357608489</v>
      </c>
      <c r="AO193" s="59">
        <f t="shared" si="144"/>
        <v>163.20074068819849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553.99999999999955</v>
      </c>
      <c r="BE193" s="13">
        <f>BD193*VLOOKUP('Données projet'!$B$11,Paramètres!$A$1:$I$89,3,0)*VLOOKUP('Données projet'!$B$11,Paramètres!$A$1:$I$89,5,0)</f>
        <v>331.29199999999975</v>
      </c>
      <c r="BF193" s="13">
        <f t="shared" si="167"/>
        <v>77.698110787752</v>
      </c>
      <c r="BG193" s="20">
        <f t="shared" si="168"/>
        <v>712.32444295533423</v>
      </c>
      <c r="BH193" s="59">
        <f t="shared" si="116"/>
        <v>1005.6577762886675</v>
      </c>
      <c r="BI193" s="59">
        <f ca="1">AVERAGE(OFFSET($BH$3,0,0,'Données projet'!$E$11+1,1))-AVERAGE(OFFSET($H$3,0,0,'Données projet'!$E$11+1,1))</f>
        <v>316.58509520829671</v>
      </c>
      <c r="BJ193" s="59">
        <f t="shared" si="146"/>
        <v>240.71332110643596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0.10660149120085817</v>
      </c>
      <c r="BQ193" s="21">
        <f>EXP(-LN(2)/25)*BQ192+(1-EXP(-LN(2)/25))/(LN(2)/25)*Calculateur!BL193*Calculateur!BN193*VLOOKUP('Données projet'!$B$11,Paramètres!$A$1:$I$89,3,0)*0.475*44/12</f>
        <v>0.18079569895838626</v>
      </c>
      <c r="BR193" s="21">
        <f>EXP(-LN(2)/2)*BR192+(1-EXP(-LN(2)/2))/(LN(2)/2)*BL193*BO193*VLOOKUP('Données projet'!$B$11,Paramètres!$A$1:$I$89,3,0)*0.475*44/12</f>
        <v>1.8147799239770199E-23</v>
      </c>
      <c r="BS193" s="22">
        <f t="shared" si="169"/>
        <v>0.28739719015924442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-5.1159076974727213E-13</v>
      </c>
      <c r="BZ193" s="13">
        <f>BY193*VLOOKUP('Données projet'!$B$12,Paramètres!$A$1:$I$89,3,0)*VLOOKUP('Données projet'!$B$12,Paramètres!$A$1:$I$89,5,0)</f>
        <v>-4.0702161641092972E-13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260.20517190557814</v>
      </c>
      <c r="CE193" s="59">
        <f t="shared" si="148"/>
        <v>307.22009971147133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0.13723935599179674</v>
      </c>
      <c r="CL193" s="21">
        <f>EXP(-LN(2)/25)*CL192+(1-EXP(-LN(2)/25))/(LN(2)/25)*Calculateur!CG193*Calculateur!CI193*VLOOKUP('Données projet'!$B$12,Paramètres!$A$1:$I$89,3,0)*0.475*44/12</f>
        <v>0.24298360772020872</v>
      </c>
      <c r="CM193" s="21">
        <f>EXP(-LN(2)/2)*CM192+(1-EXP(-LN(2)/2))/(LN(2)/2)*CG193*CJ193*VLOOKUP('Données projet'!$B$12,Paramètres!$A$1:$I$89,3,0)*0.475*44/12</f>
        <v>1.9884623078378986E-23</v>
      </c>
      <c r="CN193" s="22">
        <f t="shared" si="172"/>
        <v>0.38022296371200548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4.5474735088646412E-13</v>
      </c>
      <c r="CU193" s="17">
        <f>CT193*VLOOKUP('Données projet'!$B$13,Paramètres!$A$1:$I$89,3,0)*VLOOKUP('Données projet'!$B$13,Paramètres!$A$1:$I$89,5,0)</f>
        <v>4.6111381379887462E-13</v>
      </c>
      <c r="CV193" s="13">
        <f t="shared" si="173"/>
        <v>5.7981965206434308E-12</v>
      </c>
      <c r="CW193" s="20">
        <f t="shared" si="174"/>
        <v>1.0901632165820347E-11</v>
      </c>
      <c r="CX193" s="59">
        <f t="shared" si="122"/>
        <v>293.33333333334423</v>
      </c>
      <c r="CY193" s="59">
        <f ca="1">AVERAGE(OFFSET($CX$3,0,0,'Données projet'!$E$13+1,1))-AVERAGE(OFFSET($H$3,0,0,'Données projet'!$E$13+1,1))</f>
        <v>263.15518481854753</v>
      </c>
      <c r="CZ193" s="59">
        <f t="shared" si="150"/>
        <v>210.80755370263819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0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275.99999999999972</v>
      </c>
      <c r="DP193" s="17">
        <f>DO193*VLOOKUP('Données projet'!$B$14,Paramètres!$A$1:$I$89,3,0)*VLOOKUP('Données projet'!$B$14,Paramètres!$A$1:$I$89,5,0)</f>
        <v>223.8911999999998</v>
      </c>
      <c r="DQ193" s="13">
        <f t="shared" si="176"/>
        <v>54.95975389514858</v>
      </c>
      <c r="DR193" s="20">
        <f t="shared" si="177"/>
        <v>485.66541136738346</v>
      </c>
      <c r="DS193" s="59">
        <f t="shared" si="125"/>
        <v>778.99874470071677</v>
      </c>
      <c r="DT193" s="59">
        <f ca="1">AVERAGE(OFFSET($DS$3,0,0,'Données projet'!$E$14+1,1))-AVERAGE(OFFSET($H$3,0,0,'Données projet'!$E$14+1,1))</f>
        <v>203.21935660591021</v>
      </c>
      <c r="DU193" s="59">
        <f t="shared" si="152"/>
        <v>180.54762778843178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4.2167682468892187E-2</v>
      </c>
      <c r="EB193" s="21">
        <f>EXP(-LN(2)/25)*EB192+(1-EXP(-LN(2)/25))/(LN(2)/25)*Calculateur!DW193*Calculateur!DY193*VLOOKUP('Données projet'!$B$14,Paramètres!$A$1:$I$89,3,0)*0.475*44/12</f>
        <v>6.8724731906433342E-2</v>
      </c>
      <c r="EC193" s="21">
        <f>EXP(-LN(2)/2)*EC192+(1-EXP(-LN(2)/2))/(LN(2)/2)*DW193*DZ193*VLOOKUP('Données projet'!$B$14,Paramètres!$A$1:$I$89,3,0)*0.475*44/12</f>
        <v>7.4964769329427228E-24</v>
      </c>
      <c r="ED193" s="22">
        <f t="shared" si="178"/>
        <v>0.11089241437532553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-5.1159076974727213E-13</v>
      </c>
      <c r="EK193" s="17">
        <f>EJ193*VLOOKUP('Données projet'!$B$15,Paramètres!$A$1:$I$89,3,0)*VLOOKUP('Données projet'!$B$15,Paramètres!$A$1:$I$89,5,0)</f>
        <v>-3.4317508834647017E-13</v>
      </c>
      <c r="EL193" s="13" t="e">
        <f t="shared" si="179"/>
        <v>#NUM!</v>
      </c>
      <c r="EM193" s="20" t="e">
        <f t="shared" si="180"/>
        <v>#NUM!</v>
      </c>
      <c r="EN193" s="59" t="e">
        <f t="shared" si="128"/>
        <v>#NUM!</v>
      </c>
      <c r="EO193" s="59">
        <f ca="1">AVERAGE(OFFSET($EN$3,0,0,'Données projet'!$E$15+1,1))-AVERAGE(OFFSET($H$3,0,0,'Données projet'!$E$15+1,1))</f>
        <v>207.93042467236967</v>
      </c>
      <c r="EP193" s="59">
        <f t="shared" si="154"/>
        <v>250.70954318710835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0.11571161387543638</v>
      </c>
      <c r="EW193" s="21">
        <f>EXP(-LN(2)/25)*EW192+(1-EXP(-LN(2)/25))/(LN(2)/25)*Calculateur!ER193*Calculateur!ET193*VLOOKUP('Données projet'!$B$15,Paramètres!$A$1:$I$89,3,0)*0.475*44/12</f>
        <v>0.20486853199939201</v>
      </c>
      <c r="EX193" s="21">
        <f>EXP(-LN(2)/2)*EX192+(1-EXP(-LN(2)/2))/(LN(2)/2)*ER193*EU193*VLOOKUP('Données projet'!$B$15,Paramètres!$A$1:$I$89,3,0)*0.475*44/12</f>
        <v>1.6765466517064634E-23</v>
      </c>
      <c r="EY193" s="22">
        <f t="shared" si="181"/>
        <v>0.32058014587482841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-2.2737367544323206E-13</v>
      </c>
      <c r="O194" s="13">
        <f>N194*VLOOKUP('Données projet'!$B$9,Paramètres!$A$1:$I$89,3,0)*VLOOKUP('Données projet'!$B$9,Paramètres!$A$1:$I$89,5,0)</f>
        <v>-1.2710188457276673E-13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255.5374979188561</v>
      </c>
      <c r="T194" s="59">
        <f t="shared" si="142"/>
        <v>343.10418468620901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0.1274166669262469</v>
      </c>
      <c r="AA194" s="21">
        <f>EXP(-LN(2)/25)*AA193+(1-EXP(-LN(2)/25))/(LN(2)/25)*Calculateur!V194*Calculateur!X194*VLOOKUP('Données projet'!$B$9,Paramètres!$A$1:$I$89,3,0)*0.475*44/12</f>
        <v>0.18382592762299557</v>
      </c>
      <c r="AB194" s="21">
        <f>EXP(-LN(2)/2)*AB193+(1-EXP(-LN(2)/2))/(LN(2)/2)*V194*Y194*VLOOKUP('Données projet'!$B$9,Paramètres!$A$1:$I$89,3,0)*0.475*44/12</f>
        <v>9.9004069906705584E-25</v>
      </c>
      <c r="AC194" s="22">
        <f t="shared" si="163"/>
        <v>0.31124259454924247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1.5961632016114892E-13</v>
      </c>
      <c r="AK194" s="13">
        <f t="shared" si="164"/>
        <v>2.2708641912150958E-12</v>
      </c>
      <c r="AL194" s="20">
        <f t="shared" si="165"/>
        <v>4.2330868906469593E-12</v>
      </c>
      <c r="AM194" s="59">
        <f t="shared" si="113"/>
        <v>293.33333333333752</v>
      </c>
      <c r="AN194" s="59">
        <f ca="1">AVERAGE(OFFSET($AM$3,0,0,'Données projet'!$E$10+1,1))-AVERAGE(OFFSET($H$3,0,0,'Données projet'!$E$10+1,1))</f>
        <v>158.58786357608489</v>
      </c>
      <c r="AO194" s="59">
        <f t="shared" si="144"/>
        <v>163.20074068819849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553.99999999999955</v>
      </c>
      <c r="BE194" s="13">
        <f>BD194*VLOOKUP('Données projet'!$B$11,Paramètres!$A$1:$I$89,3,0)*VLOOKUP('Données projet'!$B$11,Paramètres!$A$1:$I$89,5,0)</f>
        <v>331.29199999999975</v>
      </c>
      <c r="BF194" s="13">
        <f t="shared" si="167"/>
        <v>77.698110787752</v>
      </c>
      <c r="BG194" s="20">
        <f t="shared" si="168"/>
        <v>712.32444295533423</v>
      </c>
      <c r="BH194" s="59">
        <f t="shared" si="116"/>
        <v>1005.6577762886675</v>
      </c>
      <c r="BI194" s="59">
        <f ca="1">AVERAGE(OFFSET($BH$3,0,0,'Données projet'!$E$11+1,1))-AVERAGE(OFFSET($H$3,0,0,'Données projet'!$E$11+1,1))</f>
        <v>316.58509520829671</v>
      </c>
      <c r="BJ194" s="59">
        <f t="shared" si="146"/>
        <v>240.71332110643596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0.10451110097889874</v>
      </c>
      <c r="BQ194" s="21">
        <f>EXP(-LN(2)/25)*BQ193+(1-EXP(-LN(2)/25))/(LN(2)/25)*Calculateur!BL194*Calculateur!BN194*VLOOKUP('Données projet'!$B$11,Paramètres!$A$1:$I$89,3,0)*0.475*44/12</f>
        <v>0.17585183106273661</v>
      </c>
      <c r="BR194" s="21">
        <f>EXP(-LN(2)/2)*BR193+(1-EXP(-LN(2)/2))/(LN(2)/2)*BL194*BO194*VLOOKUP('Données projet'!$B$11,Paramètres!$A$1:$I$89,3,0)*0.475*44/12</f>
        <v>1.283243190605358E-23</v>
      </c>
      <c r="BS194" s="22">
        <f t="shared" si="169"/>
        <v>0.28036293204163532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-5.1159076974727213E-13</v>
      </c>
      <c r="BZ194" s="13">
        <f>BY194*VLOOKUP('Données projet'!$B$12,Paramètres!$A$1:$I$89,3,0)*VLOOKUP('Données projet'!$B$12,Paramètres!$A$1:$I$89,5,0)</f>
        <v>-4.0702161641092972E-13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260.20517190557814</v>
      </c>
      <c r="CE194" s="59">
        <f t="shared" si="148"/>
        <v>307.22009971147133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0.13454817592853929</v>
      </c>
      <c r="CL194" s="21">
        <f>EXP(-LN(2)/25)*CL193+(1-EXP(-LN(2)/25))/(LN(2)/25)*Calculateur!CG194*Calculateur!CI194*VLOOKUP('Données projet'!$B$12,Paramètres!$A$1:$I$89,3,0)*0.475*44/12</f>
        <v>0.23633920818914703</v>
      </c>
      <c r="CM194" s="21">
        <f>EXP(-LN(2)/2)*CM193+(1-EXP(-LN(2)/2))/(LN(2)/2)*CG194*CJ194*VLOOKUP('Données projet'!$B$12,Paramètres!$A$1:$I$89,3,0)*0.475*44/12</f>
        <v>1.4060551820060303E-23</v>
      </c>
      <c r="CN194" s="22">
        <f t="shared" si="172"/>
        <v>0.37088738411768629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4.5474735088646412E-13</v>
      </c>
      <c r="CU194" s="17">
        <f>CT194*VLOOKUP('Données projet'!$B$13,Paramètres!$A$1:$I$89,3,0)*VLOOKUP('Données projet'!$B$13,Paramètres!$A$1:$I$89,5,0)</f>
        <v>4.6111381379887462E-13</v>
      </c>
      <c r="CV194" s="13">
        <f t="shared" si="173"/>
        <v>5.7981965206434308E-12</v>
      </c>
      <c r="CW194" s="20">
        <f t="shared" si="174"/>
        <v>1.0901632165820347E-11</v>
      </c>
      <c r="CX194" s="59">
        <f t="shared" si="122"/>
        <v>293.33333333334423</v>
      </c>
      <c r="CY194" s="59">
        <f ca="1">AVERAGE(OFFSET($CX$3,0,0,'Données projet'!$E$13+1,1))-AVERAGE(OFFSET($H$3,0,0,'Données projet'!$E$13+1,1))</f>
        <v>263.15518481854753</v>
      </c>
      <c r="CZ194" s="59">
        <f t="shared" si="150"/>
        <v>210.80755370263819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0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275.99999999999972</v>
      </c>
      <c r="DP194" s="17">
        <f>DO194*VLOOKUP('Données projet'!$B$14,Paramètres!$A$1:$I$89,3,0)*VLOOKUP('Données projet'!$B$14,Paramètres!$A$1:$I$89,5,0)</f>
        <v>223.8911999999998</v>
      </c>
      <c r="DQ194" s="13">
        <f t="shared" si="176"/>
        <v>54.95975389514858</v>
      </c>
      <c r="DR194" s="20">
        <f t="shared" si="177"/>
        <v>485.66541136738346</v>
      </c>
      <c r="DS194" s="59">
        <f t="shared" si="125"/>
        <v>778.99874470071677</v>
      </c>
      <c r="DT194" s="59">
        <f ca="1">AVERAGE(OFFSET($DS$3,0,0,'Données projet'!$E$14+1,1))-AVERAGE(OFFSET($H$3,0,0,'Données projet'!$E$14+1,1))</f>
        <v>203.21935660591021</v>
      </c>
      <c r="DU194" s="59">
        <f t="shared" si="152"/>
        <v>180.54762778843178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4.1340799935423903E-2</v>
      </c>
      <c r="EB194" s="21">
        <f>EXP(-LN(2)/25)*EB193+(1-EXP(-LN(2)/25))/(LN(2)/25)*Calculateur!DW194*Calculateur!DY194*VLOOKUP('Données projet'!$B$14,Paramètres!$A$1:$I$89,3,0)*0.475*44/12</f>
        <v>6.6845450498375342E-2</v>
      </c>
      <c r="EC194" s="21">
        <f>EXP(-LN(2)/2)*EC193+(1-EXP(-LN(2)/2))/(LN(2)/2)*DW194*DZ194*VLOOKUP('Données projet'!$B$14,Paramètres!$A$1:$I$89,3,0)*0.475*44/12</f>
        <v>5.3008096742923309E-24</v>
      </c>
      <c r="ED194" s="22">
        <f t="shared" si="178"/>
        <v>0.10818625043379924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-5.1159076974727213E-13</v>
      </c>
      <c r="EK194" s="17">
        <f>EJ194*VLOOKUP('Données projet'!$B$15,Paramètres!$A$1:$I$89,3,0)*VLOOKUP('Données projet'!$B$15,Paramètres!$A$1:$I$89,5,0)</f>
        <v>-3.4317508834647017E-13</v>
      </c>
      <c r="EL194" s="13" t="e">
        <f t="shared" si="179"/>
        <v>#NUM!</v>
      </c>
      <c r="EM194" s="20" t="e">
        <f t="shared" si="180"/>
        <v>#NUM!</v>
      </c>
      <c r="EN194" s="59" t="e">
        <f t="shared" si="128"/>
        <v>#NUM!</v>
      </c>
      <c r="EO194" s="59">
        <f ca="1">AVERAGE(OFFSET($EN$3,0,0,'Données projet'!$E$15+1,1))-AVERAGE(OFFSET($H$3,0,0,'Données projet'!$E$15+1,1))</f>
        <v>207.93042467236967</v>
      </c>
      <c r="EP194" s="59">
        <f t="shared" si="154"/>
        <v>250.70954318710835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0.11344257970445462</v>
      </c>
      <c r="EW194" s="21">
        <f>EXP(-LN(2)/25)*EW193+(1-EXP(-LN(2)/25))/(LN(2)/25)*Calculateur!ER194*Calculateur!ET194*VLOOKUP('Données projet'!$B$15,Paramètres!$A$1:$I$89,3,0)*0.475*44/12</f>
        <v>0.19926639121830075</v>
      </c>
      <c r="EX194" s="21">
        <f>EXP(-LN(2)/2)*EX193+(1-EXP(-LN(2)/2))/(LN(2)/2)*ER194*EU194*VLOOKUP('Données projet'!$B$15,Paramètres!$A$1:$I$89,3,0)*0.475*44/12</f>
        <v>1.1854975063972411E-23</v>
      </c>
      <c r="EY194" s="22">
        <f t="shared" si="181"/>
        <v>0.3127089709227554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-2.2737367544323206E-13</v>
      </c>
      <c r="O195" s="13">
        <f>N195*VLOOKUP('Données projet'!$B$9,Paramètres!$A$1:$I$89,3,0)*VLOOKUP('Données projet'!$B$9,Paramètres!$A$1:$I$89,5,0)</f>
        <v>-1.2710188457276673E-13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255.5374979188561</v>
      </c>
      <c r="T195" s="59">
        <f t="shared" si="142"/>
        <v>343.10418468620901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0.12491810380431616</v>
      </c>
      <c r="AA195" s="21">
        <f>EXP(-LN(2)/25)*AA194+(1-EXP(-LN(2)/25))/(LN(2)/25)*Calculateur!V195*Calculateur!X195*VLOOKUP('Données projet'!$B$9,Paramètres!$A$1:$I$89,3,0)*0.475*44/12</f>
        <v>0.17879919796515936</v>
      </c>
      <c r="AB195" s="21">
        <f>EXP(-LN(2)/2)*AB194+(1-EXP(-LN(2)/2))/(LN(2)/2)*V195*Y195*VLOOKUP('Données projet'!$B$9,Paramètres!$A$1:$I$89,3,0)*0.475*44/12</f>
        <v>7.0006449196098521E-25</v>
      </c>
      <c r="AC195" s="22">
        <f t="shared" si="163"/>
        <v>0.30371730176947553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1.5961632016114892E-13</v>
      </c>
      <c r="AK195" s="13">
        <f t="shared" si="164"/>
        <v>2.2708641912150958E-12</v>
      </c>
      <c r="AL195" s="20">
        <f t="shared" si="165"/>
        <v>4.2330868906469593E-12</v>
      </c>
      <c r="AM195" s="59">
        <f t="shared" si="113"/>
        <v>293.33333333333752</v>
      </c>
      <c r="AN195" s="59">
        <f ca="1">AVERAGE(OFFSET($AM$3,0,0,'Données projet'!$E$10+1,1))-AVERAGE(OFFSET($H$3,0,0,'Données projet'!$E$10+1,1))</f>
        <v>158.58786357608489</v>
      </c>
      <c r="AO195" s="59">
        <f t="shared" si="144"/>
        <v>163.20074068819849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553.99999999999955</v>
      </c>
      <c r="BE195" s="13">
        <f>BD195*VLOOKUP('Données projet'!$B$11,Paramètres!$A$1:$I$89,3,0)*VLOOKUP('Données projet'!$B$11,Paramètres!$A$1:$I$89,5,0)</f>
        <v>331.29199999999975</v>
      </c>
      <c r="BF195" s="13">
        <f t="shared" si="167"/>
        <v>77.698110787752</v>
      </c>
      <c r="BG195" s="20">
        <f t="shared" si="168"/>
        <v>712.32444295533423</v>
      </c>
      <c r="BH195" s="59">
        <f t="shared" si="116"/>
        <v>1005.6577762886675</v>
      </c>
      <c r="BI195" s="59">
        <f ca="1">AVERAGE(OFFSET($BH$3,0,0,'Données projet'!$E$11+1,1))-AVERAGE(OFFSET($H$3,0,0,'Données projet'!$E$11+1,1))</f>
        <v>316.58509520829671</v>
      </c>
      <c r="BJ195" s="59">
        <f t="shared" si="146"/>
        <v>240.71332110643596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0.10246170203417979</v>
      </c>
      <c r="BQ195" s="21">
        <f>EXP(-LN(2)/25)*BQ194+(1-EXP(-LN(2)/25))/(LN(2)/25)*Calculateur!BL195*Calculateur!BN195*VLOOKUP('Données projet'!$B$11,Paramètres!$A$1:$I$89,3,0)*0.475*44/12</f>
        <v>0.17104315349468019</v>
      </c>
      <c r="BR195" s="21">
        <f>EXP(-LN(2)/2)*BR194+(1-EXP(-LN(2)/2))/(LN(2)/2)*BL195*BO195*VLOOKUP('Données projet'!$B$11,Paramètres!$A$1:$I$89,3,0)*0.475*44/12</f>
        <v>9.0738996198850996E-24</v>
      </c>
      <c r="BS195" s="22">
        <f t="shared" si="169"/>
        <v>0.27350485552885995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-5.1159076974727213E-13</v>
      </c>
      <c r="BZ195" s="13">
        <f>BY195*VLOOKUP('Données projet'!$B$12,Paramètres!$A$1:$I$89,3,0)*VLOOKUP('Données projet'!$B$12,Paramètres!$A$1:$I$89,5,0)</f>
        <v>-4.0702161641092972E-13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260.20517190557814</v>
      </c>
      <c r="CE195" s="59">
        <f t="shared" si="148"/>
        <v>307.22009971147133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0.13190976826486459</v>
      </c>
      <c r="CL195" s="21">
        <f>EXP(-LN(2)/25)*CL194+(1-EXP(-LN(2)/25))/(LN(2)/25)*Calculateur!CG195*Calculateur!CI195*VLOOKUP('Données projet'!$B$12,Paramètres!$A$1:$I$89,3,0)*0.475*44/12</f>
        <v>0.22987650011267599</v>
      </c>
      <c r="CM195" s="21">
        <f>EXP(-LN(2)/2)*CM194+(1-EXP(-LN(2)/2))/(LN(2)/2)*CG195*CJ195*VLOOKUP('Données projet'!$B$12,Paramètres!$A$1:$I$89,3,0)*0.475*44/12</f>
        <v>9.942311539189493E-24</v>
      </c>
      <c r="CN195" s="22">
        <f t="shared" si="172"/>
        <v>0.36178626837754058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4.5474735088646412E-13</v>
      </c>
      <c r="CU195" s="17">
        <f>CT195*VLOOKUP('Données projet'!$B$13,Paramètres!$A$1:$I$89,3,0)*VLOOKUP('Données projet'!$B$13,Paramètres!$A$1:$I$89,5,0)</f>
        <v>4.6111381379887462E-13</v>
      </c>
      <c r="CV195" s="13">
        <f t="shared" si="173"/>
        <v>5.7981965206434308E-12</v>
      </c>
      <c r="CW195" s="20">
        <f t="shared" si="174"/>
        <v>1.0901632165820347E-11</v>
      </c>
      <c r="CX195" s="59">
        <f t="shared" si="122"/>
        <v>293.33333333334423</v>
      </c>
      <c r="CY195" s="59">
        <f ca="1">AVERAGE(OFFSET($CX$3,0,0,'Données projet'!$E$13+1,1))-AVERAGE(OFFSET($H$3,0,0,'Données projet'!$E$13+1,1))</f>
        <v>263.15518481854753</v>
      </c>
      <c r="CZ195" s="59">
        <f t="shared" si="150"/>
        <v>210.80755370263819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0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275.99999999999972</v>
      </c>
      <c r="DP195" s="17">
        <f>DO195*VLOOKUP('Données projet'!$B$14,Paramètres!$A$1:$I$89,3,0)*VLOOKUP('Données projet'!$B$14,Paramètres!$A$1:$I$89,5,0)</f>
        <v>223.8911999999998</v>
      </c>
      <c r="DQ195" s="13">
        <f t="shared" si="176"/>
        <v>54.95975389514858</v>
      </c>
      <c r="DR195" s="20">
        <f t="shared" si="177"/>
        <v>485.66541136738346</v>
      </c>
      <c r="DS195" s="59">
        <f t="shared" si="125"/>
        <v>778.99874470071677</v>
      </c>
      <c r="DT195" s="59">
        <f ca="1">AVERAGE(OFFSET($DS$3,0,0,'Données projet'!$E$14+1,1))-AVERAGE(OFFSET($H$3,0,0,'Données projet'!$E$14+1,1))</f>
        <v>203.21935660591021</v>
      </c>
      <c r="DU195" s="59">
        <f t="shared" si="152"/>
        <v>180.54762778843178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4.0530132064088384E-2</v>
      </c>
      <c r="EB195" s="21">
        <f>EXP(-LN(2)/25)*EB194+(1-EXP(-LN(2)/25))/(LN(2)/25)*Calculateur!DW195*Calculateur!DY195*VLOOKUP('Données projet'!$B$14,Paramètres!$A$1:$I$89,3,0)*0.475*44/12</f>
        <v>6.5017558139247797E-2</v>
      </c>
      <c r="EC195" s="21">
        <f>EXP(-LN(2)/2)*EC194+(1-EXP(-LN(2)/2))/(LN(2)/2)*DW195*DZ195*VLOOKUP('Données projet'!$B$14,Paramètres!$A$1:$I$89,3,0)*0.475*44/12</f>
        <v>3.7482384664713614E-24</v>
      </c>
      <c r="ED195" s="22">
        <f t="shared" si="178"/>
        <v>0.10554769020333618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-5.1159076974727213E-13</v>
      </c>
      <c r="EK195" s="17">
        <f>EJ195*VLOOKUP('Données projet'!$B$15,Paramètres!$A$1:$I$89,3,0)*VLOOKUP('Données projet'!$B$15,Paramètres!$A$1:$I$89,5,0)</f>
        <v>-3.4317508834647017E-13</v>
      </c>
      <c r="EL195" s="13" t="e">
        <f t="shared" si="179"/>
        <v>#NUM!</v>
      </c>
      <c r="EM195" s="20" t="e">
        <f t="shared" si="180"/>
        <v>#NUM!</v>
      </c>
      <c r="EN195" s="59" t="e">
        <f t="shared" si="128"/>
        <v>#NUM!</v>
      </c>
      <c r="EO195" s="59">
        <f ca="1">AVERAGE(OFFSET($EN$3,0,0,'Données projet'!$E$15+1,1))-AVERAGE(OFFSET($H$3,0,0,'Données projet'!$E$15+1,1))</f>
        <v>207.93042467236967</v>
      </c>
      <c r="EP195" s="59">
        <f t="shared" si="154"/>
        <v>250.70954318710835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0.11121803990959163</v>
      </c>
      <c r="EW195" s="21">
        <f>EXP(-LN(2)/25)*EW194+(1-EXP(-LN(2)/25))/(LN(2)/25)*Calculateur!ER195*Calculateur!ET195*VLOOKUP('Données projet'!$B$15,Paramètres!$A$1:$I$89,3,0)*0.475*44/12</f>
        <v>0.19381744127147224</v>
      </c>
      <c r="EX195" s="21">
        <f>EXP(-LN(2)/2)*EX194+(1-EXP(-LN(2)/2))/(LN(2)/2)*ER195*EU195*VLOOKUP('Données projet'!$B$15,Paramètres!$A$1:$I$89,3,0)*0.475*44/12</f>
        <v>8.382733258532317E-24</v>
      </c>
      <c r="EY195" s="22">
        <f t="shared" si="181"/>
        <v>0.30503548118106388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-2.2737367544323206E-13</v>
      </c>
      <c r="O196" s="13">
        <f>N196*VLOOKUP('Données projet'!$B$9,Paramètres!$A$1:$I$89,3,0)*VLOOKUP('Données projet'!$B$9,Paramètres!$A$1:$I$89,5,0)</f>
        <v>-1.2710188457276673E-13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255.5374979188561</v>
      </c>
      <c r="T196" s="59">
        <f t="shared" si="142"/>
        <v>343.10418468620901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0.12246853598123346</v>
      </c>
      <c r="AA196" s="21">
        <f>EXP(-LN(2)/25)*AA195+(1-EXP(-LN(2)/25))/(LN(2)/25)*Calculateur!V196*Calculateur!X196*VLOOKUP('Données projet'!$B$9,Paramètres!$A$1:$I$89,3,0)*0.475*44/12</f>
        <v>0.1739099244941609</v>
      </c>
      <c r="AB196" s="21">
        <f>EXP(-LN(2)/2)*AB195+(1-EXP(-LN(2)/2))/(LN(2)/2)*V196*Y196*VLOOKUP('Données projet'!$B$9,Paramètres!$A$1:$I$89,3,0)*0.475*44/12</f>
        <v>4.9502034953352792E-25</v>
      </c>
      <c r="AC196" s="22">
        <f t="shared" si="163"/>
        <v>0.29637846047539435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1.5961632016114892E-13</v>
      </c>
      <c r="AK196" s="13">
        <f t="shared" si="164"/>
        <v>2.2708641912150958E-12</v>
      </c>
      <c r="AL196" s="20">
        <f t="shared" si="165"/>
        <v>4.2330868906469593E-12</v>
      </c>
      <c r="AM196" s="59">
        <f t="shared" ref="AM196:AM203" si="193">AL196+(AD196+AE196)*44/12</f>
        <v>293.33333333333752</v>
      </c>
      <c r="AN196" s="59">
        <f ca="1">AVERAGE(OFFSET($AM$3,0,0,'Données projet'!$E$10+1,1))-AVERAGE(OFFSET($H$3,0,0,'Données projet'!$E$10+1,1))</f>
        <v>158.58786357608489</v>
      </c>
      <c r="AO196" s="59">
        <f t="shared" si="144"/>
        <v>163.20074068819849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553.99999999999955</v>
      </c>
      <c r="BE196" s="13">
        <f>BD196*VLOOKUP('Données projet'!$B$11,Paramètres!$A$1:$I$89,3,0)*VLOOKUP('Données projet'!$B$11,Paramètres!$A$1:$I$89,5,0)</f>
        <v>331.29199999999975</v>
      </c>
      <c r="BF196" s="13">
        <f t="shared" si="167"/>
        <v>77.698110787752</v>
      </c>
      <c r="BG196" s="20">
        <f t="shared" si="168"/>
        <v>712.32444295533423</v>
      </c>
      <c r="BH196" s="59">
        <f t="shared" ref="BH196:BH203" si="194">BG196+(AY196+AZ196)*44/12</f>
        <v>1005.6577762886675</v>
      </c>
      <c r="BI196" s="59">
        <f ca="1">AVERAGE(OFFSET($BH$3,0,0,'Données projet'!$E$11+1,1))-AVERAGE(OFFSET($H$3,0,0,'Données projet'!$E$11+1,1))</f>
        <v>316.58509520829671</v>
      </c>
      <c r="BJ196" s="59">
        <f t="shared" si="146"/>
        <v>240.71332110643596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0.10045249055275685</v>
      </c>
      <c r="BQ196" s="21">
        <f>EXP(-LN(2)/25)*BQ195+(1-EXP(-LN(2)/25))/(LN(2)/25)*Calculateur!BL196*Calculateur!BN196*VLOOKUP('Données projet'!$B$11,Paramètres!$A$1:$I$89,3,0)*0.475*44/12</f>
        <v>0.16636596946759963</v>
      </c>
      <c r="BR196" s="21">
        <f>EXP(-LN(2)/2)*BR195+(1-EXP(-LN(2)/2))/(LN(2)/2)*BL196*BO196*VLOOKUP('Données projet'!$B$11,Paramètres!$A$1:$I$89,3,0)*0.475*44/12</f>
        <v>6.4162159530267899E-24</v>
      </c>
      <c r="BS196" s="22">
        <f t="shared" si="169"/>
        <v>0.26681846002035647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-5.1159076974727213E-13</v>
      </c>
      <c r="BZ196" s="13">
        <f>BY196*VLOOKUP('Données projet'!$B$12,Paramètres!$A$1:$I$89,3,0)*VLOOKUP('Données projet'!$B$12,Paramètres!$A$1:$I$89,5,0)</f>
        <v>-4.0702161641092972E-13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260.20517190557814</v>
      </c>
      <c r="CE196" s="59">
        <f t="shared" si="148"/>
        <v>307.22009971147133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0.12932309816620477</v>
      </c>
      <c r="CL196" s="21">
        <f>EXP(-LN(2)/25)*CL195+(1-EXP(-LN(2)/25))/(LN(2)/25)*Calculateur!CG196*Calculateur!CI196*VLOOKUP('Données projet'!$B$12,Paramètres!$A$1:$I$89,3,0)*0.475*44/12</f>
        <v>0.2235905151284151</v>
      </c>
      <c r="CM196" s="21">
        <f>EXP(-LN(2)/2)*CM195+(1-EXP(-LN(2)/2))/(LN(2)/2)*CG196*CJ196*VLOOKUP('Données projet'!$B$12,Paramètres!$A$1:$I$89,3,0)*0.475*44/12</f>
        <v>7.0302759100301513E-24</v>
      </c>
      <c r="CN196" s="22">
        <f t="shared" si="172"/>
        <v>0.3529136132946199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4.5474735088646412E-13</v>
      </c>
      <c r="CU196" s="17">
        <f>CT196*VLOOKUP('Données projet'!$B$13,Paramètres!$A$1:$I$89,3,0)*VLOOKUP('Données projet'!$B$13,Paramètres!$A$1:$I$89,5,0)</f>
        <v>4.6111381379887462E-13</v>
      </c>
      <c r="CV196" s="13">
        <f t="shared" si="173"/>
        <v>5.7981965206434308E-12</v>
      </c>
      <c r="CW196" s="20">
        <f t="shared" si="174"/>
        <v>1.0901632165820347E-11</v>
      </c>
      <c r="CX196" s="59">
        <f t="shared" ref="CX196:CX203" si="196">CW196+(CO196+CP196)*44/12</f>
        <v>293.33333333334423</v>
      </c>
      <c r="CY196" s="59">
        <f ca="1">AVERAGE(OFFSET($CX$3,0,0,'Données projet'!$E$13+1,1))-AVERAGE(OFFSET($H$3,0,0,'Données projet'!$E$13+1,1))</f>
        <v>263.15518481854753</v>
      </c>
      <c r="CZ196" s="59">
        <f t="shared" si="150"/>
        <v>210.80755370263819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0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275.99999999999972</v>
      </c>
      <c r="DP196" s="17">
        <f>DO196*VLOOKUP('Données projet'!$B$14,Paramètres!$A$1:$I$89,3,0)*VLOOKUP('Données projet'!$B$14,Paramètres!$A$1:$I$89,5,0)</f>
        <v>223.8911999999998</v>
      </c>
      <c r="DQ196" s="13">
        <f t="shared" si="176"/>
        <v>54.95975389514858</v>
      </c>
      <c r="DR196" s="20">
        <f t="shared" si="177"/>
        <v>485.66541136738346</v>
      </c>
      <c r="DS196" s="59">
        <f t="shared" ref="DS196:DS203" si="197">DR196+(DJ196+DK196)*44/12</f>
        <v>778.99874470071677</v>
      </c>
      <c r="DT196" s="59">
        <f ca="1">AVERAGE(OFFSET($DS$3,0,0,'Données projet'!$E$14+1,1))-AVERAGE(OFFSET($H$3,0,0,'Données projet'!$E$14+1,1))</f>
        <v>203.21935660591021</v>
      </c>
      <c r="DU196" s="59">
        <f t="shared" si="152"/>
        <v>180.54762778843178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3.9735360895251183E-2</v>
      </c>
      <c r="EB196" s="21">
        <f>EXP(-LN(2)/25)*EB195+(1-EXP(-LN(2)/25))/(LN(2)/25)*Calculateur!DW196*Calculateur!DY196*VLOOKUP('Données projet'!$B$14,Paramètres!$A$1:$I$89,3,0)*0.475*44/12</f>
        <v>6.3239649592805286E-2</v>
      </c>
      <c r="EC196" s="21">
        <f>EXP(-LN(2)/2)*EC195+(1-EXP(-LN(2)/2))/(LN(2)/2)*DW196*DZ196*VLOOKUP('Données projet'!$B$14,Paramètres!$A$1:$I$89,3,0)*0.475*44/12</f>
        <v>2.6504048371461654E-24</v>
      </c>
      <c r="ED196" s="22">
        <f t="shared" si="178"/>
        <v>0.10297501048805646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-5.1159076974727213E-13</v>
      </c>
      <c r="EK196" s="17">
        <f>EJ196*VLOOKUP('Données projet'!$B$15,Paramètres!$A$1:$I$89,3,0)*VLOOKUP('Données projet'!$B$15,Paramètres!$A$1:$I$89,5,0)</f>
        <v>-3.4317508834647017E-13</v>
      </c>
      <c r="EL196" s="13" t="e">
        <f t="shared" si="179"/>
        <v>#NUM!</v>
      </c>
      <c r="EM196" s="20" t="e">
        <f t="shared" si="180"/>
        <v>#NUM!</v>
      </c>
      <c r="EN196" s="59" t="e">
        <f t="shared" ref="EN196:EN203" si="198">EM196+(EE196+EF196)*44/12</f>
        <v>#NUM!</v>
      </c>
      <c r="EO196" s="59">
        <f ca="1">AVERAGE(OFFSET($EN$3,0,0,'Données projet'!$E$15+1,1))-AVERAGE(OFFSET($H$3,0,0,'Données projet'!$E$15+1,1))</f>
        <v>207.93042467236967</v>
      </c>
      <c r="EP196" s="59">
        <f t="shared" si="154"/>
        <v>250.70954318710835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0.1090371219832706</v>
      </c>
      <c r="EW196" s="21">
        <f>EXP(-LN(2)/25)*EW195+(1-EXP(-LN(2)/25))/(LN(2)/25)*Calculateur!ER196*Calculateur!ET196*VLOOKUP('Données projet'!$B$15,Paramètres!$A$1:$I$89,3,0)*0.475*44/12</f>
        <v>0.18851749314748756</v>
      </c>
      <c r="EX196" s="21">
        <f>EXP(-LN(2)/2)*EX195+(1-EXP(-LN(2)/2))/(LN(2)/2)*ER196*EU196*VLOOKUP('Données projet'!$B$15,Paramètres!$A$1:$I$89,3,0)*0.475*44/12</f>
        <v>5.9274875319862057E-24</v>
      </c>
      <c r="EY196" s="22">
        <f t="shared" si="181"/>
        <v>0.29755461513075815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-2.2737367544323206E-13</v>
      </c>
      <c r="O197" s="13">
        <f>N197*VLOOKUP('Données projet'!$B$9,Paramètres!$A$1:$I$89,3,0)*VLOOKUP('Données projet'!$B$9,Paramètres!$A$1:$I$89,5,0)</f>
        <v>-1.2710188457276673E-13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255.5374979188561</v>
      </c>
      <c r="T197" s="59">
        <f t="shared" ref="T197:T203" si="204">$T$3</f>
        <v>343.10418468620901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0.12006700268907256</v>
      </c>
      <c r="AA197" s="21">
        <f>EXP(-LN(2)/25)*AA196+(1-EXP(-LN(2)/25))/(LN(2)/25)*Calculateur!V197*Calculateur!X197*VLOOKUP('Données projet'!$B$9,Paramètres!$A$1:$I$89,3,0)*0.475*44/12</f>
        <v>0.16915434846334262</v>
      </c>
      <c r="AB197" s="21">
        <f>EXP(-LN(2)/2)*AB196+(1-EXP(-LN(2)/2))/(LN(2)/2)*V197*Y197*VLOOKUP('Données projet'!$B$9,Paramètres!$A$1:$I$89,3,0)*0.475*44/12</f>
        <v>3.500322459804926E-25</v>
      </c>
      <c r="AC197" s="22">
        <f t="shared" si="163"/>
        <v>0.28922135115241521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1.5961632016114892E-13</v>
      </c>
      <c r="AK197" s="13">
        <f t="shared" si="164"/>
        <v>2.2708641912150958E-12</v>
      </c>
      <c r="AL197" s="20">
        <f t="shared" si="165"/>
        <v>4.2330868906469593E-12</v>
      </c>
      <c r="AM197" s="59">
        <f t="shared" si="193"/>
        <v>293.33333333333752</v>
      </c>
      <c r="AN197" s="59">
        <f ca="1">AVERAGE(OFFSET($AM$3,0,0,'Données projet'!$E$10+1,1))-AVERAGE(OFFSET($H$3,0,0,'Données projet'!$E$10+1,1))</f>
        <v>158.58786357608489</v>
      </c>
      <c r="AO197" s="59">
        <f t="shared" ref="AO197:AO203" si="205">$AO$3</f>
        <v>163.20074068819849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553.99999999999955</v>
      </c>
      <c r="BE197" s="13">
        <f>BD197*VLOOKUP('Données projet'!$B$11,Paramètres!$A$1:$I$89,3,0)*VLOOKUP('Données projet'!$B$11,Paramètres!$A$1:$I$89,5,0)</f>
        <v>331.29199999999975</v>
      </c>
      <c r="BF197" s="13">
        <f t="shared" si="167"/>
        <v>77.698110787752</v>
      </c>
      <c r="BG197" s="20">
        <f t="shared" si="168"/>
        <v>712.32444295533423</v>
      </c>
      <c r="BH197" s="59">
        <f t="shared" si="194"/>
        <v>1005.6577762886675</v>
      </c>
      <c r="BI197" s="59">
        <f ca="1">AVERAGE(OFFSET($BH$3,0,0,'Données projet'!$E$11+1,1))-AVERAGE(OFFSET($H$3,0,0,'Données projet'!$E$11+1,1))</f>
        <v>316.58509520829671</v>
      </c>
      <c r="BJ197" s="59">
        <f t="shared" ref="BJ197:BJ203" si="206">$BJ$3</f>
        <v>240.71332110643596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9.8482678482986613E-2</v>
      </c>
      <c r="BQ197" s="21">
        <f>EXP(-LN(2)/25)*BQ196+(1-EXP(-LN(2)/25))/(LN(2)/25)*Calculateur!BL197*Calculateur!BN197*VLOOKUP('Données projet'!$B$11,Paramètres!$A$1:$I$89,3,0)*0.475*44/12</f>
        <v>0.16181668328370202</v>
      </c>
      <c r="BR197" s="21">
        <f>EXP(-LN(2)/2)*BR196+(1-EXP(-LN(2)/2))/(LN(2)/2)*BL197*BO197*VLOOKUP('Données projet'!$B$11,Paramètres!$A$1:$I$89,3,0)*0.475*44/12</f>
        <v>4.5369498099425498E-24</v>
      </c>
      <c r="BS197" s="22">
        <f t="shared" si="169"/>
        <v>0.26029936176668866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-5.1159076974727213E-13</v>
      </c>
      <c r="BZ197" s="13">
        <f>BY197*VLOOKUP('Données projet'!$B$12,Paramètres!$A$1:$I$89,3,0)*VLOOKUP('Données projet'!$B$12,Paramètres!$A$1:$I$89,5,0)</f>
        <v>-4.0702161641092972E-13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260.20517190557814</v>
      </c>
      <c r="CE197" s="59">
        <f t="shared" ref="CE197:CE203" si="207">$CE$3</f>
        <v>307.22009971147133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0.1267871510904667</v>
      </c>
      <c r="CL197" s="21">
        <f>EXP(-LN(2)/25)*CL196+(1-EXP(-LN(2)/25))/(LN(2)/25)*Calculateur!CG197*Calculateur!CI197*VLOOKUP('Données projet'!$B$12,Paramètres!$A$1:$I$89,3,0)*0.475*44/12</f>
        <v>0.21747642073411441</v>
      </c>
      <c r="CM197" s="21">
        <f>EXP(-LN(2)/2)*CM196+(1-EXP(-LN(2)/2))/(LN(2)/2)*CG197*CJ197*VLOOKUP('Données projet'!$B$12,Paramètres!$A$1:$I$89,3,0)*0.475*44/12</f>
        <v>4.9711557695947465E-24</v>
      </c>
      <c r="CN197" s="22">
        <f t="shared" si="172"/>
        <v>0.34426357182458112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4.5474735088646412E-13</v>
      </c>
      <c r="CU197" s="17">
        <f>CT197*VLOOKUP('Données projet'!$B$13,Paramètres!$A$1:$I$89,3,0)*VLOOKUP('Données projet'!$B$13,Paramètres!$A$1:$I$89,5,0)</f>
        <v>4.6111381379887462E-13</v>
      </c>
      <c r="CV197" s="13">
        <f t="shared" si="173"/>
        <v>5.7981965206434308E-12</v>
      </c>
      <c r="CW197" s="20">
        <f t="shared" si="174"/>
        <v>1.0901632165820347E-11</v>
      </c>
      <c r="CX197" s="59">
        <f t="shared" si="196"/>
        <v>293.33333333334423</v>
      </c>
      <c r="CY197" s="59">
        <f ca="1">AVERAGE(OFFSET($CX$3,0,0,'Données projet'!$E$13+1,1))-AVERAGE(OFFSET($H$3,0,0,'Données projet'!$E$13+1,1))</f>
        <v>263.15518481854753</v>
      </c>
      <c r="CZ197" s="59">
        <f t="shared" ref="CZ197:CZ203" si="208">$CZ$3</f>
        <v>210.80755370263819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0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275.99999999999972</v>
      </c>
      <c r="DP197" s="17">
        <f>DO197*VLOOKUP('Données projet'!$B$14,Paramètres!$A$1:$I$89,3,0)*VLOOKUP('Données projet'!$B$14,Paramètres!$A$1:$I$89,5,0)</f>
        <v>223.8911999999998</v>
      </c>
      <c r="DQ197" s="13">
        <f t="shared" si="176"/>
        <v>54.95975389514858</v>
      </c>
      <c r="DR197" s="20">
        <f t="shared" si="177"/>
        <v>485.66541136738346</v>
      </c>
      <c r="DS197" s="59">
        <f t="shared" si="197"/>
        <v>778.99874470071677</v>
      </c>
      <c r="DT197" s="59">
        <f ca="1">AVERAGE(OFFSET($DS$3,0,0,'Données projet'!$E$14+1,1))-AVERAGE(OFFSET($H$3,0,0,'Données projet'!$E$14+1,1))</f>
        <v>203.21935660591021</v>
      </c>
      <c r="DU197" s="59">
        <f t="shared" ref="DU197:DU203" si="209">$DU$3</f>
        <v>180.54762778843178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3.8956174704272331E-2</v>
      </c>
      <c r="EB197" s="21">
        <f>EXP(-LN(2)/25)*EB196+(1-EXP(-LN(2)/25))/(LN(2)/25)*Calculateur!DW197*Calculateur!DY197*VLOOKUP('Données projet'!$B$14,Paramètres!$A$1:$I$89,3,0)*0.475*44/12</f>
        <v>6.1510358049061388E-2</v>
      </c>
      <c r="EC197" s="21">
        <f>EXP(-LN(2)/2)*EC196+(1-EXP(-LN(2)/2))/(LN(2)/2)*DW197*DZ197*VLOOKUP('Données projet'!$B$14,Paramètres!$A$1:$I$89,3,0)*0.475*44/12</f>
        <v>1.8741192332356807E-24</v>
      </c>
      <c r="ED197" s="22">
        <f t="shared" si="178"/>
        <v>0.10046653275333373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-5.1159076974727213E-13</v>
      </c>
      <c r="EK197" s="17">
        <f>EJ197*VLOOKUP('Données projet'!$B$15,Paramètres!$A$1:$I$89,3,0)*VLOOKUP('Données projet'!$B$15,Paramètres!$A$1:$I$89,5,0)</f>
        <v>-3.4317508834647017E-13</v>
      </c>
      <c r="EL197" s="13" t="e">
        <f t="shared" si="179"/>
        <v>#NUM!</v>
      </c>
      <c r="EM197" s="20" t="e">
        <f t="shared" si="180"/>
        <v>#NUM!</v>
      </c>
      <c r="EN197" s="59" t="e">
        <f t="shared" si="198"/>
        <v>#NUM!</v>
      </c>
      <c r="EO197" s="59">
        <f ca="1">AVERAGE(OFFSET($EN$3,0,0,'Données projet'!$E$15+1,1))-AVERAGE(OFFSET($H$3,0,0,'Données projet'!$E$15+1,1))</f>
        <v>207.93042467236967</v>
      </c>
      <c r="EP197" s="59">
        <f t="shared" ref="EP197:EP203" si="210">$EP$3</f>
        <v>250.70954318710835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0.10689897052725615</v>
      </c>
      <c r="EW197" s="21">
        <f>EXP(-LN(2)/25)*EW196+(1-EXP(-LN(2)/25))/(LN(2)/25)*Calculateur!ER197*Calculateur!ET197*VLOOKUP('Données projet'!$B$15,Paramètres!$A$1:$I$89,3,0)*0.475*44/12</f>
        <v>0.1833624723836654</v>
      </c>
      <c r="EX197" s="21">
        <f>EXP(-LN(2)/2)*EX196+(1-EXP(-LN(2)/2))/(LN(2)/2)*ER197*EU197*VLOOKUP('Données projet'!$B$15,Paramètres!$A$1:$I$89,3,0)*0.475*44/12</f>
        <v>4.1913666292661585E-24</v>
      </c>
      <c r="EY197" s="22">
        <f t="shared" si="181"/>
        <v>0.29026144291092154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-2.2737367544323206E-13</v>
      </c>
      <c r="O198" s="13">
        <f>N198*VLOOKUP('Données projet'!$B$9,Paramètres!$A$1:$I$89,3,0)*VLOOKUP('Données projet'!$B$9,Paramètres!$A$1:$I$89,5,0)</f>
        <v>-1.2710188457276673E-13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255.5374979188561</v>
      </c>
      <c r="T198" s="59">
        <f t="shared" si="204"/>
        <v>343.10418468620901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0.11771256199998026</v>
      </c>
      <c r="AA198" s="21">
        <f>EXP(-LN(2)/25)*AA197+(1-EXP(-LN(2)/25))/(LN(2)/25)*Calculateur!V198*Calculateur!X198*VLOOKUP('Données projet'!$B$9,Paramètres!$A$1:$I$89,3,0)*0.475*44/12</f>
        <v>0.16452881390917193</v>
      </c>
      <c r="AB198" s="21">
        <f>EXP(-LN(2)/2)*AB197+(1-EXP(-LN(2)/2))/(LN(2)/2)*V198*Y198*VLOOKUP('Données projet'!$B$9,Paramètres!$A$1:$I$89,3,0)*0.475*44/12</f>
        <v>2.4751017476676396E-25</v>
      </c>
      <c r="AC198" s="22">
        <f t="shared" si="163"/>
        <v>0.28224137590915221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1.5961632016114892E-13</v>
      </c>
      <c r="AK198" s="13">
        <f t="shared" si="164"/>
        <v>2.2708641912150958E-12</v>
      </c>
      <c r="AL198" s="20">
        <f t="shared" si="165"/>
        <v>4.2330868906469593E-12</v>
      </c>
      <c r="AM198" s="59">
        <f t="shared" si="193"/>
        <v>293.33333333333752</v>
      </c>
      <c r="AN198" s="59">
        <f ca="1">AVERAGE(OFFSET($AM$3,0,0,'Données projet'!$E$10+1,1))-AVERAGE(OFFSET($H$3,0,0,'Données projet'!$E$10+1,1))</f>
        <v>158.58786357608489</v>
      </c>
      <c r="AO198" s="59">
        <f t="shared" si="205"/>
        <v>163.20074068819849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553.99999999999955</v>
      </c>
      <c r="BE198" s="13">
        <f>BD198*VLOOKUP('Données projet'!$B$11,Paramètres!$A$1:$I$89,3,0)*VLOOKUP('Données projet'!$B$11,Paramètres!$A$1:$I$89,5,0)</f>
        <v>331.29199999999975</v>
      </c>
      <c r="BF198" s="13">
        <f t="shared" si="167"/>
        <v>77.698110787752</v>
      </c>
      <c r="BG198" s="20">
        <f t="shared" si="168"/>
        <v>712.32444295533423</v>
      </c>
      <c r="BH198" s="59">
        <f t="shared" si="194"/>
        <v>1005.6577762886675</v>
      </c>
      <c r="BI198" s="59">
        <f ca="1">AVERAGE(OFFSET($BH$3,0,0,'Données projet'!$E$11+1,1))-AVERAGE(OFFSET($H$3,0,0,'Données projet'!$E$11+1,1))</f>
        <v>316.58509520829671</v>
      </c>
      <c r="BJ198" s="59">
        <f t="shared" si="206"/>
        <v>240.71332110643596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9.6551493226437843E-2</v>
      </c>
      <c r="BQ198" s="21">
        <f>EXP(-LN(2)/25)*BQ197+(1-EXP(-LN(2)/25))/(LN(2)/25)*Calculateur!BL198*Calculateur!BN198*VLOOKUP('Données projet'!$B$11,Paramètres!$A$1:$I$89,3,0)*0.475*44/12</f>
        <v>0.15739179756973964</v>
      </c>
      <c r="BR198" s="21">
        <f>EXP(-LN(2)/2)*BR197+(1-EXP(-LN(2)/2))/(LN(2)/2)*BL198*BO198*VLOOKUP('Données projet'!$B$11,Paramètres!$A$1:$I$89,3,0)*0.475*44/12</f>
        <v>3.208107976513395E-24</v>
      </c>
      <c r="BS198" s="22">
        <f t="shared" si="169"/>
        <v>0.2539432907961775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-5.1159076974727213E-13</v>
      </c>
      <c r="BZ198" s="13">
        <f>BY198*VLOOKUP('Données projet'!$B$12,Paramètres!$A$1:$I$89,3,0)*VLOOKUP('Données projet'!$B$12,Paramètres!$A$1:$I$89,5,0)</f>
        <v>-4.0702161641092972E-13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260.20517190557814</v>
      </c>
      <c r="CE198" s="59">
        <f t="shared" si="207"/>
        <v>307.22009971147133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0.12430093239010886</v>
      </c>
      <c r="CL198" s="21">
        <f>EXP(-LN(2)/25)*CL197+(1-EXP(-LN(2)/25))/(LN(2)/25)*Calculateur!CG198*Calculateur!CI198*VLOOKUP('Données projet'!$B$12,Paramètres!$A$1:$I$89,3,0)*0.475*44/12</f>
        <v>0.21152951657255215</v>
      </c>
      <c r="CM198" s="21">
        <f>EXP(-LN(2)/2)*CM197+(1-EXP(-LN(2)/2))/(LN(2)/2)*CG198*CJ198*VLOOKUP('Données projet'!$B$12,Paramètres!$A$1:$I$89,3,0)*0.475*44/12</f>
        <v>3.5151379550150756E-24</v>
      </c>
      <c r="CN198" s="22">
        <f t="shared" si="172"/>
        <v>0.33583044896266101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4.5474735088646412E-13</v>
      </c>
      <c r="CU198" s="17">
        <f>CT198*VLOOKUP('Données projet'!$B$13,Paramètres!$A$1:$I$89,3,0)*VLOOKUP('Données projet'!$B$13,Paramètres!$A$1:$I$89,5,0)</f>
        <v>4.6111381379887462E-13</v>
      </c>
      <c r="CV198" s="13">
        <f t="shared" si="173"/>
        <v>5.7981965206434308E-12</v>
      </c>
      <c r="CW198" s="20">
        <f t="shared" si="174"/>
        <v>1.0901632165820347E-11</v>
      </c>
      <c r="CX198" s="59">
        <f t="shared" si="196"/>
        <v>293.33333333334423</v>
      </c>
      <c r="CY198" s="59">
        <f ca="1">AVERAGE(OFFSET($CX$3,0,0,'Données projet'!$E$13+1,1))-AVERAGE(OFFSET($H$3,0,0,'Données projet'!$E$13+1,1))</f>
        <v>263.15518481854753</v>
      </c>
      <c r="CZ198" s="59">
        <f t="shared" si="208"/>
        <v>210.80755370263819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0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275.99999999999972</v>
      </c>
      <c r="DP198" s="17">
        <f>DO198*VLOOKUP('Données projet'!$B$14,Paramètres!$A$1:$I$89,3,0)*VLOOKUP('Données projet'!$B$14,Paramètres!$A$1:$I$89,5,0)</f>
        <v>223.8911999999998</v>
      </c>
      <c r="DQ198" s="13">
        <f t="shared" si="176"/>
        <v>54.95975389514858</v>
      </c>
      <c r="DR198" s="20">
        <f t="shared" si="177"/>
        <v>485.66541136738346</v>
      </c>
      <c r="DS198" s="59">
        <f t="shared" si="197"/>
        <v>778.99874470071677</v>
      </c>
      <c r="DT198" s="59">
        <f ca="1">AVERAGE(OFFSET($DS$3,0,0,'Données projet'!$E$14+1,1))-AVERAGE(OFFSET($H$3,0,0,'Données projet'!$E$14+1,1))</f>
        <v>203.21935660591021</v>
      </c>
      <c r="DU198" s="59">
        <f t="shared" si="209"/>
        <v>180.54762778843178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3.8192267879241924E-2</v>
      </c>
      <c r="EB198" s="21">
        <f>EXP(-LN(2)/25)*EB197+(1-EXP(-LN(2)/25))/(LN(2)/25)*Calculateur!DW198*Calculateur!DY198*VLOOKUP('Données projet'!$B$14,Paramètres!$A$1:$I$89,3,0)*0.475*44/12</f>
        <v>5.9828354073520655E-2</v>
      </c>
      <c r="EC198" s="21">
        <f>EXP(-LN(2)/2)*EC197+(1-EXP(-LN(2)/2))/(LN(2)/2)*DW198*DZ198*VLOOKUP('Données projet'!$B$14,Paramètres!$A$1:$I$89,3,0)*0.475*44/12</f>
        <v>1.3252024185730827E-24</v>
      </c>
      <c r="ED198" s="22">
        <f t="shared" si="178"/>
        <v>9.8020621952762579E-2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-5.1159076974727213E-13</v>
      </c>
      <c r="EK198" s="17">
        <f>EJ198*VLOOKUP('Données projet'!$B$15,Paramètres!$A$1:$I$89,3,0)*VLOOKUP('Données projet'!$B$15,Paramètres!$A$1:$I$89,5,0)</f>
        <v>-3.4317508834647017E-13</v>
      </c>
      <c r="EL198" s="13" t="e">
        <f t="shared" si="179"/>
        <v>#NUM!</v>
      </c>
      <c r="EM198" s="20" t="e">
        <f t="shared" si="180"/>
        <v>#NUM!</v>
      </c>
      <c r="EN198" s="59" t="e">
        <f t="shared" si="198"/>
        <v>#NUM!</v>
      </c>
      <c r="EO198" s="59">
        <f ca="1">AVERAGE(OFFSET($EN$3,0,0,'Données projet'!$E$15+1,1))-AVERAGE(OFFSET($H$3,0,0,'Données projet'!$E$15+1,1))</f>
        <v>207.93042467236967</v>
      </c>
      <c r="EP198" s="59">
        <f t="shared" si="210"/>
        <v>250.70954318710835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0.10480274691715052</v>
      </c>
      <c r="EW198" s="21">
        <f>EXP(-LN(2)/25)*EW197+(1-EXP(-LN(2)/25))/(LN(2)/25)*Calculateur!ER198*Calculateur!ET198*VLOOKUP('Données projet'!$B$15,Paramètres!$A$1:$I$89,3,0)*0.475*44/12</f>
        <v>0.17834841593372072</v>
      </c>
      <c r="EX198" s="21">
        <f>EXP(-LN(2)/2)*EX197+(1-EXP(-LN(2)/2))/(LN(2)/2)*ER198*EU198*VLOOKUP('Données projet'!$B$15,Paramètres!$A$1:$I$89,3,0)*0.475*44/12</f>
        <v>2.9637437659931028E-24</v>
      </c>
      <c r="EY198" s="22">
        <f t="shared" si="181"/>
        <v>0.28315116285087127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-2.2737367544323206E-13</v>
      </c>
      <c r="O199" s="13">
        <f>N199*VLOOKUP('Données projet'!$B$9,Paramètres!$A$1:$I$89,3,0)*VLOOKUP('Données projet'!$B$9,Paramètres!$A$1:$I$89,5,0)</f>
        <v>-1.2710188457276673E-13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255.5374979188561</v>
      </c>
      <c r="T199" s="59">
        <f t="shared" si="204"/>
        <v>343.10418468620901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0.11540429045673405</v>
      </c>
      <c r="AA199" s="21">
        <f>EXP(-LN(2)/25)*AA198+(1-EXP(-LN(2)/25))/(LN(2)/25)*Calculateur!V199*Calculateur!X199*VLOOKUP('Données projet'!$B$9,Paramètres!$A$1:$I$89,3,0)*0.475*44/12</f>
        <v>0.16002976484063133</v>
      </c>
      <c r="AB199" s="21">
        <f>EXP(-LN(2)/2)*AB198+(1-EXP(-LN(2)/2))/(LN(2)/2)*V199*Y199*VLOOKUP('Données projet'!$B$9,Paramètres!$A$1:$I$89,3,0)*0.475*44/12</f>
        <v>1.750161229902463E-25</v>
      </c>
      <c r="AC199" s="22">
        <f t="shared" si="163"/>
        <v>0.27543405529736537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1.5961632016114892E-13</v>
      </c>
      <c r="AK199" s="13">
        <f t="shared" si="164"/>
        <v>2.2708641912150958E-12</v>
      </c>
      <c r="AL199" s="20">
        <f t="shared" si="165"/>
        <v>4.2330868906469593E-12</v>
      </c>
      <c r="AM199" s="59">
        <f t="shared" si="193"/>
        <v>293.33333333333752</v>
      </c>
      <c r="AN199" s="59">
        <f ca="1">AVERAGE(OFFSET($AM$3,0,0,'Données projet'!$E$10+1,1))-AVERAGE(OFFSET($H$3,0,0,'Données projet'!$E$10+1,1))</f>
        <v>158.58786357608489</v>
      </c>
      <c r="AO199" s="59">
        <f t="shared" si="205"/>
        <v>163.20074068819849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553.99999999999955</v>
      </c>
      <c r="BE199" s="13">
        <f>BD199*VLOOKUP('Données projet'!$B$11,Paramètres!$A$1:$I$89,3,0)*VLOOKUP('Données projet'!$B$11,Paramètres!$A$1:$I$89,5,0)</f>
        <v>331.29199999999975</v>
      </c>
      <c r="BF199" s="13">
        <f t="shared" si="167"/>
        <v>77.698110787752</v>
      </c>
      <c r="BG199" s="20">
        <f t="shared" si="168"/>
        <v>712.32444295533423</v>
      </c>
      <c r="BH199" s="59">
        <f t="shared" si="194"/>
        <v>1005.6577762886675</v>
      </c>
      <c r="BI199" s="59">
        <f ca="1">AVERAGE(OFFSET($BH$3,0,0,'Données projet'!$E$11+1,1))-AVERAGE(OFFSET($H$3,0,0,'Données projet'!$E$11+1,1))</f>
        <v>316.58509520829671</v>
      </c>
      <c r="BJ199" s="59">
        <f t="shared" si="206"/>
        <v>240.71332110643596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9.46581773348633E-2</v>
      </c>
      <c r="BQ199" s="21">
        <f>EXP(-LN(2)/25)*BQ198+(1-EXP(-LN(2)/25))/(LN(2)/25)*Calculateur!BL199*Calculateur!BN199*VLOOKUP('Données projet'!$B$11,Paramètres!$A$1:$I$89,3,0)*0.475*44/12</f>
        <v>0.15308791058832019</v>
      </c>
      <c r="BR199" s="21">
        <f>EXP(-LN(2)/2)*BR198+(1-EXP(-LN(2)/2))/(LN(2)/2)*BL199*BO199*VLOOKUP('Données projet'!$B$11,Paramètres!$A$1:$I$89,3,0)*0.475*44/12</f>
        <v>2.2684749049712749E-24</v>
      </c>
      <c r="BS199" s="22">
        <f t="shared" si="169"/>
        <v>0.24774608792318348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-5.1159076974727213E-13</v>
      </c>
      <c r="BZ199" s="13">
        <f>BY199*VLOOKUP('Données projet'!$B$12,Paramètres!$A$1:$I$89,3,0)*VLOOKUP('Données projet'!$B$12,Paramètres!$A$1:$I$89,5,0)</f>
        <v>-4.0702161641092972E-13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260.20517190557814</v>
      </c>
      <c r="CE199" s="59">
        <f t="shared" si="207"/>
        <v>307.22009971147133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0.12186346692202137</v>
      </c>
      <c r="CL199" s="21">
        <f>EXP(-LN(2)/25)*CL198+(1-EXP(-LN(2)/25))/(LN(2)/25)*Calculateur!CG199*Calculateur!CI199*VLOOKUP('Données projet'!$B$12,Paramètres!$A$1:$I$89,3,0)*0.475*44/12</f>
        <v>0.2057452308180219</v>
      </c>
      <c r="CM199" s="21">
        <f>EXP(-LN(2)/2)*CM198+(1-EXP(-LN(2)/2))/(LN(2)/2)*CG199*CJ199*VLOOKUP('Données projet'!$B$12,Paramètres!$A$1:$I$89,3,0)*0.475*44/12</f>
        <v>2.4855778847973732E-24</v>
      </c>
      <c r="CN199" s="22">
        <f t="shared" si="172"/>
        <v>0.32760869774004325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4.5474735088646412E-13</v>
      </c>
      <c r="CU199" s="17">
        <f>CT199*VLOOKUP('Données projet'!$B$13,Paramètres!$A$1:$I$89,3,0)*VLOOKUP('Données projet'!$B$13,Paramètres!$A$1:$I$89,5,0)</f>
        <v>4.6111381379887462E-13</v>
      </c>
      <c r="CV199" s="13">
        <f t="shared" si="173"/>
        <v>5.7981965206434308E-12</v>
      </c>
      <c r="CW199" s="20">
        <f t="shared" si="174"/>
        <v>1.0901632165820347E-11</v>
      </c>
      <c r="CX199" s="59">
        <f t="shared" si="196"/>
        <v>293.33333333334423</v>
      </c>
      <c r="CY199" s="59">
        <f ca="1">AVERAGE(OFFSET($CX$3,0,0,'Données projet'!$E$13+1,1))-AVERAGE(OFFSET($H$3,0,0,'Données projet'!$E$13+1,1))</f>
        <v>263.15518481854753</v>
      </c>
      <c r="CZ199" s="59">
        <f t="shared" si="208"/>
        <v>210.80755370263819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0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275.99999999999972</v>
      </c>
      <c r="DP199" s="17">
        <f>DO199*VLOOKUP('Données projet'!$B$14,Paramètres!$A$1:$I$89,3,0)*VLOOKUP('Données projet'!$B$14,Paramètres!$A$1:$I$89,5,0)</f>
        <v>223.8911999999998</v>
      </c>
      <c r="DQ199" s="13">
        <f t="shared" si="176"/>
        <v>54.95975389514858</v>
      </c>
      <c r="DR199" s="20">
        <f t="shared" si="177"/>
        <v>485.66541136738346</v>
      </c>
      <c r="DS199" s="59">
        <f t="shared" si="197"/>
        <v>778.99874470071677</v>
      </c>
      <c r="DT199" s="59">
        <f ca="1">AVERAGE(OFFSET($DS$3,0,0,'Données projet'!$E$14+1,1))-AVERAGE(OFFSET($H$3,0,0,'Données projet'!$E$14+1,1))</f>
        <v>203.21935660591021</v>
      </c>
      <c r="DU199" s="59">
        <f t="shared" si="209"/>
        <v>180.54762778843178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3.7443340801113209E-2</v>
      </c>
      <c r="EB199" s="21">
        <f>EXP(-LN(2)/25)*EB198+(1-EXP(-LN(2)/25))/(LN(2)/25)*Calculateur!DW199*Calculateur!DY199*VLOOKUP('Données projet'!$B$14,Paramètres!$A$1:$I$89,3,0)*0.475*44/12</f>
        <v>5.8192344585143829E-2</v>
      </c>
      <c r="EC199" s="21">
        <f>EXP(-LN(2)/2)*EC198+(1-EXP(-LN(2)/2))/(LN(2)/2)*DW199*DZ199*VLOOKUP('Données projet'!$B$14,Paramètres!$A$1:$I$89,3,0)*0.475*44/12</f>
        <v>9.3705961661784035E-25</v>
      </c>
      <c r="ED199" s="22">
        <f t="shared" si="178"/>
        <v>9.5635685386257038E-2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-5.1159076974727213E-13</v>
      </c>
      <c r="EK199" s="17">
        <f>EJ199*VLOOKUP('Données projet'!$B$15,Paramètres!$A$1:$I$89,3,0)*VLOOKUP('Données projet'!$B$15,Paramètres!$A$1:$I$89,5,0)</f>
        <v>-3.4317508834647017E-13</v>
      </c>
      <c r="EL199" s="13" t="e">
        <f t="shared" si="179"/>
        <v>#NUM!</v>
      </c>
      <c r="EM199" s="20" t="e">
        <f t="shared" si="180"/>
        <v>#NUM!</v>
      </c>
      <c r="EN199" s="59" t="e">
        <f t="shared" si="198"/>
        <v>#NUM!</v>
      </c>
      <c r="EO199" s="59">
        <f ca="1">AVERAGE(OFFSET($EN$3,0,0,'Données projet'!$E$15+1,1))-AVERAGE(OFFSET($H$3,0,0,'Données projet'!$E$15+1,1))</f>
        <v>207.93042467236967</v>
      </c>
      <c r="EP199" s="59">
        <f t="shared" si="210"/>
        <v>250.70954318710835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0.10274762897346891</v>
      </c>
      <c r="EW199" s="21">
        <f>EXP(-LN(2)/25)*EW198+(1-EXP(-LN(2)/25))/(LN(2)/25)*Calculateur!ER199*Calculateur!ET199*VLOOKUP('Données projet'!$B$15,Paramètres!$A$1:$I$89,3,0)*0.475*44/12</f>
        <v>0.17347146912107755</v>
      </c>
      <c r="EX199" s="21">
        <f>EXP(-LN(2)/2)*EX198+(1-EXP(-LN(2)/2))/(LN(2)/2)*ER199*EU199*VLOOKUP('Données projet'!$B$15,Paramètres!$A$1:$I$89,3,0)*0.475*44/12</f>
        <v>2.0956833146330792E-24</v>
      </c>
      <c r="EY199" s="22">
        <f t="shared" si="181"/>
        <v>0.27621909809454648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-2.2737367544323206E-13</v>
      </c>
      <c r="O200" s="13">
        <f>N200*VLOOKUP('Données projet'!$B$9,Paramètres!$A$1:$I$89,3,0)*VLOOKUP('Données projet'!$B$9,Paramètres!$A$1:$I$89,5,0)</f>
        <v>-1.2710188457276673E-13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255.5374979188561</v>
      </c>
      <c r="T200" s="59">
        <f t="shared" si="204"/>
        <v>343.10418468620901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0.11314128271054427</v>
      </c>
      <c r="AA200" s="21">
        <f>EXP(-LN(2)/25)*AA199+(1-EXP(-LN(2)/25))/(LN(2)/25)*Calculateur!V200*Calculateur!X200*VLOOKUP('Données projet'!$B$9,Paramètres!$A$1:$I$89,3,0)*0.475*44/12</f>
        <v>0.15565374250546468</v>
      </c>
      <c r="AB200" s="21">
        <f>EXP(-LN(2)/2)*AB199+(1-EXP(-LN(2)/2))/(LN(2)/2)*V200*Y200*VLOOKUP('Données projet'!$B$9,Paramètres!$A$1:$I$89,3,0)*0.475*44/12</f>
        <v>1.2375508738338198E-25</v>
      </c>
      <c r="AC200" s="22">
        <f t="shared" si="163"/>
        <v>0.26879502521600895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1.5961632016114892E-13</v>
      </c>
      <c r="AK200" s="13">
        <f t="shared" si="164"/>
        <v>2.2708641912150958E-12</v>
      </c>
      <c r="AL200" s="20">
        <f t="shared" si="165"/>
        <v>4.2330868906469593E-12</v>
      </c>
      <c r="AM200" s="59">
        <f t="shared" si="193"/>
        <v>293.33333333333752</v>
      </c>
      <c r="AN200" s="59">
        <f ca="1">AVERAGE(OFFSET($AM$3,0,0,'Données projet'!$E$10+1,1))-AVERAGE(OFFSET($H$3,0,0,'Données projet'!$E$10+1,1))</f>
        <v>158.58786357608489</v>
      </c>
      <c r="AO200" s="59">
        <f t="shared" si="205"/>
        <v>163.20074068819849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553.99999999999955</v>
      </c>
      <c r="BE200" s="13">
        <f>BD200*VLOOKUP('Données projet'!$B$11,Paramètres!$A$1:$I$89,3,0)*VLOOKUP('Données projet'!$B$11,Paramètres!$A$1:$I$89,5,0)</f>
        <v>331.29199999999975</v>
      </c>
      <c r="BF200" s="13">
        <f t="shared" si="167"/>
        <v>77.698110787752</v>
      </c>
      <c r="BG200" s="20">
        <f t="shared" si="168"/>
        <v>712.32444295533423</v>
      </c>
      <c r="BH200" s="59">
        <f t="shared" si="194"/>
        <v>1005.6577762886675</v>
      </c>
      <c r="BI200" s="59">
        <f ca="1">AVERAGE(OFFSET($BH$3,0,0,'Données projet'!$E$11+1,1))-AVERAGE(OFFSET($H$3,0,0,'Données projet'!$E$11+1,1))</f>
        <v>316.58509520829671</v>
      </c>
      <c r="BJ200" s="59">
        <f t="shared" si="206"/>
        <v>240.71332110643596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9.2801988213113876E-2</v>
      </c>
      <c r="BQ200" s="21">
        <f>EXP(-LN(2)/25)*BQ199+(1-EXP(-LN(2)/25))/(LN(2)/25)*Calculateur!BL200*Calculateur!BN200*VLOOKUP('Données projet'!$B$11,Paramètres!$A$1:$I$89,3,0)*0.475*44/12</f>
        <v>0.14890171362273924</v>
      </c>
      <c r="BR200" s="21">
        <f>EXP(-LN(2)/2)*BR199+(1-EXP(-LN(2)/2))/(LN(2)/2)*BL200*BO200*VLOOKUP('Données projet'!$B$11,Paramètres!$A$1:$I$89,3,0)*0.475*44/12</f>
        <v>1.6040539882566975E-24</v>
      </c>
      <c r="BS200" s="22">
        <f t="shared" si="169"/>
        <v>0.2417037018358531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-5.1159076974727213E-13</v>
      </c>
      <c r="BZ200" s="13">
        <f>BY200*VLOOKUP('Données projet'!$B$12,Paramètres!$A$1:$I$89,3,0)*VLOOKUP('Données projet'!$B$12,Paramètres!$A$1:$I$89,5,0)</f>
        <v>-4.0702161641092972E-13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260.20517190557814</v>
      </c>
      <c r="CE200" s="59">
        <f t="shared" si="207"/>
        <v>307.22009971147133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0.11947379866505593</v>
      </c>
      <c r="CL200" s="21">
        <f>EXP(-LN(2)/25)*CL199+(1-EXP(-LN(2)/25))/(LN(2)/25)*Calculateur!CG200*Calculateur!CI200*VLOOKUP('Données projet'!$B$12,Paramètres!$A$1:$I$89,3,0)*0.475*44/12</f>
        <v>0.20011911666163165</v>
      </c>
      <c r="CM200" s="21">
        <f>EXP(-LN(2)/2)*CM199+(1-EXP(-LN(2)/2))/(LN(2)/2)*CG200*CJ200*VLOOKUP('Données projet'!$B$12,Paramètres!$A$1:$I$89,3,0)*0.475*44/12</f>
        <v>1.7575689775075378E-24</v>
      </c>
      <c r="CN200" s="22">
        <f t="shared" si="172"/>
        <v>0.3195929153266876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4.5474735088646412E-13</v>
      </c>
      <c r="CU200" s="17">
        <f>CT200*VLOOKUP('Données projet'!$B$13,Paramètres!$A$1:$I$89,3,0)*VLOOKUP('Données projet'!$B$13,Paramètres!$A$1:$I$89,5,0)</f>
        <v>4.6111381379887462E-13</v>
      </c>
      <c r="CV200" s="13">
        <f t="shared" si="173"/>
        <v>5.7981965206434308E-12</v>
      </c>
      <c r="CW200" s="20">
        <f t="shared" si="174"/>
        <v>1.0901632165820347E-11</v>
      </c>
      <c r="CX200" s="59">
        <f t="shared" si="196"/>
        <v>293.33333333334423</v>
      </c>
      <c r="CY200" s="59">
        <f ca="1">AVERAGE(OFFSET($CX$3,0,0,'Données projet'!$E$13+1,1))-AVERAGE(OFFSET($H$3,0,0,'Données projet'!$E$13+1,1))</f>
        <v>263.15518481854753</v>
      </c>
      <c r="CZ200" s="59">
        <f t="shared" si="208"/>
        <v>210.80755370263819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0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275.99999999999972</v>
      </c>
      <c r="DP200" s="17">
        <f>DO200*VLOOKUP('Données projet'!$B$14,Paramètres!$A$1:$I$89,3,0)*VLOOKUP('Données projet'!$B$14,Paramètres!$A$1:$I$89,5,0)</f>
        <v>223.8911999999998</v>
      </c>
      <c r="DQ200" s="13">
        <f t="shared" si="176"/>
        <v>54.95975389514858</v>
      </c>
      <c r="DR200" s="20">
        <f t="shared" si="177"/>
        <v>485.66541136738346</v>
      </c>
      <c r="DS200" s="59">
        <f t="shared" si="197"/>
        <v>778.99874470071677</v>
      </c>
      <c r="DT200" s="59">
        <f ca="1">AVERAGE(OFFSET($DS$3,0,0,'Données projet'!$E$14+1,1))-AVERAGE(OFFSET($H$3,0,0,'Données projet'!$E$14+1,1))</f>
        <v>203.21935660591021</v>
      </c>
      <c r="DU200" s="59">
        <f t="shared" si="209"/>
        <v>180.54762778843178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3.6709099726186183E-2</v>
      </c>
      <c r="EB200" s="21">
        <f>EXP(-LN(2)/25)*EB199+(1-EXP(-LN(2)/25))/(LN(2)/25)*Calculateur!DW200*Calculateur!DY200*VLOOKUP('Données projet'!$B$14,Paramètres!$A$1:$I$89,3,0)*0.475*44/12</f>
        <v>5.6601071862260668E-2</v>
      </c>
      <c r="EC200" s="21">
        <f>EXP(-LN(2)/2)*EC199+(1-EXP(-LN(2)/2))/(LN(2)/2)*DW200*DZ200*VLOOKUP('Données projet'!$B$14,Paramètres!$A$1:$I$89,3,0)*0.475*44/12</f>
        <v>6.6260120928654136E-25</v>
      </c>
      <c r="ED200" s="22">
        <f t="shared" si="178"/>
        <v>9.3310171588446844E-2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-5.1159076974727213E-13</v>
      </c>
      <c r="EK200" s="17">
        <f>EJ200*VLOOKUP('Données projet'!$B$15,Paramètres!$A$1:$I$89,3,0)*VLOOKUP('Données projet'!$B$15,Paramètres!$A$1:$I$89,5,0)</f>
        <v>-3.4317508834647017E-13</v>
      </c>
      <c r="EL200" s="13" t="e">
        <f t="shared" si="179"/>
        <v>#NUM!</v>
      </c>
      <c r="EM200" s="20" t="e">
        <f t="shared" si="180"/>
        <v>#NUM!</v>
      </c>
      <c r="EN200" s="59" t="e">
        <f t="shared" si="198"/>
        <v>#NUM!</v>
      </c>
      <c r="EO200" s="59">
        <f ca="1">AVERAGE(OFFSET($EN$3,0,0,'Données projet'!$E$15+1,1))-AVERAGE(OFFSET($H$3,0,0,'Données projet'!$E$15+1,1))</f>
        <v>207.93042467236967</v>
      </c>
      <c r="EP200" s="59">
        <f t="shared" si="210"/>
        <v>250.70954318710835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0.10073281063916473</v>
      </c>
      <c r="EW200" s="21">
        <f>EXP(-LN(2)/25)*EW199+(1-EXP(-LN(2)/25))/(LN(2)/25)*Calculateur!ER200*Calculateur!ET200*VLOOKUP('Données projet'!$B$15,Paramètres!$A$1:$I$89,3,0)*0.475*44/12</f>
        <v>0.1687278826754936</v>
      </c>
      <c r="EX200" s="21">
        <f>EXP(-LN(2)/2)*EX199+(1-EXP(-LN(2)/2))/(LN(2)/2)*ER200*EU200*VLOOKUP('Données projet'!$B$15,Paramètres!$A$1:$I$89,3,0)*0.475*44/12</f>
        <v>1.4818718829965514E-24</v>
      </c>
      <c r="EY200" s="22">
        <f t="shared" si="181"/>
        <v>0.26946069331465833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-2.2737367544323206E-13</v>
      </c>
      <c r="O201" s="13">
        <f>N201*VLOOKUP('Données projet'!$B$9,Paramètres!$A$1:$I$89,3,0)*VLOOKUP('Données projet'!$B$9,Paramètres!$A$1:$I$89,5,0)</f>
        <v>-1.2710188457276673E-13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255.5374979188561</v>
      </c>
      <c r="T201" s="59">
        <f t="shared" si="204"/>
        <v>343.10418468620901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0.11092265116595884</v>
      </c>
      <c r="AA201" s="21">
        <f>EXP(-LN(2)/25)*AA200+(1-EXP(-LN(2)/25))/(LN(2)/25)*Calculateur!V201*Calculateur!X201*VLOOKUP('Données projet'!$B$9,Paramètres!$A$1:$I$89,3,0)*0.475*44/12</f>
        <v>0.15139738273117817</v>
      </c>
      <c r="AB201" s="21">
        <f>EXP(-LN(2)/2)*AB200+(1-EXP(-LN(2)/2))/(LN(2)/2)*V201*Y201*VLOOKUP('Données projet'!$B$9,Paramètres!$A$1:$I$89,3,0)*0.475*44/12</f>
        <v>8.7508061495123151E-26</v>
      </c>
      <c r="AC201" s="22">
        <f t="shared" si="163"/>
        <v>0.26232003389713698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1.5961632016114892E-13</v>
      </c>
      <c r="AK201" s="13">
        <f t="shared" si="164"/>
        <v>2.2708641912150958E-12</v>
      </c>
      <c r="AL201" s="20">
        <f t="shared" si="165"/>
        <v>4.2330868906469593E-12</v>
      </c>
      <c r="AM201" s="59">
        <f t="shared" si="193"/>
        <v>293.33333333333752</v>
      </c>
      <c r="AN201" s="59">
        <f ca="1">AVERAGE(OFFSET($AM$3,0,0,'Données projet'!$E$10+1,1))-AVERAGE(OFFSET($H$3,0,0,'Données projet'!$E$10+1,1))</f>
        <v>158.58786357608489</v>
      </c>
      <c r="AO201" s="59">
        <f t="shared" si="205"/>
        <v>163.20074068819849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553.99999999999955</v>
      </c>
      <c r="BE201" s="13">
        <f>BD201*VLOOKUP('Données projet'!$B$11,Paramètres!$A$1:$I$89,3,0)*VLOOKUP('Données projet'!$B$11,Paramètres!$A$1:$I$89,5,0)</f>
        <v>331.29199999999975</v>
      </c>
      <c r="BF201" s="13">
        <f t="shared" si="167"/>
        <v>77.698110787752</v>
      </c>
      <c r="BG201" s="20">
        <f t="shared" si="168"/>
        <v>712.32444295533423</v>
      </c>
      <c r="BH201" s="59">
        <f t="shared" si="194"/>
        <v>1005.6577762886675</v>
      </c>
      <c r="BI201" s="59">
        <f ca="1">AVERAGE(OFFSET($BH$3,0,0,'Données projet'!$E$11+1,1))-AVERAGE(OFFSET($H$3,0,0,'Données projet'!$E$11+1,1))</f>
        <v>316.58509520829671</v>
      </c>
      <c r="BJ201" s="59">
        <f t="shared" si="206"/>
        <v>240.71332110643596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9.0982197827878378E-2</v>
      </c>
      <c r="BQ201" s="21">
        <f>EXP(-LN(2)/25)*BQ200+(1-EXP(-LN(2)/25))/(LN(2)/25)*Calculateur!BL201*Calculateur!BN201*VLOOKUP('Données projet'!$B$11,Paramètres!$A$1:$I$89,3,0)*0.475*44/12</f>
        <v>0.14482998843332465</v>
      </c>
      <c r="BR201" s="21">
        <f>EXP(-LN(2)/2)*BR200+(1-EXP(-LN(2)/2))/(LN(2)/2)*BL201*BO201*VLOOKUP('Données projet'!$B$11,Paramètres!$A$1:$I$89,3,0)*0.475*44/12</f>
        <v>1.1342374524856374E-24</v>
      </c>
      <c r="BS201" s="22">
        <f t="shared" si="169"/>
        <v>0.23581218626120304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-5.1159076974727213E-13</v>
      </c>
      <c r="BZ201" s="13">
        <f>BY201*VLOOKUP('Données projet'!$B$12,Paramètres!$A$1:$I$89,3,0)*VLOOKUP('Données projet'!$B$12,Paramètres!$A$1:$I$89,5,0)</f>
        <v>-4.0702161641092972E-13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260.20517190557814</v>
      </c>
      <c r="CE201" s="59">
        <f t="shared" si="207"/>
        <v>307.22009971147133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0.11713099034505588</v>
      </c>
      <c r="CL201" s="21">
        <f>EXP(-LN(2)/25)*CL200+(1-EXP(-LN(2)/25))/(LN(2)/25)*Calculateur!CG201*Calculateur!CI201*VLOOKUP('Données projet'!$B$12,Paramètres!$A$1:$I$89,3,0)*0.475*44/12</f>
        <v>0.19464684889271236</v>
      </c>
      <c r="CM201" s="21">
        <f>EXP(-LN(2)/2)*CM200+(1-EXP(-LN(2)/2))/(LN(2)/2)*CG201*CJ201*VLOOKUP('Données projet'!$B$12,Paramètres!$A$1:$I$89,3,0)*0.475*44/12</f>
        <v>1.2427889423986866E-24</v>
      </c>
      <c r="CN201" s="22">
        <f t="shared" si="172"/>
        <v>0.31177783923776825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4.5474735088646412E-13</v>
      </c>
      <c r="CU201" s="17">
        <f>CT201*VLOOKUP('Données projet'!$B$13,Paramètres!$A$1:$I$89,3,0)*VLOOKUP('Données projet'!$B$13,Paramètres!$A$1:$I$89,5,0)</f>
        <v>4.6111381379887462E-13</v>
      </c>
      <c r="CV201" s="13">
        <f t="shared" si="173"/>
        <v>5.7981965206434308E-12</v>
      </c>
      <c r="CW201" s="20">
        <f t="shared" si="174"/>
        <v>1.0901632165820347E-11</v>
      </c>
      <c r="CX201" s="59">
        <f t="shared" si="196"/>
        <v>293.33333333334423</v>
      </c>
      <c r="CY201" s="59">
        <f ca="1">AVERAGE(OFFSET($CX$3,0,0,'Données projet'!$E$13+1,1))-AVERAGE(OFFSET($H$3,0,0,'Données projet'!$E$13+1,1))</f>
        <v>263.15518481854753</v>
      </c>
      <c r="CZ201" s="59">
        <f t="shared" si="208"/>
        <v>210.80755370263819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0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275.99999999999972</v>
      </c>
      <c r="DP201" s="17">
        <f>DO201*VLOOKUP('Données projet'!$B$14,Paramètres!$A$1:$I$89,3,0)*VLOOKUP('Données projet'!$B$14,Paramètres!$A$1:$I$89,5,0)</f>
        <v>223.8911999999998</v>
      </c>
      <c r="DQ201" s="13">
        <f t="shared" si="176"/>
        <v>54.95975389514858</v>
      </c>
      <c r="DR201" s="20">
        <f t="shared" si="177"/>
        <v>485.66541136738346</v>
      </c>
      <c r="DS201" s="59">
        <f t="shared" si="197"/>
        <v>778.99874470071677</v>
      </c>
      <c r="DT201" s="59">
        <f ca="1">AVERAGE(OFFSET($DS$3,0,0,'Données projet'!$E$14+1,1))-AVERAGE(OFFSET($H$3,0,0,'Données projet'!$E$14+1,1))</f>
        <v>203.21935660591021</v>
      </c>
      <c r="DU201" s="59">
        <f t="shared" si="209"/>
        <v>180.54762778843178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3.5989256670895642E-2</v>
      </c>
      <c r="EB201" s="21">
        <f>EXP(-LN(2)/25)*EB200+(1-EXP(-LN(2)/25))/(LN(2)/25)*Calculateur!DW201*Calculateur!DY201*VLOOKUP('Données projet'!$B$14,Paramètres!$A$1:$I$89,3,0)*0.475*44/12</f>
        <v>5.5053312575666147E-2</v>
      </c>
      <c r="EC201" s="21">
        <f>EXP(-LN(2)/2)*EC200+(1-EXP(-LN(2)/2))/(LN(2)/2)*DW201*DZ201*VLOOKUP('Données projet'!$B$14,Paramètres!$A$1:$I$89,3,0)*0.475*44/12</f>
        <v>4.6852980830892017E-25</v>
      </c>
      <c r="ED201" s="22">
        <f t="shared" si="178"/>
        <v>9.1042569246561789E-2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-5.1159076974727213E-13</v>
      </c>
      <c r="EK201" s="17">
        <f>EJ201*VLOOKUP('Données projet'!$B$15,Paramètres!$A$1:$I$89,3,0)*VLOOKUP('Données projet'!$B$15,Paramètres!$A$1:$I$89,5,0)</f>
        <v>-3.4317508834647017E-13</v>
      </c>
      <c r="EL201" s="13" t="e">
        <f t="shared" si="179"/>
        <v>#NUM!</v>
      </c>
      <c r="EM201" s="20" t="e">
        <f t="shared" si="180"/>
        <v>#NUM!</v>
      </c>
      <c r="EN201" s="59" t="e">
        <f t="shared" si="198"/>
        <v>#NUM!</v>
      </c>
      <c r="EO201" s="59">
        <f ca="1">AVERAGE(OFFSET($EN$3,0,0,'Données projet'!$E$15+1,1))-AVERAGE(OFFSET($H$3,0,0,'Données projet'!$E$15+1,1))</f>
        <v>207.93042467236967</v>
      </c>
      <c r="EP201" s="59">
        <f t="shared" si="210"/>
        <v>250.70954318710835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9.8757501663478409E-2</v>
      </c>
      <c r="EW201" s="21">
        <f>EXP(-LN(2)/25)*EW200+(1-EXP(-LN(2)/25))/(LN(2)/25)*Calculateur!ER201*Calculateur!ET201*VLOOKUP('Données projet'!$B$15,Paramètres!$A$1:$I$89,3,0)*0.475*44/12</f>
        <v>0.1641140098507185</v>
      </c>
      <c r="EX201" s="21">
        <f>EXP(-LN(2)/2)*EX200+(1-EXP(-LN(2)/2))/(LN(2)/2)*ER201*EU201*VLOOKUP('Données projet'!$B$15,Paramètres!$A$1:$I$89,3,0)*0.475*44/12</f>
        <v>1.0478416573165396E-24</v>
      </c>
      <c r="EY201" s="22">
        <f t="shared" si="181"/>
        <v>0.26287151151419691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-2.2737367544323206E-13</v>
      </c>
      <c r="O202" s="13">
        <f>N202*VLOOKUP('Données projet'!$B$9,Paramètres!$A$1:$I$89,3,0)*VLOOKUP('Données projet'!$B$9,Paramètres!$A$1:$I$89,5,0)</f>
        <v>-1.2710188457276673E-13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255.5374979188561</v>
      </c>
      <c r="T202" s="59">
        <f t="shared" si="204"/>
        <v>343.10418468620901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0.10874752563273112</v>
      </c>
      <c r="AA202" s="21">
        <f>EXP(-LN(2)/25)*AA201+(1-EXP(-LN(2)/25))/(LN(2)/25)*Calculateur!V202*Calculateur!X202*VLOOKUP('Données projet'!$B$9,Paramètres!$A$1:$I$89,3,0)*0.475*44/12</f>
        <v>0.14725741333875178</v>
      </c>
      <c r="AB202" s="21">
        <f>EXP(-LN(2)/2)*AB201+(1-EXP(-LN(2)/2))/(LN(2)/2)*V202*Y202*VLOOKUP('Données projet'!$B$9,Paramètres!$A$1:$I$89,3,0)*0.475*44/12</f>
        <v>6.187754369169099E-26</v>
      </c>
      <c r="AC202" s="22">
        <f t="shared" si="163"/>
        <v>0.25600493897148291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1.5961632016114892E-13</v>
      </c>
      <c r="AK202" s="13">
        <f t="shared" si="164"/>
        <v>2.2708641912150958E-12</v>
      </c>
      <c r="AL202" s="20">
        <f t="shared" si="165"/>
        <v>4.2330868906469593E-12</v>
      </c>
      <c r="AM202" s="59">
        <f t="shared" si="193"/>
        <v>293.33333333333752</v>
      </c>
      <c r="AN202" s="59">
        <f ca="1">AVERAGE(OFFSET($AM$3,0,0,'Données projet'!$E$10+1,1))-AVERAGE(OFFSET($H$3,0,0,'Données projet'!$E$10+1,1))</f>
        <v>158.58786357608489</v>
      </c>
      <c r="AO202" s="59">
        <f t="shared" si="205"/>
        <v>163.20074068819849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553.99999999999955</v>
      </c>
      <c r="BE202" s="13">
        <f>BD202*VLOOKUP('Données projet'!$B$11,Paramètres!$A$1:$I$89,3,0)*VLOOKUP('Données projet'!$B$11,Paramètres!$A$1:$I$89,5,0)</f>
        <v>331.29199999999975</v>
      </c>
      <c r="BF202" s="13">
        <f t="shared" si="167"/>
        <v>77.698110787752</v>
      </c>
      <c r="BG202" s="20">
        <f t="shared" si="168"/>
        <v>712.32444295533423</v>
      </c>
      <c r="BH202" s="59">
        <f t="shared" si="194"/>
        <v>1005.6577762886675</v>
      </c>
      <c r="BI202" s="59">
        <f ca="1">AVERAGE(OFFSET($BH$3,0,0,'Données projet'!$E$11+1,1))-AVERAGE(OFFSET($H$3,0,0,'Données projet'!$E$11+1,1))</f>
        <v>316.58509520829671</v>
      </c>
      <c r="BJ202" s="59">
        <f t="shared" si="206"/>
        <v>240.71332110643596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8.919809242213482E-2</v>
      </c>
      <c r="BQ202" s="21">
        <f>EXP(-LN(2)/25)*BQ201+(1-EXP(-LN(2)/25))/(LN(2)/25)*Calculateur!BL202*Calculateur!BN202*VLOOKUP('Données projet'!$B$11,Paramètres!$A$1:$I$89,3,0)*0.475*44/12</f>
        <v>0.14086960478333729</v>
      </c>
      <c r="BR202" s="21">
        <f>EXP(-LN(2)/2)*BR201+(1-EXP(-LN(2)/2))/(LN(2)/2)*BL202*BO202*VLOOKUP('Données projet'!$B$11,Paramètres!$A$1:$I$89,3,0)*0.475*44/12</f>
        <v>8.0202699412834874E-25</v>
      </c>
      <c r="BS202" s="22">
        <f t="shared" si="169"/>
        <v>0.2300676972054721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-5.1159076974727213E-13</v>
      </c>
      <c r="BZ202" s="13">
        <f>BY202*VLOOKUP('Données projet'!$B$12,Paramètres!$A$1:$I$89,3,0)*VLOOKUP('Données projet'!$B$12,Paramètres!$A$1:$I$89,5,0)</f>
        <v>-4.0702161641092972E-13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260.20517190557814</v>
      </c>
      <c r="CE202" s="59">
        <f t="shared" si="207"/>
        <v>307.22009971147133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0.11483412306723904</v>
      </c>
      <c r="CL202" s="21">
        <f>EXP(-LN(2)/25)*CL201+(1-EXP(-LN(2)/25))/(LN(2)/25)*Calculateur!CG202*Calculateur!CI202*VLOOKUP('Données projet'!$B$12,Paramètres!$A$1:$I$89,3,0)*0.475*44/12</f>
        <v>0.18932422057370824</v>
      </c>
      <c r="CM202" s="21">
        <f>EXP(-LN(2)/2)*CM201+(1-EXP(-LN(2)/2))/(LN(2)/2)*CG202*CJ202*VLOOKUP('Données projet'!$B$12,Paramètres!$A$1:$I$89,3,0)*0.475*44/12</f>
        <v>8.7878448875376891E-25</v>
      </c>
      <c r="CN202" s="22">
        <f t="shared" si="172"/>
        <v>0.30415834364094729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4.5474735088646412E-13</v>
      </c>
      <c r="CU202" s="17">
        <f>CT202*VLOOKUP('Données projet'!$B$13,Paramètres!$A$1:$I$89,3,0)*VLOOKUP('Données projet'!$B$13,Paramètres!$A$1:$I$89,5,0)</f>
        <v>4.6111381379887462E-13</v>
      </c>
      <c r="CV202" s="13">
        <f t="shared" si="173"/>
        <v>5.7981965206434308E-12</v>
      </c>
      <c r="CW202" s="20">
        <f t="shared" si="174"/>
        <v>1.0901632165820347E-11</v>
      </c>
      <c r="CX202" s="59">
        <f t="shared" si="196"/>
        <v>293.33333333334423</v>
      </c>
      <c r="CY202" s="59">
        <f ca="1">AVERAGE(OFFSET($CX$3,0,0,'Données projet'!$E$13+1,1))-AVERAGE(OFFSET($H$3,0,0,'Données projet'!$E$13+1,1))</f>
        <v>263.15518481854753</v>
      </c>
      <c r="CZ202" s="59">
        <f t="shared" si="208"/>
        <v>210.80755370263819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0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275.99999999999972</v>
      </c>
      <c r="DP202" s="17">
        <f>DO202*VLOOKUP('Données projet'!$B$14,Paramètres!$A$1:$I$89,3,0)*VLOOKUP('Données projet'!$B$14,Paramètres!$A$1:$I$89,5,0)</f>
        <v>223.8911999999998</v>
      </c>
      <c r="DQ202" s="13">
        <f t="shared" si="176"/>
        <v>54.95975389514858</v>
      </c>
      <c r="DR202" s="20">
        <f t="shared" si="177"/>
        <v>485.66541136738346</v>
      </c>
      <c r="DS202" s="59">
        <f t="shared" si="197"/>
        <v>778.99874470071677</v>
      </c>
      <c r="DT202" s="59">
        <f ca="1">AVERAGE(OFFSET($DS$3,0,0,'Données projet'!$E$14+1,1))-AVERAGE(OFFSET($H$3,0,0,'Données projet'!$E$14+1,1))</f>
        <v>203.21935660591021</v>
      </c>
      <c r="DU202" s="59">
        <f t="shared" si="209"/>
        <v>180.54762778843178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3.5283529298858439E-2</v>
      </c>
      <c r="EB202" s="21">
        <f>EXP(-LN(2)/25)*EB201+(1-EXP(-LN(2)/25))/(LN(2)/25)*Calculateur!DW202*Calculateur!DY202*VLOOKUP('Données projet'!$B$14,Paramètres!$A$1:$I$89,3,0)*0.475*44/12</f>
        <v>5.3547876848156671E-2</v>
      </c>
      <c r="EC202" s="21">
        <f>EXP(-LN(2)/2)*EC201+(1-EXP(-LN(2)/2))/(LN(2)/2)*DW202*DZ202*VLOOKUP('Données projet'!$B$14,Paramètres!$A$1:$I$89,3,0)*0.475*44/12</f>
        <v>3.3130060464327068E-25</v>
      </c>
      <c r="ED202" s="22">
        <f t="shared" si="178"/>
        <v>8.883140614701511E-2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-5.1159076974727213E-13</v>
      </c>
      <c r="EK202" s="17">
        <f>EJ202*VLOOKUP('Données projet'!$B$15,Paramètres!$A$1:$I$89,3,0)*VLOOKUP('Données projet'!$B$15,Paramètres!$A$1:$I$89,5,0)</f>
        <v>-3.4317508834647017E-13</v>
      </c>
      <c r="EL202" s="13" t="e">
        <f t="shared" si="179"/>
        <v>#NUM!</v>
      </c>
      <c r="EM202" s="20" t="e">
        <f t="shared" si="180"/>
        <v>#NUM!</v>
      </c>
      <c r="EN202" s="59" t="e">
        <f t="shared" si="198"/>
        <v>#NUM!</v>
      </c>
      <c r="EO202" s="59">
        <f ca="1">AVERAGE(OFFSET($EN$3,0,0,'Données projet'!$E$15+1,1))-AVERAGE(OFFSET($H$3,0,0,'Données projet'!$E$15+1,1))</f>
        <v>207.93042467236967</v>
      </c>
      <c r="EP202" s="59">
        <f t="shared" si="210"/>
        <v>250.70954318710835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9.6820927291985784E-2</v>
      </c>
      <c r="EW202" s="21">
        <f>EXP(-LN(2)/25)*EW201+(1-EXP(-LN(2)/25))/(LN(2)/25)*Calculateur!ER202*Calculateur!ET202*VLOOKUP('Données projet'!$B$15,Paramètres!$A$1:$I$89,3,0)*0.475*44/12</f>
        <v>0.15962630362096991</v>
      </c>
      <c r="EX202" s="21">
        <f>EXP(-LN(2)/2)*EX201+(1-EXP(-LN(2)/2))/(LN(2)/2)*ER202*EU202*VLOOKUP('Données projet'!$B$15,Paramètres!$A$1:$I$89,3,0)*0.475*44/12</f>
        <v>7.4093594149827571E-25</v>
      </c>
      <c r="EY202" s="22">
        <f t="shared" si="181"/>
        <v>0.25644723091295568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-2.2737367544323206E-13</v>
      </c>
      <c r="O203" s="13">
        <f>N203*VLOOKUP('Données projet'!$B$9,Paramètres!$A$1:$I$89,3,0)*VLOOKUP('Données projet'!$B$9,Paramètres!$A$1:$I$89,5,0)</f>
        <v>-1.2710188457276673E-13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255.5374979188561</v>
      </c>
      <c r="T203" s="59">
        <f t="shared" si="204"/>
        <v>343.10418468620901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0.1066150529845144</v>
      </c>
      <c r="AA203" s="21">
        <f>EXP(-LN(2)/25)*AA202+(1-EXP(-LN(2)/25))/(LN(2)/25)*Calculateur!V203*Calculateur!X203*VLOOKUP('Données projet'!$B$9,Paramètres!$A$1:$I$89,3,0)*0.475*44/12</f>
        <v>0.1432306516270728</v>
      </c>
      <c r="AB203" s="21">
        <f>EXP(-LN(2)/2)*AB202+(1-EXP(-LN(2)/2))/(LN(2)/2)*V203*Y203*VLOOKUP('Données projet'!$B$9,Paramètres!$A$1:$I$89,3,0)*0.475*44/12</f>
        <v>4.3754030747561575E-26</v>
      </c>
      <c r="AC203" s="22">
        <f t="shared" si="163"/>
        <v>0.2498457046115872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1.5961632016114892E-13</v>
      </c>
      <c r="AK203" s="13">
        <f t="shared" si="164"/>
        <v>2.2708641912150958E-12</v>
      </c>
      <c r="AL203" s="20">
        <f t="shared" si="165"/>
        <v>4.2330868906469593E-12</v>
      </c>
      <c r="AM203" s="59">
        <f t="shared" si="193"/>
        <v>293.33333333333752</v>
      </c>
      <c r="AN203" s="59">
        <f ca="1">AVERAGE(OFFSET($AM$3,0,0,'Données projet'!$E$10+1,1))-AVERAGE(OFFSET($H$3,0,0,'Données projet'!$E$10+1,1))</f>
        <v>158.58786357608489</v>
      </c>
      <c r="AO203" s="59">
        <f t="shared" si="205"/>
        <v>163.20074068819849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553.99999999999955</v>
      </c>
      <c r="BE203" s="13">
        <f>BD203*VLOOKUP('Données projet'!$B$11,Paramètres!$A$1:$I$89,3,0)*VLOOKUP('Données projet'!$B$11,Paramètres!$A$1:$I$89,5,0)</f>
        <v>331.29199999999975</v>
      </c>
      <c r="BF203" s="13">
        <f t="shared" si="167"/>
        <v>77.698110787752</v>
      </c>
      <c r="BG203" s="20">
        <f t="shared" si="168"/>
        <v>712.32444295533423</v>
      </c>
      <c r="BH203" s="59">
        <f t="shared" si="194"/>
        <v>1005.6577762886675</v>
      </c>
      <c r="BI203" s="59">
        <f ca="1">AVERAGE(OFFSET($BH$3,0,0,'Données projet'!$E$11+1,1))-AVERAGE(OFFSET($H$3,0,0,'Données projet'!$E$11+1,1))</f>
        <v>316.58509520829671</v>
      </c>
      <c r="BJ203" s="59">
        <f t="shared" si="206"/>
        <v>240.71332110643596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8.7448972235201039E-2</v>
      </c>
      <c r="BQ203" s="21">
        <f>EXP(-LN(2)/25)*BQ202+(1-EXP(-LN(2)/25))/(LN(2)/25)*Calculateur!BL203*Calculateur!BN203*VLOOKUP('Données projet'!$B$11,Paramètres!$A$1:$I$89,3,0)*0.475*44/12</f>
        <v>0.13701751803252638</v>
      </c>
      <c r="BR203" s="21">
        <f>EXP(-LN(2)/2)*BR202+(1-EXP(-LN(2)/2))/(LN(2)/2)*BL203*BO203*VLOOKUP('Données projet'!$B$11,Paramètres!$A$1:$I$89,3,0)*0.475*44/12</f>
        <v>5.6711872624281872E-25</v>
      </c>
      <c r="BS203" s="22">
        <f t="shared" si="169"/>
        <v>0.22446649026772741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-5.1159076974727213E-13</v>
      </c>
      <c r="BZ203" s="13">
        <f>BY203*VLOOKUP('Données projet'!$B$12,Paramètres!$A$1:$I$89,3,0)*VLOOKUP('Données projet'!$B$12,Paramètres!$A$1:$I$89,5,0)</f>
        <v>-4.0702161641092972E-13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260.20517190557814</v>
      </c>
      <c r="CE203" s="59">
        <f t="shared" si="207"/>
        <v>307.22009971147133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0.11258229595578949</v>
      </c>
      <c r="CL203" s="21">
        <f>EXP(-LN(2)/25)*CL202+(1-EXP(-LN(2)/25))/(LN(2)/25)*Calculateur!CG203*Calculateur!CI203*VLOOKUP('Données projet'!$B$12,Paramètres!$A$1:$I$89,3,0)*0.475*44/12</f>
        <v>0.18414713980599212</v>
      </c>
      <c r="CM203" s="21">
        <f>EXP(-LN(2)/2)*CM202+(1-EXP(-LN(2)/2))/(LN(2)/2)*CG203*CJ203*VLOOKUP('Données projet'!$B$12,Paramètres!$A$1:$I$89,3,0)*0.475*44/12</f>
        <v>6.2139447119934331E-25</v>
      </c>
      <c r="CN203" s="22">
        <f t="shared" si="172"/>
        <v>0.29672943576178162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4.5474735088646412E-13</v>
      </c>
      <c r="CU203" s="17">
        <f>CT203*VLOOKUP('Données projet'!$B$13,Paramètres!$A$1:$I$89,3,0)*VLOOKUP('Données projet'!$B$13,Paramètres!$A$1:$I$89,5,0)</f>
        <v>4.6111381379887462E-13</v>
      </c>
      <c r="CV203" s="13">
        <f t="shared" si="173"/>
        <v>5.7981965206434308E-12</v>
      </c>
      <c r="CW203" s="20">
        <f t="shared" si="174"/>
        <v>1.0901632165820347E-11</v>
      </c>
      <c r="CX203" s="59">
        <f t="shared" si="196"/>
        <v>293.33333333334423</v>
      </c>
      <c r="CY203" s="59">
        <f ca="1">AVERAGE(OFFSET($CX$3,0,0,'Données projet'!$E$13+1,1))-AVERAGE(OFFSET($H$3,0,0,'Données projet'!$E$13+1,1))</f>
        <v>263.15518481854753</v>
      </c>
      <c r="CZ203" s="59">
        <f t="shared" si="208"/>
        <v>210.80755370263819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0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275.99999999999972</v>
      </c>
      <c r="DP203" s="17">
        <f>DO203*VLOOKUP('Données projet'!$B$14,Paramètres!$A$1:$I$89,3,0)*VLOOKUP('Données projet'!$B$14,Paramètres!$A$1:$I$89,5,0)</f>
        <v>223.8911999999998</v>
      </c>
      <c r="DQ203" s="13">
        <f t="shared" si="176"/>
        <v>54.95975389514858</v>
      </c>
      <c r="DR203" s="20">
        <f t="shared" si="177"/>
        <v>485.66541136738346</v>
      </c>
      <c r="DS203" s="59">
        <f t="shared" si="197"/>
        <v>778.99874470071677</v>
      </c>
      <c r="DT203" s="59">
        <f ca="1">AVERAGE(OFFSET($DS$3,0,0,'Données projet'!$E$14+1,1))-AVERAGE(OFFSET($H$3,0,0,'Données projet'!$E$14+1,1))</f>
        <v>203.21935660591021</v>
      </c>
      <c r="DU203" s="59">
        <f t="shared" si="209"/>
        <v>180.54762778843178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3.4591640810135695E-2</v>
      </c>
      <c r="EB203" s="21">
        <f>EXP(-LN(2)/25)*EB202+(1-EXP(-LN(2)/25))/(LN(2)/25)*Calculateur!DW203*Calculateur!DY203*VLOOKUP('Données projet'!$B$14,Paramètres!$A$1:$I$89,3,0)*0.475*44/12</f>
        <v>5.2083607339783372E-2</v>
      </c>
      <c r="EC203" s="21">
        <f>EXP(-LN(2)/2)*EC202+(1-EXP(-LN(2)/2))/(LN(2)/2)*DW203*DZ203*VLOOKUP('Données projet'!$B$14,Paramètres!$A$1:$I$89,3,0)*0.475*44/12</f>
        <v>2.3426490415446009E-25</v>
      </c>
      <c r="ED203" s="22">
        <f t="shared" si="178"/>
        <v>8.667524814991906E-2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-5.1159076974727213E-13</v>
      </c>
      <c r="EK203" s="17">
        <f>EJ203*VLOOKUP('Données projet'!$B$15,Paramètres!$A$1:$I$89,3,0)*VLOOKUP('Données projet'!$B$15,Paramètres!$A$1:$I$89,5,0)</f>
        <v>-3.4317508834647017E-13</v>
      </c>
      <c r="EL203" s="13" t="e">
        <f t="shared" si="179"/>
        <v>#NUM!</v>
      </c>
      <c r="EM203" s="20" t="e">
        <f t="shared" si="180"/>
        <v>#NUM!</v>
      </c>
      <c r="EN203" s="59" t="e">
        <f t="shared" si="198"/>
        <v>#NUM!</v>
      </c>
      <c r="EO203" s="59">
        <f ca="1">AVERAGE(OFFSET($EN$3,0,0,'Données projet'!$E$15+1,1))-AVERAGE(OFFSET($H$3,0,0,'Données projet'!$E$15+1,1))</f>
        <v>207.93042467236967</v>
      </c>
      <c r="EP203" s="59">
        <f t="shared" si="210"/>
        <v>250.70954318710835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9.4922327962724401E-2</v>
      </c>
      <c r="EW203" s="21">
        <f>EXP(-LN(2)/25)*EW202+(1-EXP(-LN(2)/25))/(LN(2)/25)*Calculateur!ER203*Calculateur!ET203*VLOOKUP('Données projet'!$B$15,Paramètres!$A$1:$I$89,3,0)*0.475*44/12</f>
        <v>0.155261313954072</v>
      </c>
      <c r="EX203" s="21">
        <f>EXP(-LN(2)/2)*EX202+(1-EXP(-LN(2)/2))/(LN(2)/2)*ER203*EU203*VLOOKUP('Données projet'!$B$15,Paramètres!$A$1:$I$89,3,0)*0.475*44/12</f>
        <v>5.2392082865826981E-25</v>
      </c>
      <c r="EY203" s="22">
        <f t="shared" si="181"/>
        <v>0.25018364191679643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1.3477630745024085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1.1963772029987372</v>
      </c>
      <c r="BA205" s="82">
        <f>EXP(LN('Données projet'!B88)/'Données projet'!A88)</f>
        <v>1.2625985704272813</v>
      </c>
      <c r="BV205" s="82">
        <f>EXP(LN('Données projet'!B114)/'Données projet'!A114)</f>
        <v>1.2709816152101407</v>
      </c>
      <c r="CQ205" s="82">
        <f>EXP(LN('Données projet'!B140)/'Données projet'!A140)</f>
        <v>1.1736311550444201</v>
      </c>
      <c r="DL205" s="82">
        <f>EXP(LN('Données projet'!B166)/'Données projet'!A166)</f>
        <v>1.2472511258067986</v>
      </c>
      <c r="EG205" s="82">
        <f>EXP(LN('Données projet'!B192)/'Données projet'!A192)</f>
        <v>1.2709816152101407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90" zoomScaleNormal="90" workbookViewId="0">
      <selection activeCell="A2" sqref="A2:L1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5.5177199999999997</v>
      </c>
      <c r="C6" s="147">
        <f ca="1">IF(OR('Données projet'!B9="",'Données projet'!C9="",'Données projet'!C9=0%),0,Calculateur!S3)</f>
        <v>255.5374979188561</v>
      </c>
      <c r="D6" s="147">
        <f>IF(OR('Données projet'!B9="",'Données projet'!C9="",'Données projet'!C9=0%),0,Calculateur!T3)</f>
        <v>343.10418468620901</v>
      </c>
      <c r="E6" s="147">
        <f ca="1">MIN(C6,D6)</f>
        <v>255.5374979188561</v>
      </c>
      <c r="F6" s="147">
        <f ca="1">E6*B6</f>
        <v>1409.9843630168307</v>
      </c>
      <c r="G6" s="147">
        <f ca="1">F6*(100%-'Données projet'!$C$24)*(100%-'Données projet'!$C$25)*(100%-'Données projet'!$C$26)*(100%-'Données projet'!$C$27)</f>
        <v>1078.6380377078754</v>
      </c>
      <c r="H6" s="148">
        <f>IF(OR('Données projet'!B9="",'Données projet'!C9="",'Données projet'!C9=0%),0,AVERAGE(Calculateur!$AC$3:$AC$33)*B6)</f>
        <v>58.931484689483575</v>
      </c>
      <c r="I6" s="149">
        <f>H6*(100%-'Données projet'!$C$24)*(100%-'Données projet'!$C$25)*(100%-'Données projet'!$C$26)*(100%-'Données projet'!$C$27)</f>
        <v>45.082585787454938</v>
      </c>
      <c r="J6" s="150">
        <f>IF(OR('Données projet'!B9="",'Données projet'!C9="",'Données projet'!C9=0%),0,SUM(Calculateur!$V$3:$V$33)*VLOOKUP('Données projet'!$B$9,Paramètres!$A$1:$I$89,9,0)*B6)</f>
        <v>421.41374279999991</v>
      </c>
      <c r="K6" s="151">
        <f>J6*(100%-'Données projet'!$C$24)*(100%-'Données projet'!$C$25)*(100%-'Données projet'!$C$26)*(100%-'Données projet'!$C$27)</f>
        <v>322.38151324199993</v>
      </c>
      <c r="L6" s="152">
        <f ca="1">G6+I6+K6</f>
        <v>1446.1021367373303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Cèdre de l'Atlas</v>
      </c>
      <c r="B7" s="154">
        <f>'Données projet'!D10</f>
        <v>5.5209599999999996</v>
      </c>
      <c r="C7" s="147">
        <f ca="1">IF(OR('Données projet'!B10="",'Données projet'!C10="",'Données projet'!C10=0%),0,Calculateur!AN3)</f>
        <v>158.58786357608489</v>
      </c>
      <c r="D7" s="147">
        <f>IF(OR('Données projet'!B10="",'Données projet'!C10="",'Données projet'!C10=0%),0,Calculateur!AO3)</f>
        <v>163.20074068819849</v>
      </c>
      <c r="E7" s="147">
        <f t="shared" ref="E7:E15" ca="1" si="0">MIN(C7,D7)</f>
        <v>158.58786357608489</v>
      </c>
      <c r="F7" s="147">
        <f t="shared" ref="F7:F15" ca="1" si="1">E7*B7</f>
        <v>875.55725128902156</v>
      </c>
      <c r="G7" s="147">
        <f ca="1">F7*(100%-'Données projet'!$C$24)*(100%-'Données projet'!$C$25)*(100%-'Données projet'!$C$26)*(100%-'Données projet'!$C$27)</f>
        <v>669.8012972361015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669.8012972361015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laricio</v>
      </c>
      <c r="B8" s="154">
        <f>'Données projet'!D11</f>
        <v>2.5855199999999998</v>
      </c>
      <c r="C8" s="147">
        <f ca="1">IF(OR('Données projet'!B11="",'Données projet'!C11="",'Données projet'!C11=0%),0,Calculateur!BI3)</f>
        <v>316.58509520829671</v>
      </c>
      <c r="D8" s="147">
        <f>IF(OR('Données projet'!B11="",'Données projet'!C11="",'Données projet'!C11=0%),0,Calculateur!BJ3)</f>
        <v>240.71332110643596</v>
      </c>
      <c r="E8" s="147">
        <f t="shared" ca="1" si="0"/>
        <v>240.71332110643596</v>
      </c>
      <c r="F8" s="147">
        <f t="shared" ca="1" si="1"/>
        <v>622.36910598711222</v>
      </c>
      <c r="G8" s="147">
        <f ca="1">F8*(100%-'Données projet'!$C$24)*(100%-'Données projet'!$C$25)*(100%-'Données projet'!$C$26)*(100%-'Données projet'!$C$27)</f>
        <v>476.11236608014082</v>
      </c>
      <c r="H8" s="155">
        <f>IF(OR('Données projet'!B11="",'Données projet'!C11="",'Données projet'!C11=0%),0,AVERAGE(Calculateur!$BS$3:$BS$33)*B8)</f>
        <v>9.8306967092771984</v>
      </c>
      <c r="I8" s="149">
        <f>H8*(100%-'Données projet'!$C$24)*(100%-'Données projet'!$C$25)*(100%-'Données projet'!$C$26)*(100%-'Données projet'!$C$27)</f>
        <v>7.5204829825970574</v>
      </c>
      <c r="J8" s="150">
        <f>IF(OR('Données projet'!B11="",'Données projet'!C11="",'Données projet'!C11=0%),0,SUM(Calculateur!$BL$3:$BL$33)*VLOOKUP('Données projet'!$B$11,Paramètres!$A$1:$I$89,9,0)*B8)</f>
        <v>111.17735999999999</v>
      </c>
      <c r="K8" s="151">
        <f>J8*(100%-'Données projet'!$C$24)*(100%-'Données projet'!$C$25)*(100%-'Données projet'!$C$26)*(100%-'Données projet'!$C$27)</f>
        <v>85.05068039999999</v>
      </c>
      <c r="L8" s="152">
        <f t="shared" ca="1" si="2"/>
        <v>568.68352946273785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Erable sycomore</v>
      </c>
      <c r="B9" s="154">
        <f>'Données projet'!D12</f>
        <v>1.33002</v>
      </c>
      <c r="C9" s="147">
        <f ca="1">IF(OR('Données projet'!B12="",'Données projet'!C12="",'Données projet'!C12=0%),0,Calculateur!CD3)</f>
        <v>260.20517190557814</v>
      </c>
      <c r="D9" s="147">
        <f>IF(OR('Données projet'!B12="",'Données projet'!C12="",'Données projet'!C12=0%),0,Calculateur!CE3)</f>
        <v>307.22009971147133</v>
      </c>
      <c r="E9" s="147">
        <f t="shared" ca="1" si="0"/>
        <v>260.20517190557814</v>
      </c>
      <c r="F9" s="147">
        <f t="shared" ca="1" si="1"/>
        <v>346.07808273785702</v>
      </c>
      <c r="G9" s="147">
        <f ca="1">F9*(100%-'Données projet'!$C$24)*(100%-'Données projet'!$C$25)*(100%-'Données projet'!$C$26)*(100%-'Données projet'!$C$27)</f>
        <v>264.74973329446061</v>
      </c>
      <c r="H9" s="155">
        <f>IF(OR('Données projet'!B12="",'Données projet'!C12="",'Données projet'!C12=0%),0,AVERAGE(Calculateur!$CN$3:$CN$33)*B9)</f>
        <v>6.790665274908493</v>
      </c>
      <c r="I9" s="149">
        <f>H9*(100%-'Données projet'!$C$24)*(100%-'Données projet'!$C$25)*(100%-'Données projet'!$C$26)*(100%-'Données projet'!$C$27)</f>
        <v>5.194858935304997</v>
      </c>
      <c r="J9" s="150">
        <f>IF(OR('Données projet'!B12="",'Données projet'!C12="",'Données projet'!C12=0%),0,SUM(Calculateur!$CG$3:$CG$33)*VLOOKUP('Données projet'!$B$12,Paramètres!$A$1:$I$89,9,0)*B9)</f>
        <v>45.553184999999999</v>
      </c>
      <c r="K9" s="151">
        <f>J9*(100%-'Données projet'!$C$24)*(100%-'Données projet'!$C$25)*(100%-'Données projet'!$C$26)*(100%-'Données projet'!$C$27)</f>
        <v>34.848186525000003</v>
      </c>
      <c r="L9" s="152">
        <f t="shared" ca="1" si="2"/>
        <v>304.79277875476561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Chêne pubescent</v>
      </c>
      <c r="B10" s="154">
        <f>'Données projet'!D13</f>
        <v>0.49896000000000001</v>
      </c>
      <c r="C10" s="147">
        <f ca="1">IF(OR('Données projet'!B13="",'Données projet'!C13="",'Données projet'!C13=0%),0,Calculateur!CY3)</f>
        <v>263.15518481854753</v>
      </c>
      <c r="D10" s="147">
        <f>IF(OR('Données projet'!B13="",'Données projet'!C13="",'Données projet'!C13=0%),0,Calculateur!CZ3)</f>
        <v>210.80755370263819</v>
      </c>
      <c r="E10" s="147">
        <f t="shared" ca="1" si="0"/>
        <v>210.80755370263819</v>
      </c>
      <c r="F10" s="147">
        <f t="shared" ca="1" si="1"/>
        <v>105.18453699546835</v>
      </c>
      <c r="G10" s="147">
        <f ca="1">F10*(100%-'Données projet'!$C$24)*(100%-'Données projet'!$C$25)*(100%-'Données projet'!$C$26)*(100%-'Données projet'!$C$27)</f>
        <v>80.466170801533281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ca="1" si="2"/>
        <v>80.466170801533281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Bouleau verruqueux</v>
      </c>
      <c r="B11" s="154">
        <f>'Données projet'!D14</f>
        <v>0.41471999999999998</v>
      </c>
      <c r="C11" s="147">
        <f ca="1">IF(OR('Données projet'!B14="",'Données projet'!C14="",'Données projet'!C14=0%),0,Calculateur!DT3)</f>
        <v>203.21935660591021</v>
      </c>
      <c r="D11" s="147">
        <f>IF(OR('Données projet'!B14="",'Données projet'!C14="",'Données projet'!C14=0%),0,Calculateur!DU3)</f>
        <v>180.54762778843178</v>
      </c>
      <c r="E11" s="147">
        <f t="shared" ca="1" si="0"/>
        <v>180.54762778843178</v>
      </c>
      <c r="F11" s="147">
        <f t="shared" ca="1" si="1"/>
        <v>74.876712196418424</v>
      </c>
      <c r="G11" s="147">
        <f ca="1">F11*(100%-'Données projet'!$C$24)*(100%-'Données projet'!$C$25)*(100%-'Données projet'!$C$26)*(100%-'Données projet'!$C$27)</f>
        <v>57.280684830260093</v>
      </c>
      <c r="H11" s="155">
        <f>IF(OR('Données projet'!B14="",'Données projet'!C14="",'Données projet'!C14=0%),0,AVERAGE(Calculateur!$ED$3:$ED$33)*B11)</f>
        <v>0.5694492590268565</v>
      </c>
      <c r="I11" s="149">
        <f>H11*(100%-'Données projet'!$C$24)*(100%-'Données projet'!$C$25)*(100%-'Données projet'!$C$26)*(100%-'Données projet'!$C$27)</f>
        <v>0.4356286831555452</v>
      </c>
      <c r="J11" s="150">
        <f>IF(OR('Données projet'!B14="",'Données projet'!C14="",'Données projet'!C14=0%),0,SUM(Calculateur!$DW$3:$DW$33)*VLOOKUP('Données projet'!$B$14,Paramètres!$A$1:$I$89,9,0)*B11)</f>
        <v>4.5619199999999998</v>
      </c>
      <c r="K11" s="151">
        <f>J11*(100%-'Données projet'!$C$24)*(100%-'Données projet'!$C$25)*(100%-'Données projet'!$C$26)*(100%-'Données projet'!$C$27)</f>
        <v>3.4898688</v>
      </c>
      <c r="L11" s="152">
        <f t="shared" ca="1" si="2"/>
        <v>61.206182313415638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Tilleul</v>
      </c>
      <c r="B12" s="154">
        <f>'Données projet'!D15</f>
        <v>0.33210000000000001</v>
      </c>
      <c r="C12" s="147">
        <f ca="1">IF(OR('Données projet'!B15="",'Données projet'!C15="",'Données projet'!C15=0%),0,Calculateur!EO3)</f>
        <v>207.93042467236967</v>
      </c>
      <c r="D12" s="147">
        <f>IF(OR('Données projet'!B15="",'Données projet'!C15="",'Données projet'!C15=0%),0,Calculateur!EP3)</f>
        <v>250.70954318710835</v>
      </c>
      <c r="E12" s="147">
        <f t="shared" ca="1" si="0"/>
        <v>207.93042467236967</v>
      </c>
      <c r="F12" s="147">
        <f t="shared" ca="1" si="1"/>
        <v>69.053694033693972</v>
      </c>
      <c r="G12" s="147">
        <f ca="1">F12*(100%-'Données projet'!$C$24)*(100%-'Données projet'!$C$25)*(100%-'Données projet'!$C$26)*(100%-'Données projet'!$C$27)</f>
        <v>52.826075935775883</v>
      </c>
      <c r="H12" s="155">
        <f>IF(OR('Données projet'!B15="",'Données projet'!C15="",'Données projet'!C15=0%),0,AVERAGE(Calculateur!$EY$3:$EY$33)*B12)</f>
        <v>1.4296222779087762</v>
      </c>
      <c r="I12" s="149">
        <f>H12*(100%-'Données projet'!$C$24)*(100%-'Données projet'!$C$25)*(100%-'Données projet'!$C$26)*(100%-'Données projet'!$C$27)</f>
        <v>1.0936610426002138</v>
      </c>
      <c r="J12" s="150">
        <f>IF(OR('Données projet'!B15="",'Données projet'!C15="",'Données projet'!C15=0%),0,SUM(Calculateur!$ER$3:$ER$33)*VLOOKUP('Données projet'!$B$15,Paramètres!$A$1:$I$89,9,0)*B12)</f>
        <v>11.374425</v>
      </c>
      <c r="K12" s="151">
        <f>J12*(100%-'Données projet'!$C$24)*(100%-'Données projet'!$C$25)*(100%-'Données projet'!$C$26)*(100%-'Données projet'!$C$27)</f>
        <v>8.7014351249999997</v>
      </c>
      <c r="L12" s="152">
        <f t="shared" ca="1" si="2"/>
        <v>62.621172103376097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3503.1037462564022</v>
      </c>
      <c r="G16" s="166">
        <f t="shared" ca="1" si="3"/>
        <v>2679.8743658861481</v>
      </c>
      <c r="H16" s="167">
        <f t="shared" si="3"/>
        <v>77.551918210604896</v>
      </c>
      <c r="I16" s="167">
        <f t="shared" si="3"/>
        <v>59.32721743111275</v>
      </c>
      <c r="J16" s="168">
        <f t="shared" si="3"/>
        <v>594.08063279999988</v>
      </c>
      <c r="K16" s="168">
        <f t="shared" si="3"/>
        <v>454.47168409199992</v>
      </c>
      <c r="L16" s="169">
        <f t="shared" ca="1" si="3"/>
        <v>3193.67326740926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Cèdre de l'Atlas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laricio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Chêne pubescent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Bouleau verruqueux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Tilleul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85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L1" zoomScale="80" zoomScaleNormal="80" workbookViewId="0">
      <selection activeCell="Y17" sqref="Y1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7042.1446547874102</v>
      </c>
      <c r="U10" s="178">
        <f>'Données projet'!D9</f>
        <v>5.5177199999999997</v>
      </c>
      <c r="V10" s="177">
        <f>U10*T10</f>
        <v>38856.582404613589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Cèdre de l'Atlas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-652.98635612015892</v>
      </c>
      <c r="U11" s="178">
        <f>'Données projet'!D10</f>
        <v>5.5209599999999996</v>
      </c>
      <c r="V11" s="177">
        <f t="shared" ref="V11" si="0">U11*T11</f>
        <v>-3605.1115526851522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laricio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729.2127989179296</v>
      </c>
      <c r="U12" s="178">
        <f>'Données projet'!D11</f>
        <v>2.5855199999999998</v>
      </c>
      <c r="V12" s="177">
        <f t="shared" ref="V12:V19" si="1">U12*T12</f>
        <v>1885.3942758582853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-1008.1031500153115</v>
      </c>
      <c r="U13" s="178">
        <f>'Données projet'!D12</f>
        <v>1.33002</v>
      </c>
      <c r="V13" s="177">
        <f t="shared" si="1"/>
        <v>-1340.7973515833646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Chêne pubescent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-1560.0908763634884</v>
      </c>
      <c r="U14" s="178">
        <f>'Données projet'!D13</f>
        <v>0.49896000000000001</v>
      </c>
      <c r="V14" s="177">
        <f t="shared" si="1"/>
        <v>-778.42294367032616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Bouleau verruqueux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-1709.5039323097901</v>
      </c>
      <c r="U15" s="178">
        <f>'Données projet'!D14</f>
        <v>0.41471999999999998</v>
      </c>
      <c r="V15" s="177">
        <f t="shared" si="1"/>
        <v>-708.96547080751611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56</v>
      </c>
      <c r="O16" s="23"/>
      <c r="P16" s="23"/>
      <c r="Q16" s="234"/>
      <c r="R16" s="23"/>
      <c r="S16" s="36" t="str">
        <f>B200</f>
        <v>Tilleul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-1347.0647759250915</v>
      </c>
      <c r="U16" s="178">
        <f>'Données projet'!D15</f>
        <v>0.33210000000000001</v>
      </c>
      <c r="V16" s="177">
        <f t="shared" si="1"/>
        <v>-447.36021208472289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1500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56.000000000000043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2240.0000000000018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3500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1100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1500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17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v>750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-104037.72594091497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18</v>
      </c>
      <c r="B24" s="181">
        <f>'Données projet'!D37</f>
        <v>69.284615384615378</v>
      </c>
      <c r="C24" s="193">
        <v>25</v>
      </c>
      <c r="D24" s="182">
        <f t="shared" ref="D24:D42" si="2">B24*C24</f>
        <v>1732.1153846153845</v>
      </c>
      <c r="E24" s="193"/>
      <c r="F24" s="233"/>
      <c r="H24" s="190">
        <v>4</v>
      </c>
      <c r="I24" s="191">
        <v>750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3084.9687411138389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24</v>
      </c>
      <c r="B25" s="181">
        <f>'Données projet'!D38</f>
        <v>42.661538461538463</v>
      </c>
      <c r="C25" s="193">
        <v>35</v>
      </c>
      <c r="D25" s="182">
        <f t="shared" si="2"/>
        <v>1493.1538461538462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-107122.69468202881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30</v>
      </c>
      <c r="B26" s="181">
        <f>'Données projet'!D39</f>
        <v>65.669230769230765</v>
      </c>
      <c r="C26" s="193">
        <v>55</v>
      </c>
      <c r="D26" s="182">
        <f t="shared" si="2"/>
        <v>3611.8076923076919</v>
      </c>
      <c r="E26" s="193"/>
      <c r="F26" s="233"/>
      <c r="G26" s="229"/>
      <c r="H26" s="190">
        <v>6</v>
      </c>
      <c r="I26" s="191">
        <v>60</v>
      </c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36</v>
      </c>
      <c r="B27" s="181">
        <f>'Données projet'!D40</f>
        <v>69.3</v>
      </c>
      <c r="C27" s="193">
        <v>55</v>
      </c>
      <c r="D27" s="182">
        <f t="shared" si="2"/>
        <v>3811.5</v>
      </c>
      <c r="E27" s="193"/>
      <c r="F27" s="233"/>
      <c r="G27" s="229"/>
      <c r="H27" s="190">
        <v>7</v>
      </c>
      <c r="I27" s="191">
        <v>60</v>
      </c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42</v>
      </c>
      <c r="B28" s="181">
        <f>'Données projet'!D41</f>
        <v>73.392307692307682</v>
      </c>
      <c r="C28" s="193">
        <v>60</v>
      </c>
      <c r="D28" s="182">
        <f t="shared" si="2"/>
        <v>4403.538461538461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48</v>
      </c>
      <c r="B29" s="181">
        <f>'Données projet'!D42</f>
        <v>81.330769230769235</v>
      </c>
      <c r="C29" s="193">
        <v>60</v>
      </c>
      <c r="D29" s="182">
        <f t="shared" si="2"/>
        <v>4879.8461538461543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54</v>
      </c>
      <c r="B30" s="181">
        <f>'Données projet'!D43</f>
        <v>566.79999999999995</v>
      </c>
      <c r="C30" s="193">
        <v>80</v>
      </c>
      <c r="D30" s="182">
        <f t="shared" si="2"/>
        <v>45344</v>
      </c>
      <c r="E30" s="193"/>
      <c r="F30" s="233"/>
      <c r="G30" s="203"/>
      <c r="H30" s="190">
        <v>10</v>
      </c>
      <c r="I30" s="191">
        <v>750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Cèdre de l'Atlas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2100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30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42</v>
      </c>
      <c r="B55" s="181">
        <f>'Données projet'!D63</f>
        <v>179.84615384615384</v>
      </c>
      <c r="C55" s="191">
        <v>25</v>
      </c>
      <c r="D55" s="179">
        <f t="shared" ref="D55:D73" si="4">B55*C55</f>
        <v>4496.1538461538457</v>
      </c>
      <c r="E55" s="193"/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49</v>
      </c>
      <c r="B56" s="181">
        <f>'Données projet'!D64</f>
        <v>94.476923076923072</v>
      </c>
      <c r="C56" s="191">
        <v>25</v>
      </c>
      <c r="D56" s="179">
        <f t="shared" si="4"/>
        <v>2361.9230769230767</v>
      </c>
      <c r="E56" s="193"/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56</v>
      </c>
      <c r="B57" s="181">
        <f>'Données projet'!D65</f>
        <v>72.769230769230759</v>
      </c>
      <c r="C57" s="191">
        <v>35</v>
      </c>
      <c r="D57" s="179">
        <f t="shared" si="4"/>
        <v>2546.9230769230767</v>
      </c>
      <c r="E57" s="193"/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63</v>
      </c>
      <c r="B58" s="181">
        <f>'Données projet'!D66</f>
        <v>71.123076923076923</v>
      </c>
      <c r="C58" s="191">
        <v>45</v>
      </c>
      <c r="D58" s="179">
        <f t="shared" si="4"/>
        <v>3200.5384615384614</v>
      </c>
      <c r="E58" s="193"/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71</v>
      </c>
      <c r="B59" s="181">
        <f>'Données projet'!D67</f>
        <v>80.399999999999991</v>
      </c>
      <c r="C59" s="191">
        <v>45</v>
      </c>
      <c r="D59" s="179">
        <f t="shared" si="4"/>
        <v>3617.9999999999995</v>
      </c>
      <c r="E59" s="193"/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79</v>
      </c>
      <c r="B60" s="181">
        <f>'Données projet'!D68</f>
        <v>77.338461538461544</v>
      </c>
      <c r="C60" s="191">
        <v>50</v>
      </c>
      <c r="D60" s="179">
        <f t="shared" si="4"/>
        <v>3866.9230769230771</v>
      </c>
      <c r="E60" s="193"/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87</v>
      </c>
      <c r="B61" s="181">
        <f>'Données projet'!D69</f>
        <v>77.330769230769235</v>
      </c>
      <c r="C61" s="191">
        <v>50</v>
      </c>
      <c r="D61" s="179">
        <f t="shared" si="4"/>
        <v>3866.5384615384619</v>
      </c>
      <c r="E61" s="193"/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95</v>
      </c>
      <c r="B62" s="181">
        <f>'Données projet'!D70</f>
        <v>234.42307692307691</v>
      </c>
      <c r="C62" s="191">
        <v>55</v>
      </c>
      <c r="D62" s="179">
        <f t="shared" si="4"/>
        <v>12893.26923076923</v>
      </c>
      <c r="E62" s="193"/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105</v>
      </c>
      <c r="B63" s="181">
        <f>'Données projet'!D71</f>
        <v>309.71538461538461</v>
      </c>
      <c r="C63" s="191">
        <v>65</v>
      </c>
      <c r="D63" s="179">
        <f t="shared" si="4"/>
        <v>20131.5</v>
      </c>
      <c r="E63" s="193"/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>
        <v>51.52</v>
      </c>
      <c r="I71" s="191">
        <v>60</v>
      </c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>
        <v>53</v>
      </c>
      <c r="I72" s="191">
        <v>60</v>
      </c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>
        <v>54</v>
      </c>
      <c r="I73" s="191">
        <v>60</v>
      </c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laricio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1500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29</v>
      </c>
      <c r="C85" s="191">
        <v>25</v>
      </c>
      <c r="D85" s="179">
        <f>B85*C85</f>
        <v>725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71</v>
      </c>
      <c r="C86" s="191">
        <v>25</v>
      </c>
      <c r="D86" s="179">
        <f t="shared" ref="D86:D104" si="6">B86*C86</f>
        <v>1775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95</v>
      </c>
      <c r="C87" s="191">
        <v>30</v>
      </c>
      <c r="D87" s="179">
        <f t="shared" si="6"/>
        <v>2850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107</v>
      </c>
      <c r="C88" s="191">
        <v>30</v>
      </c>
      <c r="D88" s="179">
        <f t="shared" si="6"/>
        <v>3210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108</v>
      </c>
      <c r="C89" s="191">
        <v>35</v>
      </c>
      <c r="D89" s="179">
        <f t="shared" si="6"/>
        <v>3780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103</v>
      </c>
      <c r="C90" s="191">
        <v>35</v>
      </c>
      <c r="D90" s="179">
        <f t="shared" si="6"/>
        <v>3605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94</v>
      </c>
      <c r="C91" s="191">
        <v>40</v>
      </c>
      <c r="D91" s="179">
        <f t="shared" si="6"/>
        <v>3760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83</v>
      </c>
      <c r="C92" s="191">
        <v>40</v>
      </c>
      <c r="D92" s="179">
        <f t="shared" si="6"/>
        <v>3320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2000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10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20</v>
      </c>
      <c r="B117" s="181">
        <f>'Données projet'!D115</f>
        <v>67</v>
      </c>
      <c r="C117" s="191">
        <v>10</v>
      </c>
      <c r="D117" s="179">
        <f t="shared" ref="D117:D135" si="8">B117*C117</f>
        <v>670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30</v>
      </c>
      <c r="B118" s="181">
        <f>'Données projet'!D116</f>
        <v>70</v>
      </c>
      <c r="C118" s="191">
        <v>10</v>
      </c>
      <c r="D118" s="179">
        <f t="shared" si="8"/>
        <v>700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40</v>
      </c>
      <c r="B119" s="181">
        <f>'Données projet'!D117</f>
        <v>70</v>
      </c>
      <c r="C119" s="191">
        <v>10</v>
      </c>
      <c r="D119" s="179">
        <f t="shared" si="8"/>
        <v>700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50</v>
      </c>
      <c r="B120" s="181">
        <f>'Données projet'!D118</f>
        <v>43</v>
      </c>
      <c r="C120" s="191">
        <v>10</v>
      </c>
      <c r="D120" s="179">
        <f t="shared" si="8"/>
        <v>430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60</v>
      </c>
      <c r="B121" s="181">
        <f>'Données projet'!D119</f>
        <v>30</v>
      </c>
      <c r="C121" s="191">
        <v>15</v>
      </c>
      <c r="D121" s="179">
        <f t="shared" si="8"/>
        <v>450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70</v>
      </c>
      <c r="B122" s="181">
        <f>'Données projet'!D120</f>
        <v>26</v>
      </c>
      <c r="C122" s="191">
        <v>20</v>
      </c>
      <c r="D122" s="179">
        <f t="shared" si="8"/>
        <v>520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80</v>
      </c>
      <c r="B123" s="181">
        <f>'Données projet'!D121</f>
        <v>342</v>
      </c>
      <c r="C123" s="191">
        <v>30</v>
      </c>
      <c r="D123" s="179">
        <f t="shared" si="8"/>
        <v>10260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Chêne pubescent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2000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30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35</v>
      </c>
      <c r="B148" s="175">
        <f>'Données projet'!D141</f>
        <v>60.602564102564102</v>
      </c>
      <c r="C148" s="191">
        <v>10</v>
      </c>
      <c r="D148" s="182">
        <f t="shared" ref="D148:D166" si="10">B148*C148</f>
        <v>606.02564102564099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41</v>
      </c>
      <c r="B149" s="175">
        <f>'Données projet'!D142</f>
        <v>38.512820512820511</v>
      </c>
      <c r="C149" s="191">
        <v>10</v>
      </c>
      <c r="D149" s="182">
        <f t="shared" si="10"/>
        <v>385.12820512820508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48</v>
      </c>
      <c r="B150" s="175">
        <f>'Données projet'!D143</f>
        <v>48.025641025641022</v>
      </c>
      <c r="C150" s="191">
        <v>10</v>
      </c>
      <c r="D150" s="182">
        <f t="shared" si="10"/>
        <v>480.25641025641022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55</v>
      </c>
      <c r="B151" s="175">
        <f>'Données projet'!D144</f>
        <v>45.147435897435898</v>
      </c>
      <c r="C151" s="191">
        <v>10</v>
      </c>
      <c r="D151" s="182">
        <f t="shared" si="10"/>
        <v>451.47435897435901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63</v>
      </c>
      <c r="B152" s="175">
        <f>'Données projet'!D145</f>
        <v>41.724358974358978</v>
      </c>
      <c r="C152" s="191">
        <v>10</v>
      </c>
      <c r="D152" s="182">
        <f t="shared" si="10"/>
        <v>417.24358974358978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71</v>
      </c>
      <c r="B153" s="175">
        <f>'Données projet'!D146</f>
        <v>39.935897435897431</v>
      </c>
      <c r="C153" s="191">
        <v>10</v>
      </c>
      <c r="D153" s="182">
        <f t="shared" si="10"/>
        <v>399.35897435897431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80</v>
      </c>
      <c r="B154" s="175">
        <f>'Données projet'!D147</f>
        <v>45.608974358974358</v>
      </c>
      <c r="C154" s="191">
        <v>10</v>
      </c>
      <c r="D154" s="182">
        <f t="shared" si="10"/>
        <v>456.08974358974359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89</v>
      </c>
      <c r="B155" s="175">
        <f>'Données projet'!D148</f>
        <v>49.391025641025635</v>
      </c>
      <c r="C155" s="191">
        <v>20</v>
      </c>
      <c r="D155" s="182">
        <f t="shared" si="10"/>
        <v>987.8205128205127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99</v>
      </c>
      <c r="B156" s="175">
        <f>'Données projet'!D149</f>
        <v>48.019230769230766</v>
      </c>
      <c r="C156" s="191">
        <v>20</v>
      </c>
      <c r="D156" s="182">
        <f t="shared" si="10"/>
        <v>960.38461538461536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109</v>
      </c>
      <c r="B157" s="175">
        <f>'Données projet'!D150</f>
        <v>51.28846153846154</v>
      </c>
      <c r="C157" s="191">
        <v>20</v>
      </c>
      <c r="D157" s="182">
        <f t="shared" si="10"/>
        <v>1025.7692307692307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119</v>
      </c>
      <c r="B158" s="175">
        <f>'Données projet'!D151</f>
        <v>150.02564102564102</v>
      </c>
      <c r="C158" s="191">
        <v>20</v>
      </c>
      <c r="D158" s="182">
        <f t="shared" si="10"/>
        <v>3000.5128205128203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123</v>
      </c>
      <c r="B159" s="175">
        <f>'Données projet'!D152</f>
        <v>77.17307692307692</v>
      </c>
      <c r="C159" s="191">
        <v>40</v>
      </c>
      <c r="D159" s="182">
        <f t="shared" si="10"/>
        <v>3086.9230769230767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127</v>
      </c>
      <c r="B160" s="175">
        <f>'Données projet'!D153</f>
        <v>49.916666666666671</v>
      </c>
      <c r="C160" s="191">
        <v>40</v>
      </c>
      <c r="D160" s="182">
        <f t="shared" si="10"/>
        <v>1996.666666666667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131</v>
      </c>
      <c r="B161" s="175">
        <f>'Données projet'!D154</f>
        <v>110.91025641025641</v>
      </c>
      <c r="C161" s="191">
        <v>40</v>
      </c>
      <c r="D161" s="182">
        <f t="shared" si="10"/>
        <v>4436.4102564102559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Bouleau verruqueux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2000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20</v>
      </c>
      <c r="B178" s="181">
        <f>'Données projet'!D166</f>
        <v>18</v>
      </c>
      <c r="C178" s="193">
        <v>10</v>
      </c>
      <c r="D178" s="179">
        <f>B178*C178</f>
        <v>180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30</v>
      </c>
      <c r="B179" s="181">
        <f>'Données projet'!D167</f>
        <v>26</v>
      </c>
      <c r="C179" s="193">
        <v>10</v>
      </c>
      <c r="D179" s="179">
        <f t="shared" ref="D179:D197" si="11">B179*C179</f>
        <v>260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40</v>
      </c>
      <c r="B180" s="181">
        <f>'Données projet'!D168</f>
        <v>31</v>
      </c>
      <c r="C180" s="193">
        <v>10</v>
      </c>
      <c r="D180" s="179">
        <f t="shared" si="11"/>
        <v>310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50</v>
      </c>
      <c r="B181" s="181">
        <f>'Données projet'!D169</f>
        <v>34</v>
      </c>
      <c r="C181" s="193">
        <v>10</v>
      </c>
      <c r="D181" s="179">
        <f t="shared" si="11"/>
        <v>340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60</v>
      </c>
      <c r="B182" s="181">
        <f>'Données projet'!D170</f>
        <v>34</v>
      </c>
      <c r="C182" s="193">
        <v>10</v>
      </c>
      <c r="D182" s="179">
        <f t="shared" si="11"/>
        <v>340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70</v>
      </c>
      <c r="B183" s="181">
        <f>'Données projet'!D171</f>
        <v>34</v>
      </c>
      <c r="C183" s="193">
        <v>10</v>
      </c>
      <c r="D183" s="179">
        <f t="shared" si="11"/>
        <v>340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80</v>
      </c>
      <c r="B184" s="181">
        <f>'Données projet'!D172</f>
        <v>33</v>
      </c>
      <c r="C184" s="193">
        <v>10</v>
      </c>
      <c r="D184" s="179">
        <f t="shared" si="11"/>
        <v>330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90</v>
      </c>
      <c r="B185" s="181">
        <f>'Données projet'!D173</f>
        <v>31</v>
      </c>
      <c r="C185" s="193">
        <v>10</v>
      </c>
      <c r="D185" s="179">
        <f t="shared" si="11"/>
        <v>310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Tilleul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2000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10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20</v>
      </c>
      <c r="B210" s="181">
        <f>'Données projet'!D193</f>
        <v>67</v>
      </c>
      <c r="C210" s="193">
        <v>5</v>
      </c>
      <c r="D210" s="179">
        <f t="shared" ref="D210:D228" si="12">B210*C210</f>
        <v>335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30</v>
      </c>
      <c r="B211" s="181">
        <f>'Données projet'!D194</f>
        <v>70</v>
      </c>
      <c r="C211" s="193">
        <v>5</v>
      </c>
      <c r="D211" s="179">
        <f t="shared" si="12"/>
        <v>350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40</v>
      </c>
      <c r="B212" s="181">
        <f>'Données projet'!D195</f>
        <v>70</v>
      </c>
      <c r="C212" s="193">
        <v>5</v>
      </c>
      <c r="D212" s="179">
        <f t="shared" si="12"/>
        <v>350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50</v>
      </c>
      <c r="B213" s="181">
        <f>'Données projet'!D196</f>
        <v>43</v>
      </c>
      <c r="C213" s="193">
        <v>5</v>
      </c>
      <c r="D213" s="179">
        <f t="shared" si="12"/>
        <v>215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60</v>
      </c>
      <c r="B214" s="181">
        <f>'Données projet'!D197</f>
        <v>30</v>
      </c>
      <c r="C214" s="193">
        <v>10</v>
      </c>
      <c r="D214" s="179">
        <f t="shared" si="12"/>
        <v>300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70</v>
      </c>
      <c r="B215" s="181">
        <f>'Données projet'!D198</f>
        <v>26</v>
      </c>
      <c r="C215" s="193">
        <v>10</v>
      </c>
      <c r="D215" s="179">
        <f t="shared" si="12"/>
        <v>260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80</v>
      </c>
      <c r="B216" s="181">
        <f>'Données projet'!D199</f>
        <v>342</v>
      </c>
      <c r="C216" s="193">
        <v>30</v>
      </c>
      <c r="D216" s="179">
        <f t="shared" si="12"/>
        <v>10260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Laurence DEGOUL SAINT JEAN</cp:lastModifiedBy>
  <cp:lastPrinted>2025-03-18T10:50:40Z</cp:lastPrinted>
  <dcterms:created xsi:type="dcterms:W3CDTF">2021-02-01T08:22:39Z</dcterms:created>
  <dcterms:modified xsi:type="dcterms:W3CDTF">2025-03-18T10:51:42Z</dcterms:modified>
</cp:coreProperties>
</file>