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BREHAL (50) - FOUBERT SWC E10\Dossier à déposer\"/>
    </mc:Choice>
  </mc:AlternateContent>
  <xr:revisionPtr revIDLastSave="0" documentId="13_ncr:1_{47AA3F44-5833-41CB-BEFA-A75A01194BBB}" xr6:coauthVersionLast="36" xr6:coauthVersionMax="36" xr10:uidLastSave="{00000000-0000-0000-0000-000000000000}"/>
  <bookViews>
    <workbookView xWindow="0" yWindow="0" windowWidth="28800" windowHeight="106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72" i="2" l="1" a="1"/>
  <c r="CS72" i="2" s="1"/>
  <c r="CS77" i="2" a="1"/>
  <c r="CS77" i="2" s="1"/>
  <c r="CS161" i="2" a="1"/>
  <c r="CS161" i="2" s="1"/>
  <c r="CS120" i="2" a="1"/>
  <c r="CS120" i="2" s="1"/>
  <c r="CS114" i="2" a="1"/>
  <c r="CS114" i="2" s="1"/>
  <c r="CS129" i="2" a="1"/>
  <c r="CS129" i="2" s="1"/>
  <c r="CS52" i="2" a="1"/>
  <c r="CS52" i="2" s="1"/>
  <c r="CS24" i="2" a="1"/>
  <c r="CS24" i="2" s="1"/>
  <c r="CS134" i="2" a="1"/>
  <c r="CS134" i="2" s="1"/>
  <c r="CS66" i="2" a="1"/>
  <c r="CS66" i="2" s="1"/>
  <c r="CS116" i="2" a="1"/>
  <c r="CS116" i="2" s="1"/>
  <c r="CS137" i="2" a="1"/>
  <c r="CS137" i="2" s="1"/>
  <c r="CS38" i="2" a="1"/>
  <c r="CS38" i="2" s="1"/>
  <c r="CS185" i="2" a="1"/>
  <c r="CS185" i="2" s="1"/>
  <c r="CS105" i="2" a="1"/>
  <c r="CS105" i="2" s="1"/>
  <c r="BC181" i="2" a="1"/>
  <c r="BC181" i="2" s="1"/>
  <c r="BC114" i="2" a="1"/>
  <c r="BC114" i="2" s="1"/>
  <c r="BC126" i="2" a="1"/>
  <c r="BC126" i="2" s="1"/>
  <c r="BC47" i="2" a="1"/>
  <c r="BC47" i="2" s="1"/>
  <c r="BC38" i="2" a="1"/>
  <c r="BC38" i="2" s="1"/>
  <c r="BC68" i="2" a="1"/>
  <c r="BC68" i="2" s="1"/>
  <c r="BC83" i="2" a="1"/>
  <c r="BC83" i="2" s="1"/>
  <c r="BC84" i="2" a="1"/>
  <c r="BC84" i="2" s="1"/>
  <c r="BC164" i="2" a="1"/>
  <c r="BC164" i="2" s="1"/>
  <c r="BC192" i="2" a="1"/>
  <c r="BC192" i="2" s="1"/>
  <c r="BC130" i="2" a="1"/>
  <c r="BC130" i="2" s="1"/>
  <c r="BC31" i="2" a="1"/>
  <c r="BC31" i="2" s="1"/>
  <c r="BC117" i="2" a="1"/>
  <c r="BC117" i="2" s="1"/>
  <c r="BC32" i="2" a="1"/>
  <c r="BC32" i="2" s="1"/>
  <c r="BC65" i="2" a="1"/>
  <c r="BC65" i="2" s="1"/>
  <c r="BC18" i="2" a="1"/>
  <c r="BC18" i="2" s="1"/>
  <c r="BC55" i="2" a="1"/>
  <c r="BC55" i="2" s="1"/>
  <c r="BC82" i="2" a="1"/>
  <c r="BC82" i="2" s="1"/>
  <c r="BC7" i="2" a="1"/>
  <c r="BC7" i="2" s="1"/>
  <c r="BC34" i="2" a="1"/>
  <c r="BC34" i="2" s="1"/>
  <c r="BC151" i="2" a="1"/>
  <c r="BC151" i="2" s="1"/>
  <c r="BC185" i="2" a="1"/>
  <c r="BC185" i="2" s="1"/>
  <c r="BC58" i="2" a="1"/>
  <c r="BC58" i="2" s="1"/>
  <c r="BC143" i="2" a="1"/>
  <c r="BC143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<sst xmlns="http://schemas.openxmlformats.org/spreadsheetml/2006/main" count="1170" uniqueCount="324">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</sst>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202.52745814509981</c:v>
                </c:pt>
                <c:pt idx="12">
                  <c:v>235.70707416481403</c:v>
                </c:pt>
                <c:pt idx="13">
                  <c:v>268.78003756948306</c:v>
                </c:pt>
                <c:pt idx="14">
                  <c:v>301.76131730306923</c:v>
                </c:pt>
                <c:pt idx="15">
                  <c:v>334.66233736464409</c:v>
                </c:pt>
                <c:pt idx="16">
                  <c:v>308.34762462686348</c:v>
                </c:pt>
                <c:pt idx="17">
                  <c:v>338.14166327303155</c:v>
                </c:pt>
                <c:pt idx="18">
                  <c:v>367.87792895100188</c:v>
                </c:pt>
                <c:pt idx="19">
                  <c:v>397.56174311317318</c:v>
                </c:pt>
                <c:pt idx="20">
                  <c:v>427.19756804132595</c:v>
                </c:pt>
                <c:pt idx="21">
                  <c:v>407.95878231757439</c:v>
                </c:pt>
                <c:pt idx="22">
                  <c:v>432.96552861089231</c:v>
                </c:pt>
                <c:pt idx="23">
                  <c:v>457.94126927057505</c:v>
                </c:pt>
                <c:pt idx="24">
                  <c:v>482.8879313845502</c:v>
                </c:pt>
                <c:pt idx="25">
                  <c:v>507.80722686130622</c:v>
                </c:pt>
                <c:pt idx="26">
                  <c:v>493.62565905582687</c:v>
                </c:pt>
                <c:pt idx="27">
                  <c:v>513.93718925042367</c:v>
                </c:pt>
                <c:pt idx="28">
                  <c:v>534.23177896582104</c:v>
                </c:pt>
                <c:pt idx="29">
                  <c:v>554.51016178271277</c:v>
                </c:pt>
                <c:pt idx="30">
                  <c:v>574.77301329675242</c:v>
                </c:pt>
                <c:pt idx="31">
                  <c:v>564.45232939981622</c:v>
                </c:pt>
                <c:pt idx="32">
                  <c:v>580.88714383067816</c:v>
                </c:pt>
                <c:pt idx="33">
                  <c:v>597.31226449625308</c:v>
                </c:pt>
                <c:pt idx="34">
                  <c:v>613.72799533010232</c:v>
                </c:pt>
                <c:pt idx="35">
                  <c:v>630.13462269202159</c:v>
                </c:pt>
                <c:pt idx="36">
                  <c:v>623.64935210528506</c:v>
                </c:pt>
                <c:pt idx="37">
                  <c:v>638.1439351253598</c:v>
                </c:pt>
                <c:pt idx="38">
                  <c:v>652.63171873234603</c:v>
                </c:pt>
                <c:pt idx="39">
                  <c:v>667.11287504220138</c:v>
                </c:pt>
                <c:pt idx="40">
                  <c:v>681.58756809397687</c:v>
                </c:pt>
                <c:pt idx="41">
                  <c:v>678.54079353970121</c:v>
                </c:pt>
                <c:pt idx="42">
                  <c:v>692.6297932397805</c:v>
                </c:pt>
                <c:pt idx="43">
                  <c:v>706.71292251165823</c:v>
                </c:pt>
                <c:pt idx="44">
                  <c:v>720.7903147447181</c:v>
                </c:pt>
                <c:pt idx="45">
                  <c:v>734.86209769680136</c:v>
                </c:pt>
                <c:pt idx="46">
                  <c:v>5.3075956424674458E-12</c:v>
                </c:pt>
                <c:pt idx="47">
                  <c:v>5.3075956424674458E-12</c:v>
                </c:pt>
                <c:pt idx="48">
                  <c:v>5.3075956424674458E-12</c:v>
                </c:pt>
                <c:pt idx="49">
                  <c:v>5.3075956424674458E-12</c:v>
                </c:pt>
                <c:pt idx="50">
                  <c:v>5.3075956424674458E-12</c:v>
                </c:pt>
                <c:pt idx="51">
                  <c:v>5.3075956424674458E-12</c:v>
                </c:pt>
                <c:pt idx="52">
                  <c:v>5.3075956424674458E-12</c:v>
                </c:pt>
                <c:pt idx="53">
                  <c:v>5.3075956424674458E-12</c:v>
                </c:pt>
                <c:pt idx="54">
                  <c:v>5.3075956424674458E-12</c:v>
                </c:pt>
                <c:pt idx="55">
                  <c:v>5.3075956424674458E-12</c:v>
                </c:pt>
                <c:pt idx="56">
                  <c:v>5.3075956424674458E-12</c:v>
                </c:pt>
                <c:pt idx="57">
                  <c:v>5.3075956424674458E-12</c:v>
                </c:pt>
                <c:pt idx="58">
                  <c:v>5.3075956424674458E-12</c:v>
                </c:pt>
                <c:pt idx="59">
                  <c:v>5.3075956424674458E-12</c:v>
                </c:pt>
                <c:pt idx="60">
                  <c:v>5.3075956424674458E-12</c:v>
                </c:pt>
                <c:pt idx="61">
                  <c:v>5.3075956424674458E-12</c:v>
                </c:pt>
                <c:pt idx="62">
                  <c:v>5.3075956424674458E-12</c:v>
                </c:pt>
                <c:pt idx="63">
                  <c:v>5.3075956424674458E-12</c:v>
                </c:pt>
                <c:pt idx="64">
                  <c:v>5.3075956424674458E-12</c:v>
                </c:pt>
                <c:pt idx="65">
                  <c:v>5.3075956424674458E-12</c:v>
                </c:pt>
                <c:pt idx="66">
                  <c:v>5.3075956424674458E-12</c:v>
                </c:pt>
                <c:pt idx="67">
                  <c:v>5.3075956424674458E-12</c:v>
                </c:pt>
                <c:pt idx="68">
                  <c:v>5.3075956424674458E-12</c:v>
                </c:pt>
                <c:pt idx="69">
                  <c:v>5.3075956424674458E-12</c:v>
                </c:pt>
                <c:pt idx="70">
                  <c:v>5.3075956424674458E-12</c:v>
                </c:pt>
                <c:pt idx="71">
                  <c:v>5.3075956424674458E-12</c:v>
                </c:pt>
                <c:pt idx="72">
                  <c:v>5.3075956424674458E-12</c:v>
                </c:pt>
                <c:pt idx="73">
                  <c:v>5.3075956424674458E-12</c:v>
                </c:pt>
                <c:pt idx="74">
                  <c:v>5.3075956424674458E-12</c:v>
                </c:pt>
                <c:pt idx="75">
                  <c:v>5.3075956424674458E-12</c:v>
                </c:pt>
                <c:pt idx="76">
                  <c:v>5.3075956424674458E-12</c:v>
                </c:pt>
                <c:pt idx="77">
                  <c:v>5.3075956424674458E-12</c:v>
                </c:pt>
                <c:pt idx="78">
                  <c:v>5.3075956424674458E-12</c:v>
                </c:pt>
                <c:pt idx="79">
                  <c:v>5.3075956424674458E-12</c:v>
                </c:pt>
                <c:pt idx="80">
                  <c:v>5.3075956424674458E-12</c:v>
                </c:pt>
                <c:pt idx="81">
                  <c:v>5.3075956424674458E-12</c:v>
                </c:pt>
                <c:pt idx="82">
                  <c:v>5.3075956424674458E-12</c:v>
                </c:pt>
                <c:pt idx="83">
                  <c:v>5.3075956424674458E-12</c:v>
                </c:pt>
                <c:pt idx="84">
                  <c:v>5.3075956424674458E-12</c:v>
                </c:pt>
                <c:pt idx="85">
                  <c:v>5.3075956424674458E-12</c:v>
                </c:pt>
                <c:pt idx="86">
                  <c:v>5.3075956424674458E-12</c:v>
                </c:pt>
                <c:pt idx="87">
                  <c:v>5.3075956424674458E-12</c:v>
                </c:pt>
                <c:pt idx="88">
                  <c:v>5.3075956424674458E-12</c:v>
                </c:pt>
                <c:pt idx="89">
                  <c:v>5.3075956424674458E-12</c:v>
                </c:pt>
                <c:pt idx="90">
                  <c:v>5.3075956424674458E-12</c:v>
                </c:pt>
                <c:pt idx="91">
                  <c:v>5.3075956424674458E-12</c:v>
                </c:pt>
                <c:pt idx="92">
                  <c:v>5.3075956424674458E-12</c:v>
                </c:pt>
                <c:pt idx="93">
                  <c:v>5.3075956424674458E-12</c:v>
                </c:pt>
                <c:pt idx="94">
                  <c:v>5.3075956424674458E-12</c:v>
                </c:pt>
                <c:pt idx="95">
                  <c:v>5.3075956424674458E-12</c:v>
                </c:pt>
                <c:pt idx="96">
                  <c:v>5.3075956424674458E-12</c:v>
                </c:pt>
                <c:pt idx="97">
                  <c:v>5.3075956424674458E-12</c:v>
                </c:pt>
                <c:pt idx="98">
                  <c:v>5.3075956424674458E-12</c:v>
                </c:pt>
                <c:pt idx="99">
                  <c:v>5.3075956424674458E-12</c:v>
                </c:pt>
                <c:pt idx="100">
                  <c:v>5.3075956424674458E-12</c:v>
                </c:pt>
                <c:pt idx="101">
                  <c:v>5.3075956424674458E-12</c:v>
                </c:pt>
                <c:pt idx="102">
                  <c:v>5.3075956424674458E-12</c:v>
                </c:pt>
                <c:pt idx="103">
                  <c:v>5.3075956424674458E-12</c:v>
                </c:pt>
                <c:pt idx="104">
                  <c:v>5.3075956424674458E-12</c:v>
                </c:pt>
                <c:pt idx="105">
                  <c:v>5.3075956424674458E-12</c:v>
                </c:pt>
                <c:pt idx="106">
                  <c:v>5.3075956424674458E-12</c:v>
                </c:pt>
                <c:pt idx="107">
                  <c:v>5.3075956424674458E-12</c:v>
                </c:pt>
                <c:pt idx="108">
                  <c:v>5.3075956424674458E-12</c:v>
                </c:pt>
                <c:pt idx="109">
                  <c:v>5.3075956424674458E-12</c:v>
                </c:pt>
                <c:pt idx="110">
                  <c:v>5.3075956424674458E-12</c:v>
                </c:pt>
                <c:pt idx="111">
                  <c:v>5.3075956424674458E-12</c:v>
                </c:pt>
                <c:pt idx="112">
                  <c:v>5.3075956424674458E-12</c:v>
                </c:pt>
                <c:pt idx="113">
                  <c:v>5.3075956424674458E-12</c:v>
                </c:pt>
                <c:pt idx="114">
                  <c:v>5.3075956424674458E-12</c:v>
                </c:pt>
                <c:pt idx="115">
                  <c:v>5.3075956424674458E-12</c:v>
                </c:pt>
                <c:pt idx="116">
                  <c:v>5.3075956424674458E-12</c:v>
                </c:pt>
                <c:pt idx="117">
                  <c:v>5.3075956424674458E-12</c:v>
                </c:pt>
                <c:pt idx="118">
                  <c:v>5.3075956424674458E-12</c:v>
                </c:pt>
                <c:pt idx="119">
                  <c:v>5.3075956424674458E-12</c:v>
                </c:pt>
                <c:pt idx="120">
                  <c:v>5.3075956424674458E-12</c:v>
                </c:pt>
                <c:pt idx="121">
                  <c:v>5.3075956424674458E-12</c:v>
                </c:pt>
                <c:pt idx="122">
                  <c:v>5.3075956424674458E-12</c:v>
                </c:pt>
                <c:pt idx="123">
                  <c:v>5.3075956424674458E-12</c:v>
                </c:pt>
                <c:pt idx="124">
                  <c:v>5.3075956424674458E-12</c:v>
                </c:pt>
                <c:pt idx="125">
                  <c:v>5.3075956424674458E-12</c:v>
                </c:pt>
                <c:pt idx="126">
                  <c:v>5.3075956424674458E-12</c:v>
                </c:pt>
                <c:pt idx="127">
                  <c:v>5.3075956424674458E-12</c:v>
                </c:pt>
                <c:pt idx="128">
                  <c:v>5.3075956424674458E-12</c:v>
                </c:pt>
                <c:pt idx="129">
                  <c:v>5.3075956424674458E-12</c:v>
                </c:pt>
                <c:pt idx="130">
                  <c:v>5.3075956424674458E-12</c:v>
                </c:pt>
                <c:pt idx="131">
                  <c:v>5.3075956424674458E-12</c:v>
                </c:pt>
                <c:pt idx="132">
                  <c:v>5.3075956424674458E-12</c:v>
                </c:pt>
                <c:pt idx="133">
                  <c:v>5.3075956424674458E-12</c:v>
                </c:pt>
                <c:pt idx="134">
                  <c:v>5.3075956424674458E-12</c:v>
                </c:pt>
                <c:pt idx="135">
                  <c:v>5.3075956424674458E-12</c:v>
                </c:pt>
                <c:pt idx="136">
                  <c:v>5.3075956424674458E-12</c:v>
                </c:pt>
                <c:pt idx="137">
                  <c:v>5.3075956424674458E-12</c:v>
                </c:pt>
                <c:pt idx="138">
                  <c:v>5.3075956424674458E-12</c:v>
                </c:pt>
                <c:pt idx="139">
                  <c:v>5.3075956424674458E-12</c:v>
                </c:pt>
                <c:pt idx="140">
                  <c:v>5.3075956424674458E-12</c:v>
                </c:pt>
                <c:pt idx="141">
                  <c:v>5.3075956424674458E-12</c:v>
                </c:pt>
                <c:pt idx="142">
                  <c:v>5.3075956424674458E-12</c:v>
                </c:pt>
                <c:pt idx="143">
                  <c:v>5.3075956424674458E-12</c:v>
                </c:pt>
                <c:pt idx="144">
                  <c:v>5.3075956424674458E-12</c:v>
                </c:pt>
                <c:pt idx="145">
                  <c:v>5.3075956424674458E-12</c:v>
                </c:pt>
                <c:pt idx="146">
                  <c:v>5.3075956424674458E-12</c:v>
                </c:pt>
                <c:pt idx="147">
                  <c:v>5.3075956424674458E-12</c:v>
                </c:pt>
                <c:pt idx="148">
                  <c:v>5.3075956424674458E-12</c:v>
                </c:pt>
                <c:pt idx="149">
                  <c:v>5.3075956424674458E-12</c:v>
                </c:pt>
                <c:pt idx="150">
                  <c:v>5.3075956424674458E-12</c:v>
                </c:pt>
                <c:pt idx="151">
                  <c:v>5.3075956424674458E-12</c:v>
                </c:pt>
                <c:pt idx="152">
                  <c:v>5.3075956424674458E-12</c:v>
                </c:pt>
                <c:pt idx="153">
                  <c:v>5.3075956424674458E-12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175.21027396812136</c:v>
                </c:pt>
                <c:pt idx="27">
                  <c:v>195.8838145879254</c:v>
                </c:pt>
                <c:pt idx="28">
                  <c:v>216.50666233809886</c:v>
                </c:pt>
                <c:pt idx="29">
                  <c:v>237.08432568129521</c:v>
                </c:pt>
                <c:pt idx="30">
                  <c:v>257.62127772428215</c:v>
                </c:pt>
                <c:pt idx="31">
                  <c:v>228.17257887218292</c:v>
                </c:pt>
                <c:pt idx="32">
                  <c:v>246.67306214732389</c:v>
                </c:pt>
                <c:pt idx="33">
                  <c:v>265.14204459810429</c:v>
                </c:pt>
                <c:pt idx="34">
                  <c:v>283.58202888251463</c:v>
                </c:pt>
                <c:pt idx="35">
                  <c:v>301.99516552771883</c:v>
                </c:pt>
                <c:pt idx="36">
                  <c:v>270.26707351328014</c:v>
                </c:pt>
                <c:pt idx="37">
                  <c:v>286.31154709420952</c:v>
                </c:pt>
                <c:pt idx="38">
                  <c:v>302.33590858145311</c:v>
                </c:pt>
                <c:pt idx="39">
                  <c:v>318.34137394785938</c:v>
                </c:pt>
                <c:pt idx="40">
                  <c:v>334.32902690172904</c:v>
                </c:pt>
                <c:pt idx="41">
                  <c:v>300.63210759978887</c:v>
                </c:pt>
                <c:pt idx="42">
                  <c:v>314.59704855401986</c:v>
                </c:pt>
                <c:pt idx="43">
                  <c:v>328.54825156463448</c:v>
                </c:pt>
                <c:pt idx="44">
                  <c:v>342.48638220302018</c:v>
                </c:pt>
                <c:pt idx="45">
                  <c:v>356.41204743833867</c:v>
                </c:pt>
                <c:pt idx="46">
                  <c:v>330.92884034916193</c:v>
                </c:pt>
                <c:pt idx="47">
                  <c:v>342.82617852900444</c:v>
                </c:pt>
                <c:pt idx="48">
                  <c:v>354.71444390147082</c:v>
                </c:pt>
                <c:pt idx="49">
                  <c:v>366.59398347144844</c:v>
                </c:pt>
                <c:pt idx="50">
                  <c:v>378.46511991321876</c:v>
                </c:pt>
                <c:pt idx="51">
                  <c:v>360.14615329066828</c:v>
                </c:pt>
                <c:pt idx="52">
                  <c:v>370.6650184301746</c:v>
                </c:pt>
                <c:pt idx="53">
                  <c:v>381.17737444442332</c:v>
                </c:pt>
                <c:pt idx="54">
                  <c:v>391.68342621612163</c:v>
                </c:pt>
                <c:pt idx="55">
                  <c:v>402.18336673633206</c:v>
                </c:pt>
                <c:pt idx="56">
                  <c:v>388.97277965128006</c:v>
                </c:pt>
                <c:pt idx="57">
                  <c:v>397.78089798901993</c:v>
                </c:pt>
                <c:pt idx="58">
                  <c:v>406.58479291095324</c:v>
                </c:pt>
                <c:pt idx="59">
                  <c:v>415.38456880992311</c:v>
                </c:pt>
                <c:pt idx="60">
                  <c:v>424.18032529272597</c:v>
                </c:pt>
                <c:pt idx="61">
                  <c:v>410.98518940455659</c:v>
                </c:pt>
                <c:pt idx="62">
                  <c:v>418.0913790215223</c:v>
                </c:pt>
                <c:pt idx="63">
                  <c:v>425.19496598542577</c:v>
                </c:pt>
                <c:pt idx="64">
                  <c:v>432.29599994035442</c:v>
                </c:pt>
                <c:pt idx="65">
                  <c:v>439.39452876533943</c:v>
                </c:pt>
                <c:pt idx="66">
                  <c:v>427.22409121469815</c:v>
                </c:pt>
                <c:pt idx="67">
                  <c:v>433.64829237194994</c:v>
                </c:pt>
                <c:pt idx="68">
                  <c:v>440.070450172959</c:v>
                </c:pt>
                <c:pt idx="69">
                  <c:v>446.49059866524129</c:v>
                </c:pt>
                <c:pt idx="70">
                  <c:v>452.90877083660661</c:v>
                </c:pt>
                <c:pt idx="71">
                  <c:v>441.76015637738465</c:v>
                </c:pt>
                <c:pt idx="72">
                  <c:v>447.5041248287875</c:v>
                </c:pt>
                <c:pt idx="73">
                  <c:v>453.24651523667291</c:v>
                </c:pt>
                <c:pt idx="74">
                  <c:v>458.98735042977302</c:v>
                </c:pt>
                <c:pt idx="75">
                  <c:v>464.72665261874414</c:v>
                </c:pt>
                <c:pt idx="76">
                  <c:v>454.59743907080389</c:v>
                </c:pt>
                <c:pt idx="77">
                  <c:v>459.66264159638718</c:v>
                </c:pt>
                <c:pt idx="78">
                  <c:v>464.72665261874414</c:v>
                </c:pt>
                <c:pt idx="79">
                  <c:v>469.78948696374727</c:v>
                </c:pt>
                <c:pt idx="80">
                  <c:v>474.85115911139525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44.716696017915012</c:v>
                </c:pt>
                <c:pt idx="12">
                  <c:v>68.267356266852531</c:v>
                </c:pt>
                <c:pt idx="13">
                  <c:v>91.605526277825675</c:v>
                </c:pt>
                <c:pt idx="14">
                  <c:v>114.79386073387417</c:v>
                </c:pt>
                <c:pt idx="15">
                  <c:v>137.86711899238378</c:v>
                </c:pt>
                <c:pt idx="16">
                  <c:v>96.447363572255242</c:v>
                </c:pt>
                <c:pt idx="17">
                  <c:v>122.49645924610256</c:v>
                </c:pt>
                <c:pt idx="18">
                  <c:v>148.41023510355402</c:v>
                </c:pt>
                <c:pt idx="19">
                  <c:v>174.21574506160064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578.47591298878478</c:v>
                </c:pt>
                <c:pt idx="77">
                  <c:v>584.97785357240684</c:v>
                </c:pt>
                <c:pt idx="78">
                  <c:v>591.47828826876241</c:v>
                </c:pt>
                <c:pt idx="79">
                  <c:v>597.97723596598223</c:v>
                </c:pt>
                <c:pt idx="80">
                  <c:v>604.47471510805701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19" sqref="F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2.16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0.27</v>
      </c>
      <c r="D9" s="36">
        <f t="shared" ref="D9:D18" si="0">C9*$C$5</f>
        <v>0.58320000000000005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0.17</v>
      </c>
      <c r="D10" s="36">
        <f t="shared" si="0"/>
        <v>0.36720000000000003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29</v>
      </c>
      <c r="C11" s="35">
        <v>0.16</v>
      </c>
      <c r="D11" s="36">
        <f t="shared" si="0"/>
        <v>0.34560000000000002</v>
      </c>
      <c r="E11" s="37">
        <v>69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23</v>
      </c>
      <c r="C12" s="35">
        <v>0.17</v>
      </c>
      <c r="D12" s="36">
        <f t="shared" si="0"/>
        <v>0.36720000000000003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8</v>
      </c>
      <c r="C13" s="35">
        <v>0.16</v>
      </c>
      <c r="D13" s="36">
        <f t="shared" si="0"/>
        <v>0.34560000000000002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0.93000000000000016</v>
      </c>
      <c r="D19" s="41">
        <f>SUM(D9:D18)</f>
        <v>2.0088000000000004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41</v>
      </c>
      <c r="C62" s="63">
        <v>1</v>
      </c>
      <c r="D62" s="63">
        <v>8</v>
      </c>
      <c r="E62" s="54"/>
      <c r="F62" s="54"/>
      <c r="G62" s="54"/>
      <c r="H62" s="54"/>
      <c r="I62" s="56">
        <f>IFERROR(B62/A62,"")</f>
        <v>8.1999999999999993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121</v>
      </c>
      <c r="C63" s="63">
        <v>2</v>
      </c>
      <c r="D63" s="63">
        <v>37</v>
      </c>
      <c r="E63" s="54"/>
      <c r="F63" s="54"/>
      <c r="G63" s="54"/>
      <c r="H63" s="54"/>
      <c r="I63" s="52">
        <f>IF(A63&lt;&gt;0,(B63-(B62-D62))/(A63-A62),"")</f>
        <v>17.600000000000001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169</v>
      </c>
      <c r="C64" s="63">
        <v>3</v>
      </c>
      <c r="D64" s="63">
        <v>29</v>
      </c>
      <c r="E64" s="54"/>
      <c r="F64" s="54"/>
      <c r="G64" s="54"/>
      <c r="H64" s="54"/>
      <c r="I64" s="52">
        <f>IF(A64&lt;&gt;0,(B64-(B63-D63))/(A64-A63),"")</f>
        <v>17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217</v>
      </c>
      <c r="C65" s="63">
        <v>4</v>
      </c>
      <c r="D65" s="63">
        <v>23</v>
      </c>
      <c r="E65" s="54"/>
      <c r="F65" s="54"/>
      <c r="G65" s="54"/>
      <c r="H65" s="54"/>
      <c r="I65" s="52">
        <f>IF(A65&lt;&gt;0,(B65-(B64-D64))/(A65-A64),"")</f>
        <v>15.4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259</v>
      </c>
      <c r="C66" s="63">
        <v>5</v>
      </c>
      <c r="D66" s="63">
        <v>18</v>
      </c>
      <c r="E66" s="54"/>
      <c r="F66" s="54"/>
      <c r="G66" s="54"/>
      <c r="H66" s="54"/>
      <c r="I66" s="52">
        <f t="shared" ref="I66:I81" si="2">IF(A66&lt;&gt;0,(B66-(B65-D65))/(A66-A65),"")</f>
        <v>13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294</v>
      </c>
      <c r="C67" s="63">
        <v>6</v>
      </c>
      <c r="D67" s="63">
        <v>14</v>
      </c>
      <c r="E67" s="54">
        <v>0.2</v>
      </c>
      <c r="F67" s="54">
        <v>0.35</v>
      </c>
      <c r="G67" s="54">
        <v>0.5</v>
      </c>
      <c r="H67" s="54"/>
      <c r="I67" s="52">
        <f t="shared" si="2"/>
        <v>10.6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323</v>
      </c>
      <c r="C68" s="63">
        <v>7</v>
      </c>
      <c r="D68" s="63">
        <v>11</v>
      </c>
      <c r="E68" s="54"/>
      <c r="F68" s="54"/>
      <c r="G68" s="54"/>
      <c r="H68" s="54"/>
      <c r="I68" s="52">
        <f t="shared" si="2"/>
        <v>8.6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350</v>
      </c>
      <c r="C69" s="53">
        <v>8</v>
      </c>
      <c r="D69" s="53">
        <v>9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378</v>
      </c>
      <c r="C70" s="53">
        <v>9</v>
      </c>
      <c r="D70" s="53">
        <v>378</v>
      </c>
      <c r="E70" s="54"/>
      <c r="F70" s="54"/>
      <c r="G70" s="54"/>
      <c r="H70" s="54"/>
      <c r="I70" s="52">
        <f t="shared" si="2"/>
        <v>7.4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Merisier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40</v>
      </c>
      <c r="C88" s="63">
        <v>1</v>
      </c>
      <c r="D88" s="63">
        <v>3</v>
      </c>
      <c r="E88" s="54"/>
      <c r="F88" s="54"/>
      <c r="G88" s="54"/>
      <c r="H88" s="93">
        <v>1</v>
      </c>
      <c r="I88" s="56">
        <f>IFERROR(B88/A88,"")</f>
        <v>2.6666666666666665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85</v>
      </c>
      <c r="C89" s="63">
        <v>2</v>
      </c>
      <c r="D89" s="63">
        <v>25</v>
      </c>
      <c r="E89" s="54"/>
      <c r="F89" s="54"/>
      <c r="G89" s="54"/>
      <c r="H89" s="93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113</v>
      </c>
      <c r="C90" s="63">
        <v>3</v>
      </c>
      <c r="D90" s="63">
        <v>27</v>
      </c>
      <c r="E90" s="93"/>
      <c r="F90" s="93"/>
      <c r="G90" s="93"/>
      <c r="H90" s="93">
        <v>1</v>
      </c>
      <c r="I90" s="56">
        <f t="shared" si="3"/>
        <v>10.6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31</v>
      </c>
      <c r="B91" s="63">
        <v>155</v>
      </c>
      <c r="C91" s="63">
        <v>4</v>
      </c>
      <c r="D91" s="63">
        <v>36</v>
      </c>
      <c r="E91" s="93"/>
      <c r="F91" s="93"/>
      <c r="G91" s="93"/>
      <c r="H91" s="93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37</v>
      </c>
      <c r="B92" s="63">
        <v>188</v>
      </c>
      <c r="C92" s="63">
        <v>5</v>
      </c>
      <c r="D92" s="63">
        <v>36</v>
      </c>
      <c r="E92" s="93"/>
      <c r="F92" s="93"/>
      <c r="G92" s="93"/>
      <c r="H92" s="93"/>
      <c r="I92" s="56">
        <f t="shared" si="3"/>
        <v>11.5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44</v>
      </c>
      <c r="B93" s="63">
        <v>230</v>
      </c>
      <c r="C93" s="63">
        <v>6</v>
      </c>
      <c r="D93" s="63">
        <v>43</v>
      </c>
      <c r="E93" s="93"/>
      <c r="F93" s="93"/>
      <c r="G93" s="93"/>
      <c r="H93" s="93"/>
      <c r="I93" s="56">
        <f t="shared" si="3"/>
        <v>11.142857142857142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52</v>
      </c>
      <c r="B94" s="63">
        <v>270</v>
      </c>
      <c r="C94" s="63">
        <v>7</v>
      </c>
      <c r="D94" s="63">
        <v>48</v>
      </c>
      <c r="E94" s="93"/>
      <c r="F94" s="93"/>
      <c r="G94" s="93"/>
      <c r="H94" s="93"/>
      <c r="I94" s="56">
        <f t="shared" si="3"/>
        <v>10.375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297</v>
      </c>
      <c r="C95" s="63">
        <v>8</v>
      </c>
      <c r="D95" s="63">
        <v>47</v>
      </c>
      <c r="E95" s="93"/>
      <c r="F95" s="93"/>
      <c r="G95" s="93"/>
      <c r="H95" s="93"/>
      <c r="I95" s="56">
        <f t="shared" si="3"/>
        <v>9.375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69</v>
      </c>
      <c r="B96" s="63">
        <v>328</v>
      </c>
      <c r="C96" s="63">
        <v>9</v>
      </c>
      <c r="D96" s="63">
        <v>328</v>
      </c>
      <c r="E96" s="93"/>
      <c r="F96" s="93"/>
      <c r="G96" s="93"/>
      <c r="H96" s="93"/>
      <c r="I96" s="56">
        <f t="shared" si="3"/>
        <v>8.6666666666666661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sycomore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37</v>
      </c>
      <c r="C114" s="53">
        <v>1</v>
      </c>
      <c r="D114" s="63">
        <v>15</v>
      </c>
      <c r="E114" s="54"/>
      <c r="F114" s="54"/>
      <c r="G114" s="54"/>
      <c r="H114" s="54">
        <v>1</v>
      </c>
      <c r="I114" s="56">
        <f>IFERROR(B114/A114,"")</f>
        <v>2.4666666666666668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80</v>
      </c>
      <c r="C115" s="53">
        <v>2</v>
      </c>
      <c r="D115" s="63"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11.6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115</v>
      </c>
      <c r="C116" s="53">
        <v>3</v>
      </c>
      <c r="D116" s="63">
        <v>28</v>
      </c>
      <c r="E116" s="54"/>
      <c r="F116" s="54"/>
      <c r="G116" s="54"/>
      <c r="H116" s="54">
        <v>1</v>
      </c>
      <c r="I116" s="56">
        <f t="shared" si="4"/>
        <v>12.6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>
        <v>1</v>
      </c>
      <c r="I117" s="56">
        <f t="shared" si="4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173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10.8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192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9.4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v>205</v>
      </c>
      <c r="C120" s="63">
        <v>7</v>
      </c>
      <c r="D120" s="63">
        <v>22</v>
      </c>
      <c r="E120" s="93"/>
      <c r="F120" s="93"/>
      <c r="G120" s="93"/>
      <c r="H120" s="93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v>218</v>
      </c>
      <c r="C121" s="63">
        <v>8</v>
      </c>
      <c r="D121" s="63">
        <v>17</v>
      </c>
      <c r="E121" s="93"/>
      <c r="F121" s="93"/>
      <c r="G121" s="93"/>
      <c r="H121" s="93"/>
      <c r="I121" s="56">
        <f t="shared" si="4"/>
        <v>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v>232</v>
      </c>
      <c r="C122" s="63">
        <v>9</v>
      </c>
      <c r="D122" s="63">
        <v>13</v>
      </c>
      <c r="E122" s="93"/>
      <c r="F122" s="93"/>
      <c r="G122" s="93"/>
      <c r="H122" s="93"/>
      <c r="I122" s="56">
        <f t="shared" si="4"/>
        <v>6.2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v>245</v>
      </c>
      <c r="C123" s="63">
        <v>10</v>
      </c>
      <c r="D123" s="63">
        <v>12</v>
      </c>
      <c r="E123" s="93"/>
      <c r="F123" s="93"/>
      <c r="G123" s="93"/>
      <c r="H123" s="93"/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v>254</v>
      </c>
      <c r="C124" s="63">
        <v>11</v>
      </c>
      <c r="D124" s="63">
        <v>11</v>
      </c>
      <c r="E124" s="93"/>
      <c r="F124" s="93"/>
      <c r="G124" s="93"/>
      <c r="H124" s="93"/>
      <c r="I124" s="56">
        <f t="shared" si="4"/>
        <v>4.2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v>262</v>
      </c>
      <c r="C125" s="63">
        <v>12</v>
      </c>
      <c r="D125" s="63">
        <v>10</v>
      </c>
      <c r="E125" s="93"/>
      <c r="F125" s="93"/>
      <c r="G125" s="93"/>
      <c r="H125" s="93"/>
      <c r="I125" s="56">
        <f t="shared" si="4"/>
        <v>3.8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v>269</v>
      </c>
      <c r="C126" s="63">
        <v>13</v>
      </c>
      <c r="D126" s="63">
        <v>9</v>
      </c>
      <c r="E126" s="68"/>
      <c r="F126" s="68"/>
      <c r="G126" s="68"/>
      <c r="H126" s="68"/>
      <c r="I126" s="56">
        <f t="shared" si="4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v>275</v>
      </c>
      <c r="C127" s="63">
        <v>14</v>
      </c>
      <c r="D127" s="63">
        <v>275</v>
      </c>
      <c r="E127" s="68"/>
      <c r="F127" s="68"/>
      <c r="G127" s="68"/>
      <c r="H127" s="68"/>
      <c r="I127" s="56">
        <f t="shared" si="4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Châtaignier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v>19</v>
      </c>
      <c r="C140" s="53">
        <v>1</v>
      </c>
      <c r="D140" s="63">
        <v>7</v>
      </c>
      <c r="E140" s="54"/>
      <c r="F140" s="54"/>
      <c r="G140" s="54"/>
      <c r="H140" s="54">
        <v>1</v>
      </c>
      <c r="I140" s="60">
        <f>IFERROR(B140/A140,"")</f>
        <v>1.9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v>84</v>
      </c>
      <c r="C141" s="53">
        <v>2</v>
      </c>
      <c r="D141" s="63">
        <v>42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14.4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v>123</v>
      </c>
      <c r="C142" s="53">
        <v>3</v>
      </c>
      <c r="D142" s="63">
        <v>42</v>
      </c>
      <c r="E142" s="54"/>
      <c r="F142" s="54">
        <v>0.5</v>
      </c>
      <c r="G142" s="54"/>
      <c r="H142" s="54">
        <v>0.5</v>
      </c>
      <c r="I142" s="60">
        <f t="shared" si="5"/>
        <v>16.2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v>165</v>
      </c>
      <c r="C143" s="53">
        <v>4</v>
      </c>
      <c r="D143" s="63">
        <v>42</v>
      </c>
      <c r="E143" s="54"/>
      <c r="F143" s="54">
        <v>0.5</v>
      </c>
      <c r="G143" s="54"/>
      <c r="H143" s="54">
        <v>0.5</v>
      </c>
      <c r="I143" s="60">
        <f t="shared" si="5"/>
        <v>16.8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v>205</v>
      </c>
      <c r="C144" s="53">
        <v>5</v>
      </c>
      <c r="D144" s="63">
        <v>42</v>
      </c>
      <c r="E144" s="54"/>
      <c r="F144" s="54">
        <v>0.5</v>
      </c>
      <c r="G144" s="54"/>
      <c r="H144" s="54">
        <v>0.5</v>
      </c>
      <c r="I144" s="60">
        <f t="shared" si="5"/>
        <v>16.399999999999999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v>239</v>
      </c>
      <c r="C145" s="53">
        <v>6</v>
      </c>
      <c r="D145" s="63">
        <v>42</v>
      </c>
      <c r="E145" s="54"/>
      <c r="F145" s="54"/>
      <c r="G145" s="54"/>
      <c r="H145" s="54"/>
      <c r="I145" s="60">
        <f t="shared" si="5"/>
        <v>15.2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v>263</v>
      </c>
      <c r="C146" s="53">
        <v>7</v>
      </c>
      <c r="D146" s="63">
        <v>40</v>
      </c>
      <c r="E146" s="54"/>
      <c r="F146" s="54"/>
      <c r="G146" s="54"/>
      <c r="H146" s="54"/>
      <c r="I146" s="60">
        <f t="shared" si="5"/>
        <v>13.2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63">
        <v>280</v>
      </c>
      <c r="C147" s="53">
        <v>8</v>
      </c>
      <c r="D147" s="63">
        <v>26</v>
      </c>
      <c r="E147" s="54"/>
      <c r="F147" s="54"/>
      <c r="G147" s="54"/>
      <c r="H147" s="54"/>
      <c r="I147" s="60">
        <f>IF(A147&lt;&gt;0,(B147-(B146-D146))/(A147-A146),"")</f>
        <v>11.4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63">
        <v>303</v>
      </c>
      <c r="C148" s="53">
        <v>9</v>
      </c>
      <c r="D148" s="63">
        <v>21</v>
      </c>
      <c r="E148" s="54"/>
      <c r="F148" s="54"/>
      <c r="G148" s="54"/>
      <c r="H148" s="54"/>
      <c r="I148" s="60">
        <f t="shared" si="5"/>
        <v>9.8000000000000007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63">
        <v>324</v>
      </c>
      <c r="C149" s="53">
        <v>10</v>
      </c>
      <c r="D149" s="63">
        <v>18</v>
      </c>
      <c r="E149" s="54"/>
      <c r="F149" s="54"/>
      <c r="G149" s="54"/>
      <c r="H149" s="54"/>
      <c r="I149" s="60">
        <f t="shared" si="5"/>
        <v>8.4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63">
        <v>343</v>
      </c>
      <c r="C150" s="53">
        <v>11</v>
      </c>
      <c r="D150" s="63">
        <v>17</v>
      </c>
      <c r="E150" s="54"/>
      <c r="F150" s="54"/>
      <c r="G150" s="54"/>
      <c r="H150" s="54"/>
      <c r="I150" s="60">
        <f t="shared" si="5"/>
        <v>7.4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65</v>
      </c>
      <c r="B151" s="63">
        <v>356</v>
      </c>
      <c r="C151" s="53">
        <v>12</v>
      </c>
      <c r="D151" s="63">
        <v>16</v>
      </c>
      <c r="E151" s="54"/>
      <c r="F151" s="54"/>
      <c r="G151" s="54"/>
      <c r="H151" s="54"/>
      <c r="I151" s="60">
        <f t="shared" si="5"/>
        <v>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70</v>
      </c>
      <c r="B152" s="63">
        <v>366</v>
      </c>
      <c r="C152" s="53">
        <v>13</v>
      </c>
      <c r="D152" s="63">
        <v>15</v>
      </c>
      <c r="E152" s="57"/>
      <c r="F152" s="57"/>
      <c r="G152" s="57"/>
      <c r="H152" s="57"/>
      <c r="I152" s="60">
        <f t="shared" si="5"/>
        <v>5.2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75</v>
      </c>
      <c r="B153" s="63">
        <v>375</v>
      </c>
      <c r="C153" s="53">
        <v>14</v>
      </c>
      <c r="D153" s="63">
        <v>14</v>
      </c>
      <c r="E153" s="57"/>
      <c r="F153" s="57"/>
      <c r="G153" s="57"/>
      <c r="H153" s="57"/>
      <c r="I153" s="60">
        <f t="shared" si="5"/>
        <v>4.8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80</v>
      </c>
      <c r="B154" s="59">
        <v>382</v>
      </c>
      <c r="C154" s="53">
        <v>15</v>
      </c>
      <c r="D154" s="53">
        <v>382</v>
      </c>
      <c r="E154" s="57"/>
      <c r="F154" s="57"/>
      <c r="G154" s="57"/>
      <c r="H154" s="57"/>
      <c r="I154" s="60">
        <f t="shared" si="5"/>
        <v>4.2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Merisier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Erable sycomore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Châtaignier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439.06700232017681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436.23918637269577</v>
      </c>
      <c r="AO3" s="62">
        <f>IF('Données projet'!E10&gt;30,$AM$33-$H$33,LOOKUP('Données projet'!$E$10,$A$3:$A$203,AM3:AM203)-LOOKUP('Données projet'!$E$10,$A$3:$A$203,$H$3:$H$203))</f>
        <v>611.43967996341894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288.82868507674738</v>
      </c>
      <c r="BJ3" s="62">
        <f>IF('Données projet'!E11&gt;30,$BH$33-$H$33,LOOKUP('Données projet'!$E$11,$A$3:$A$203,BH3:BH203)-LOOKUP('Données projet'!$E$11,$A$3:$A$203,$H$3:$H$203))</f>
        <v>283.48738729114024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298.89893065707554</v>
      </c>
      <c r="CE3" s="62">
        <f>IF('Données projet'!E12&gt;30,$CC$33-$H$33,LOOKUP('Données projet'!$E$12,$A$3:$A$203,CC3:CC203)-LOOKUP('Données projet'!$E$12,$A$3:$A$203,$H$3:$H$203))</f>
        <v>294.28794439094878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376.5422416541544</v>
      </c>
      <c r="CZ3" s="62">
        <f>IF('Données projet'!E13&gt;30,$CX$33-$H$33,LOOKUP('Données projet'!$E$13,$A$3:$A$203,CX3:CX203)-LOOKUP('Données projet'!$E$13,$A$3:$A$203,$H$3:$H$203))</f>
        <v>365.76175372075869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439.06700232017681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8.1999999999999993</v>
      </c>
      <c r="AI4" s="14">
        <f>IF('Données projet'!$A$62&gt;35,AI3+AH4-AQ3,IF(A4&lt;'Données projet'!$A$62,$AF$205^A4,IF(A4='Données projet'!$A$62,'Données projet'!$B$62,AI3+AH4-AQ3)))</f>
        <v>2.1016324782757847</v>
      </c>
      <c r="AJ4" s="14">
        <f>AI4*VLOOKUP('Données projet'!$B$10,Paramètres!$A$1:$I$89,3,0)*VLOOKUP('Données projet'!$B$10,Paramètres!$A$1:$I$89,5,0)</f>
        <v>1.9015570663439298</v>
      </c>
      <c r="AK4" s="14">
        <f>EXP(-1.0587+0.8836*LN(AJ4)+0.284)</f>
        <v>0.81315455339418119</v>
      </c>
      <c r="AL4" s="22">
        <f t="shared" ref="AL4:AL67" si="4">(AJ4+AK4)*0.475*44/12</f>
        <v>4.7281227377105433</v>
      </c>
      <c r="AM4" s="62">
        <f t="shared" ref="AM4:AM67" si="5">AL4+(AD4+AE4)*44/12</f>
        <v>262.61701162659938</v>
      </c>
      <c r="AN4" s="62">
        <f ca="1">AVERAGE(OFFSET($AM$3,0,0,'Données projet'!$E$10+1,1))-AVERAGE(OFFSET($H$3,0,0,'Données projet'!$E$10+1,1))</f>
        <v>436.23918637269577</v>
      </c>
      <c r="AO4" s="62">
        <f>$AO$3</f>
        <v>611.43967996341894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2.6666666666666665</v>
      </c>
      <c r="BD4" s="13">
        <f>IF('Données projet'!$A$88&gt;35,BD3+BC4-BL3,IF(A4&lt;'Données projet'!$A$88,$BA$205^A4,IF(A4='Données projet'!$A$88,'Données projet'!$B$88,BD3+BC4-BL3)))</f>
        <v>1.2788040393997409</v>
      </c>
      <c r="BE4" s="14">
        <f>BD4*VLOOKUP('Données projet'!$B$11,Paramètres!$A$1:$I$89,3,0)*VLOOKUP('Données projet'!$B$11,Paramètres!$A$1:$I$89,5,0)</f>
        <v>0.99746715073179792</v>
      </c>
      <c r="BF4" s="14">
        <f>EXP(-1.0587+0.8836*LN(BE4)+0.284)</f>
        <v>0.45981048445793882</v>
      </c>
      <c r="BG4" s="22">
        <f t="shared" ref="BG4:BG67" si="7">(BE4+BF4)*0.475*44/12</f>
        <v>2.5380918812887914</v>
      </c>
      <c r="BH4" s="62">
        <f t="shared" ref="BH4:BH67" si="8">BG4+(AY4+AZ4)*44/12</f>
        <v>260.42698077017764</v>
      </c>
      <c r="BI4" s="62">
        <f ca="1">AVERAGE(OFFSET($BH$3,0,0,'Données projet'!$E$11+1,1))-AVERAGE(OFFSET($H$3,0,0,'Données projet'!$E$11+1,1))</f>
        <v>288.82868507674738</v>
      </c>
      <c r="BJ4" s="62">
        <f>$BJ$3</f>
        <v>283.48738729114024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2.4666666666666668</v>
      </c>
      <c r="BY4" s="13">
        <f>IF('Données projet'!$A$114&gt;35,BY3+BX4-CG3,IF(A4&lt;'Données projet'!$A$114,$BV$205^A4,IF(A4='Données projet'!$A$114,'Données projet'!$B$114,BY3+BX4-CG3)))</f>
        <v>1.2721747796233518</v>
      </c>
      <c r="BZ4" s="14">
        <f>BY4*VLOOKUP('Données projet'!$B$12,Paramètres!$A$1:$I$89,3,0)*VLOOKUP('Données projet'!$B$12,Paramètres!$A$1:$I$89,5,0)</f>
        <v>1.0121422546683387</v>
      </c>
      <c r="CA4" s="14">
        <f>EXP(-1.0587+0.8836*LN(BZ4)+0.284)</f>
        <v>0.46578286063395047</v>
      </c>
      <c r="CB4" s="22">
        <f t="shared" ref="CB4:CB67" si="10">(BZ4+CA4)*0.475*44/12</f>
        <v>2.574052909151487</v>
      </c>
      <c r="CC4" s="62">
        <f t="shared" ref="CC4:CC67" si="11">CB4+(BT4+BU4)*44/12</f>
        <v>260.46294179804033</v>
      </c>
      <c r="CD4" s="62">
        <f ca="1">AVERAGE(OFFSET($CC$3,0,0,'Données projet'!$E$12+1,1))-AVERAGE(OFFSET($H$3,0,0,'Données projet'!$E$12+1,1))</f>
        <v>298.89893065707554</v>
      </c>
      <c r="CE4" s="62">
        <f>$CE$3</f>
        <v>294.28794439094878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1.9</v>
      </c>
      <c r="CT4" s="13">
        <f>IF('Données projet'!$A$140&gt;35,CT3+CS4-DB3,IF(A4&lt;'Données projet'!$A$140,$CQ$205^A4,IF(A4='Données projet'!$A$140,'Données projet'!$B$140,CT3+CS4-DB3)))</f>
        <v>1.3423796509621049</v>
      </c>
      <c r="CU4" s="18">
        <f>CT4*VLOOKUP('Données projet'!$B$13,Paramètres!$A$1:$I$89,3,0)*VLOOKUP('Données projet'!$B$13,Paramètres!$A$1:$I$89,5,0)</f>
        <v>0.98423276008541516</v>
      </c>
      <c r="CV4" s="14">
        <f>EXP(-1.0587+0.8836*LN(CU4)+0.284)</f>
        <v>0.45441566615213064</v>
      </c>
      <c r="CW4" s="22">
        <f t="shared" ref="CW4:CW67" si="13">(CU4+CV4)*0.475*44/12</f>
        <v>2.5056460090303925</v>
      </c>
      <c r="CX4" s="62">
        <f t="shared" ref="CX4:CX67" si="14">CW4+(CO4+CP4)*44/12</f>
        <v>260.39453489791924</v>
      </c>
      <c r="CY4" s="62">
        <f ca="1">AVERAGE(OFFSET($CX$3,0,0,'Données projet'!$E$13+1,1))-AVERAGE(OFFSET($H$3,0,0,'Données projet'!$E$13+1,1))</f>
        <v>376.5422416541544</v>
      </c>
      <c r="CZ4" s="62">
        <f>$CZ$3</f>
        <v>365.76175372075869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439.06700232017681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8.1999999999999993</v>
      </c>
      <c r="AI5" s="14">
        <f>IF('Données projet'!$A$62&gt;35,AI4+AH5-AQ4,IF(A5&lt;'Données projet'!$A$62,$AF$205^A5,IF(A5='Données projet'!$A$62,'Données projet'!$B$62,AI4+AH5-AQ4)))</f>
        <v>4.4168590737436171</v>
      </c>
      <c r="AJ5" s="14">
        <f>AI5*VLOOKUP('Données projet'!$B$10,Paramètres!$A$1:$I$89,3,0)*VLOOKUP('Données projet'!$B$10,Paramètres!$A$1:$I$89,5,0)</f>
        <v>3.9963740899232247</v>
      </c>
      <c r="AK5" s="14">
        <f t="shared" ref="AK5:AK68" si="35">EXP(-1.0587+0.8836*LN(AJ5)+0.284)</f>
        <v>1.567415948479109</v>
      </c>
      <c r="AL5" s="22">
        <f t="shared" si="4"/>
        <v>9.6902676502173968</v>
      </c>
      <c r="AM5" s="62">
        <f t="shared" si="5"/>
        <v>268.80137876132852</v>
      </c>
      <c r="AN5" s="62">
        <f ca="1">AVERAGE(OFFSET($AM$3,0,0,'Données projet'!$E$10+1,1))-AVERAGE(OFFSET($H$3,0,0,'Données projet'!$E$10+1,1))</f>
        <v>436.23918637269577</v>
      </c>
      <c r="AO5" s="62">
        <f t="shared" ref="AO5:AO68" si="36">$AO$3</f>
        <v>611.43967996341894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2.6666666666666665</v>
      </c>
      <c r="BD5" s="13">
        <f>IF('Données projet'!$A$88&gt;35,BD4+BC5-BL4,IF(A5&lt;'Données projet'!$A$88,$BA$205^A5,IF(A5='Données projet'!$A$88,'Données projet'!$B$88,BD4+BC5-BL4)))</f>
        <v>1.6353397711850939</v>
      </c>
      <c r="BE5" s="14">
        <f>BD5*VLOOKUP('Données projet'!$B$11,Paramètres!$A$1:$I$89,3,0)*VLOOKUP('Données projet'!$B$11,Paramètres!$A$1:$I$89,5,0)</f>
        <v>1.2755650215243732</v>
      </c>
      <c r="BF5" s="14">
        <f t="shared" ref="BF5:BF68" si="37">EXP(-1.0587+0.8836*LN(BE5)+0.284)</f>
        <v>0.57141400910743001</v>
      </c>
      <c r="BG5" s="22">
        <f t="shared" si="7"/>
        <v>3.2168218116837237</v>
      </c>
      <c r="BH5" s="62">
        <f t="shared" si="8"/>
        <v>262.32793292279484</v>
      </c>
      <c r="BI5" s="62">
        <f ca="1">AVERAGE(OFFSET($BH$3,0,0,'Données projet'!$E$11+1,1))-AVERAGE(OFFSET($H$3,0,0,'Données projet'!$E$11+1,1))</f>
        <v>288.82868507674738</v>
      </c>
      <c r="BJ5" s="62">
        <f t="shared" ref="BJ5:BJ68" si="38">$BJ$3</f>
        <v>283.48738729114024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2.4666666666666668</v>
      </c>
      <c r="BY5" s="13">
        <f>IF('Données projet'!$A$114&gt;35,BY4+BX5-CG4,IF(A5&lt;'Données projet'!$A$114,$BV$205^A5,IF(A5='Données projet'!$A$114,'Données projet'!$B$114,BY4+BX5-CG4)))</f>
        <v>1.6184286699097237</v>
      </c>
      <c r="BZ5" s="14">
        <f>BY5*VLOOKUP('Données projet'!$B$12,Paramètres!$A$1:$I$89,3,0)*VLOOKUP('Données projet'!$B$12,Paramètres!$A$1:$I$89,5,0)</f>
        <v>1.2876218497801761</v>
      </c>
      <c r="CA5" s="14">
        <f t="shared" ref="CA5:CA68" si="39">EXP(-1.0587+0.8836*LN(BZ5)+0.284)</f>
        <v>0.57618379541883336</v>
      </c>
      <c r="CB5" s="22">
        <f t="shared" si="10"/>
        <v>3.2461281653882743</v>
      </c>
      <c r="CC5" s="62">
        <f t="shared" si="11"/>
        <v>262.3572392764994</v>
      </c>
      <c r="CD5" s="62">
        <f ca="1">AVERAGE(OFFSET($CC$3,0,0,'Données projet'!$E$12+1,1))-AVERAGE(OFFSET($H$3,0,0,'Données projet'!$E$12+1,1))</f>
        <v>298.89893065707554</v>
      </c>
      <c r="CE5" s="62">
        <f t="shared" ref="CE5:CE68" si="40">$CE$3</f>
        <v>294.28794439094878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1.9</v>
      </c>
      <c r="CT5" s="13">
        <f>IF('Données projet'!$A$140&gt;35,CT4+CS5-DB4,IF(A5&lt;'Données projet'!$A$140,$CQ$205^A5,IF(A5='Données projet'!$A$140,'Données projet'!$B$140,CT4+CS5-DB4)))</f>
        <v>1.8019831273171425</v>
      </c>
      <c r="CU5" s="18">
        <f>CT5*VLOOKUP('Données projet'!$B$13,Paramètres!$A$1:$I$89,3,0)*VLOOKUP('Données projet'!$B$13,Paramètres!$A$1:$I$89,5,0)</f>
        <v>1.3212140289489287</v>
      </c>
      <c r="CV5" s="14">
        <f t="shared" ref="CV5:CV68" si="41">EXP(-1.0587+0.8836*LN(CU5)+0.284)</f>
        <v>0.58944591680017422</v>
      </c>
      <c r="CW5" s="22">
        <f t="shared" si="13"/>
        <v>3.327732738846354</v>
      </c>
      <c r="CX5" s="62">
        <f t="shared" si="14"/>
        <v>262.43884384995749</v>
      </c>
      <c r="CY5" s="62">
        <f ca="1">AVERAGE(OFFSET($CX$3,0,0,'Données projet'!$E$13+1,1))-AVERAGE(OFFSET($H$3,0,0,'Données projet'!$E$13+1,1))</f>
        <v>376.5422416541544</v>
      </c>
      <c r="CZ5" s="62">
        <f t="shared" ref="CZ5:CZ68" si="42">$CZ$3</f>
        <v>365.76175372075869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439.06700232017681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8.1999999999999993</v>
      </c>
      <c r="AI6" s="14">
        <f>IF('Données projet'!$A$62&gt;35,AI5+AH6-AQ5,IF(A6&lt;'Données projet'!$A$62,$AF$205^A6,IF(A6='Données projet'!$A$62,'Données projet'!$B$62,AI5+AH6-AQ5)))</f>
        <v>9.282614481346684</v>
      </c>
      <c r="AJ6" s="14">
        <f>AI6*VLOOKUP('Données projet'!$B$10,Paramètres!$A$1:$I$89,3,0)*VLOOKUP('Données projet'!$B$10,Paramètres!$A$1:$I$89,5,0)</f>
        <v>8.3989095827224798</v>
      </c>
      <c r="AK6" s="14">
        <f t="shared" si="35"/>
        <v>3.0213109491815406</v>
      </c>
      <c r="AL6" s="22">
        <f t="shared" si="4"/>
        <v>19.890217426399502</v>
      </c>
      <c r="AM6" s="62">
        <f t="shared" si="5"/>
        <v>280.2235507597328</v>
      </c>
      <c r="AN6" s="62">
        <f ca="1">AVERAGE(OFFSET($AM$3,0,0,'Données projet'!$E$10+1,1))-AVERAGE(OFFSET($H$3,0,0,'Données projet'!$E$10+1,1))</f>
        <v>436.23918637269577</v>
      </c>
      <c r="AO6" s="62">
        <f t="shared" si="36"/>
        <v>611.43967996341894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2.6666666666666665</v>
      </c>
      <c r="BD6" s="13">
        <f>IF('Données projet'!$A$88&gt;35,BD5+BC6-BL5,IF(A6&lt;'Données projet'!$A$88,$BA$205^A6,IF(A6='Données projet'!$A$88,'Données projet'!$B$88,BD5+BC6-BL5)))</f>
        <v>2.0912791051825459</v>
      </c>
      <c r="BE6" s="14">
        <f>BD6*VLOOKUP('Données projet'!$B$11,Paramètres!$A$1:$I$89,3,0)*VLOOKUP('Données projet'!$B$11,Paramètres!$A$1:$I$89,5,0)</f>
        <v>1.6311977020423858</v>
      </c>
      <c r="BF6" s="14">
        <f t="shared" si="37"/>
        <v>0.71010553443370616</v>
      </c>
      <c r="BG6" s="22">
        <f t="shared" si="7"/>
        <v>4.0777698035291934</v>
      </c>
      <c r="BH6" s="62">
        <f t="shared" si="8"/>
        <v>264.41110313686249</v>
      </c>
      <c r="BI6" s="62">
        <f ca="1">AVERAGE(OFFSET($BH$3,0,0,'Données projet'!$E$11+1,1))-AVERAGE(OFFSET($H$3,0,0,'Données projet'!$E$11+1,1))</f>
        <v>288.82868507674738</v>
      </c>
      <c r="BJ6" s="62">
        <f t="shared" si="38"/>
        <v>283.48738729114024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2.4666666666666668</v>
      </c>
      <c r="BY6" s="13">
        <f>IF('Données projet'!$A$114&gt;35,BY5+BX6-CG5,IF(A6&lt;'Données projet'!$A$114,$BV$205^A6,IF(A6='Données projet'!$A$114,'Données projet'!$B$114,BY5+BX6-CG5)))</f>
        <v>2.0589241364785171</v>
      </c>
      <c r="BZ6" s="14">
        <f>BY6*VLOOKUP('Données projet'!$B$12,Paramètres!$A$1:$I$89,3,0)*VLOOKUP('Données projet'!$B$12,Paramètres!$A$1:$I$89,5,0)</f>
        <v>1.6380800429823084</v>
      </c>
      <c r="CA6" s="14">
        <f t="shared" si="39"/>
        <v>0.71275221602487127</v>
      </c>
      <c r="CB6" s="22">
        <f t="shared" si="10"/>
        <v>4.0943661844375043</v>
      </c>
      <c r="CC6" s="62">
        <f t="shared" si="11"/>
        <v>264.4276995177708</v>
      </c>
      <c r="CD6" s="62">
        <f ca="1">AVERAGE(OFFSET($CC$3,0,0,'Données projet'!$E$12+1,1))-AVERAGE(OFFSET($H$3,0,0,'Données projet'!$E$12+1,1))</f>
        <v>298.89893065707554</v>
      </c>
      <c r="CE6" s="62">
        <f t="shared" si="40"/>
        <v>294.28794439094878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1.9</v>
      </c>
      <c r="CT6" s="13">
        <f>IF('Données projet'!$A$140&gt;35,CT5+CS6-DB5,IF(A6&lt;'Données projet'!$A$140,$CQ$205^A6,IF(A6='Données projet'!$A$140,'Données projet'!$B$140,CT5+CS6-DB5)))</f>
        <v>2.4189454814875879</v>
      </c>
      <c r="CU6" s="18">
        <f>CT6*VLOOKUP('Données projet'!$B$13,Paramètres!$A$1:$I$89,3,0)*VLOOKUP('Données projet'!$B$13,Paramètres!$A$1:$I$89,5,0)</f>
        <v>1.7735708270266992</v>
      </c>
      <c r="CV6" s="14">
        <f t="shared" si="41"/>
        <v>0.76460059525341872</v>
      </c>
      <c r="CW6" s="22">
        <f t="shared" si="13"/>
        <v>4.4206485604712045</v>
      </c>
      <c r="CX6" s="62">
        <f t="shared" si="14"/>
        <v>264.75398189380451</v>
      </c>
      <c r="CY6" s="62">
        <f ca="1">AVERAGE(OFFSET($CX$3,0,0,'Données projet'!$E$13+1,1))-AVERAGE(OFFSET($H$3,0,0,'Données projet'!$E$13+1,1))</f>
        <v>376.5422416541544</v>
      </c>
      <c r="CZ6" s="62">
        <f t="shared" si="42"/>
        <v>365.76175372075869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439.06700232017681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8.1999999999999993</v>
      </c>
      <c r="AI7" s="14">
        <f>IF('Données projet'!$A$62&gt;35,AI6+AH7-AQ6,IF(A7&lt;'Données projet'!$A$62,$AF$205^A7,IF(A7='Données projet'!$A$62,'Données projet'!$B$62,AI6+AH7-AQ6)))</f>
        <v>19.508644077311324</v>
      </c>
      <c r="AJ7" s="14">
        <f>AI7*VLOOKUP('Données projet'!$B$10,Paramètres!$A$1:$I$89,3,0)*VLOOKUP('Données projet'!$B$10,Paramètres!$A$1:$I$89,5,0)</f>
        <v>17.651421161151287</v>
      </c>
      <c r="AK7" s="14">
        <f t="shared" si="35"/>
        <v>5.8238018188481702</v>
      </c>
      <c r="AL7" s="22">
        <f t="shared" si="4"/>
        <v>40.886013356832393</v>
      </c>
      <c r="AM7" s="62">
        <f t="shared" si="5"/>
        <v>302.44156891238794</v>
      </c>
      <c r="AN7" s="62">
        <f ca="1">AVERAGE(OFFSET($AM$3,0,0,'Données projet'!$E$10+1,1))-AVERAGE(OFFSET($H$3,0,0,'Données projet'!$E$10+1,1))</f>
        <v>436.23918637269577</v>
      </c>
      <c r="AO7" s="62">
        <f t="shared" si="36"/>
        <v>611.43967996341894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2.6666666666666665</v>
      </c>
      <c r="BD7" s="13">
        <f>IF('Données projet'!$A$88&gt;35,BD6+BC7-BL6,IF(A7&lt;'Données projet'!$A$88,$BA$205^A7,IF(A7='Données projet'!$A$88,'Données projet'!$B$88,BD6+BC7-BL6)))</f>
        <v>2.6743361672197152</v>
      </c>
      <c r="BE7" s="14">
        <f>BD7*VLOOKUP('Données projet'!$B$11,Paramètres!$A$1:$I$89,3,0)*VLOOKUP('Données projet'!$B$11,Paramètres!$A$1:$I$89,5,0)</f>
        <v>2.0859822104313781</v>
      </c>
      <c r="BF7" s="14">
        <f t="shared" si="37"/>
        <v>0.88245976121767966</v>
      </c>
      <c r="BG7" s="22">
        <f t="shared" si="7"/>
        <v>5.1700364339554419</v>
      </c>
      <c r="BH7" s="62">
        <f t="shared" si="8"/>
        <v>266.72559198951097</v>
      </c>
      <c r="BI7" s="62">
        <f ca="1">AVERAGE(OFFSET($BH$3,0,0,'Données projet'!$E$11+1,1))-AVERAGE(OFFSET($H$3,0,0,'Données projet'!$E$11+1,1))</f>
        <v>288.82868507674738</v>
      </c>
      <c r="BJ7" s="62">
        <f t="shared" si="38"/>
        <v>283.48738729114024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2.4666666666666668</v>
      </c>
      <c r="BY7" s="13">
        <f>IF('Données projet'!$A$114&gt;35,BY6+BX7-CG6,IF(A7&lt;'Données projet'!$A$114,$BV$205^A7,IF(A7='Données projet'!$A$114,'Données projet'!$B$114,BY6+BX7-CG6)))</f>
        <v>2.6193113595857573</v>
      </c>
      <c r="BZ7" s="14">
        <f>BY7*VLOOKUP('Données projet'!$B$12,Paramètres!$A$1:$I$89,3,0)*VLOOKUP('Données projet'!$B$12,Paramètres!$A$1:$I$89,5,0)</f>
        <v>2.0839241176864287</v>
      </c>
      <c r="CA7" s="14">
        <f t="shared" si="39"/>
        <v>0.88169040068036508</v>
      </c>
      <c r="CB7" s="22">
        <f t="shared" si="10"/>
        <v>5.1651119528221656</v>
      </c>
      <c r="CC7" s="62">
        <f t="shared" si="11"/>
        <v>266.72066750837769</v>
      </c>
      <c r="CD7" s="62">
        <f ca="1">AVERAGE(OFFSET($CC$3,0,0,'Données projet'!$E$12+1,1))-AVERAGE(OFFSET($H$3,0,0,'Données projet'!$E$12+1,1))</f>
        <v>298.89893065707554</v>
      </c>
      <c r="CE7" s="62">
        <f t="shared" si="40"/>
        <v>294.28794439094878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1.9</v>
      </c>
      <c r="CT7" s="13">
        <f>IF('Données projet'!$A$140&gt;35,CT6+CS7-DB6,IF(A7&lt;'Données projet'!$A$140,$CQ$205^A7,IF(A7='Données projet'!$A$140,'Données projet'!$B$140,CT6+CS7-DB6)))</f>
        <v>3.247143191135669</v>
      </c>
      <c r="CU7" s="18">
        <f>CT7*VLOOKUP('Données projet'!$B$13,Paramètres!$A$1:$I$89,3,0)*VLOOKUP('Données projet'!$B$13,Paramètres!$A$1:$I$89,5,0)</f>
        <v>2.3808053877406725</v>
      </c>
      <c r="CV7" s="14">
        <f t="shared" si="41"/>
        <v>0.99180273134383279</v>
      </c>
      <c r="CW7" s="22">
        <f t="shared" si="13"/>
        <v>5.8739591407388465</v>
      </c>
      <c r="CX7" s="62">
        <f t="shared" si="14"/>
        <v>267.4295146962944</v>
      </c>
      <c r="CY7" s="62">
        <f ca="1">AVERAGE(OFFSET($CX$3,0,0,'Données projet'!$E$13+1,1))-AVERAGE(OFFSET($H$3,0,0,'Données projet'!$E$13+1,1))</f>
        <v>376.5422416541544</v>
      </c>
      <c r="CZ7" s="62">
        <f t="shared" si="42"/>
        <v>365.76175372075869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439.06700232017681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41</v>
      </c>
      <c r="AG8" s="13">
        <f>VLOOKUP(A8,'Données projet'!$A$61:$I$81,9,0)</f>
        <v>8.1999999999999993</v>
      </c>
      <c r="AH8" s="13">
        <f t="array" ref="AH8">INDEX(AG:AG,MIN(IF(ISNUMBER(AG8:AG204),ROW(AG8:AG204),"")))</f>
        <v>8.1999999999999993</v>
      </c>
      <c r="AI8" s="14">
        <f>IF('Données projet'!$A$62&gt;35,AI7+AH8-AQ7,IF(A8&lt;'Données projet'!$A$62,$AF$205^A8,IF(A8='Données projet'!$A$62,'Données projet'!$B$62,AI7+AH8-AQ7)))</f>
        <v>41</v>
      </c>
      <c r="AJ8" s="14">
        <f>AI8*VLOOKUP('Données projet'!$B$10,Paramètres!$A$1:$I$89,3,0)*VLOOKUP('Données projet'!$B$10,Paramètres!$A$1:$I$89,5,0)</f>
        <v>37.096799999999995</v>
      </c>
      <c r="AK8" s="14">
        <f t="shared" si="35"/>
        <v>11.225811641270189</v>
      </c>
      <c r="AL8" s="22">
        <f t="shared" si="4"/>
        <v>84.161881941878903</v>
      </c>
      <c r="AM8" s="62">
        <f t="shared" si="5"/>
        <v>346.93965971965667</v>
      </c>
      <c r="AN8" s="62">
        <f ca="1">AVERAGE(OFFSET($AM$3,0,0,'Données projet'!$E$10+1,1))-AVERAGE(OFFSET($H$3,0,0,'Données projet'!$E$10+1,1))</f>
        <v>436.23918637269577</v>
      </c>
      <c r="AO8" s="62">
        <f t="shared" si="36"/>
        <v>611.43967996341894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8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2.6666666666666665</v>
      </c>
      <c r="BD8" s="13">
        <f>IF('Données projet'!$A$88&gt;35,BD7+BC8-BL7,IF(A8&lt;'Données projet'!$A$88,$BA$205^A8,IF(A8='Données projet'!$A$88,'Données projet'!$B$88,BD7+BC8-BL7)))</f>
        <v>3.4199518933533928</v>
      </c>
      <c r="BE8" s="14">
        <f>BD8*VLOOKUP('Données projet'!$B$11,Paramètres!$A$1:$I$89,3,0)*VLOOKUP('Données projet'!$B$11,Paramètres!$A$1:$I$89,5,0)</f>
        <v>2.6675624768156463</v>
      </c>
      <c r="BF8" s="14">
        <f t="shared" si="37"/>
        <v>1.0966471776471767</v>
      </c>
      <c r="BG8" s="22">
        <f t="shared" si="7"/>
        <v>6.5559984815227494</v>
      </c>
      <c r="BH8" s="62">
        <f t="shared" si="8"/>
        <v>269.33377625930052</v>
      </c>
      <c r="BI8" s="62">
        <f ca="1">AVERAGE(OFFSET($BH$3,0,0,'Données projet'!$E$11+1,1))-AVERAGE(OFFSET($H$3,0,0,'Données projet'!$E$11+1,1))</f>
        <v>288.82868507674738</v>
      </c>
      <c r="BJ8" s="62">
        <f t="shared" si="38"/>
        <v>283.48738729114024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2.4666666666666668</v>
      </c>
      <c r="BY8" s="13">
        <f>IF('Données projet'!$A$114&gt;35,BY7+BX8-CG7,IF(A8&lt;'Données projet'!$A$114,$BV$205^A8,IF(A8='Données projet'!$A$114,'Données projet'!$B$114,BY7+BX8-CG7)))</f>
        <v>3.332221851645953</v>
      </c>
      <c r="BZ8" s="14">
        <f>BY8*VLOOKUP('Données projet'!$B$12,Paramètres!$A$1:$I$89,3,0)*VLOOKUP('Données projet'!$B$12,Paramètres!$A$1:$I$89,5,0)</f>
        <v>2.6511157051695204</v>
      </c>
      <c r="CA8" s="14">
        <f t="shared" si="39"/>
        <v>1.0906707059957799</v>
      </c>
      <c r="CB8" s="22">
        <f t="shared" si="10"/>
        <v>6.5169446661128978</v>
      </c>
      <c r="CC8" s="62">
        <f t="shared" si="11"/>
        <v>269.29472244389069</v>
      </c>
      <c r="CD8" s="62">
        <f ca="1">AVERAGE(OFFSET($CC$3,0,0,'Données projet'!$E$12+1,1))-AVERAGE(OFFSET($H$3,0,0,'Données projet'!$E$12+1,1))</f>
        <v>298.89893065707554</v>
      </c>
      <c r="CE8" s="62">
        <f t="shared" si="40"/>
        <v>294.28794439094878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1.9</v>
      </c>
      <c r="CT8" s="13">
        <f>IF('Données projet'!$A$140&gt;35,CT7+CS8-DB7,IF(A8&lt;'Données projet'!$A$140,$CQ$205^A8,IF(A8='Données projet'!$A$140,'Données projet'!$B$140,CT7+CS8-DB7)))</f>
        <v>4.3588989435406749</v>
      </c>
      <c r="CU8" s="18">
        <f>CT8*VLOOKUP('Données projet'!$B$13,Paramètres!$A$1:$I$89,3,0)*VLOOKUP('Données projet'!$B$13,Paramètres!$A$1:$I$89,5,0)</f>
        <v>3.1959447054040226</v>
      </c>
      <c r="CV8" s="14">
        <f t="shared" si="41"/>
        <v>1.2865182998910156</v>
      </c>
      <c r="CW8" s="22">
        <f t="shared" si="13"/>
        <v>7.8069564008888577</v>
      </c>
      <c r="CX8" s="62">
        <f t="shared" si="14"/>
        <v>270.58473417866662</v>
      </c>
      <c r="CY8" s="62">
        <f ca="1">AVERAGE(OFFSET($CX$3,0,0,'Données projet'!$E$13+1,1))-AVERAGE(OFFSET($H$3,0,0,'Données projet'!$E$13+1,1))</f>
        <v>376.5422416541544</v>
      </c>
      <c r="CZ8" s="62">
        <f t="shared" si="42"/>
        <v>365.76175372075869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439.06700232017681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17.600000000000001</v>
      </c>
      <c r="AI9" s="14">
        <f>IF('Données projet'!$A$62&gt;35,AI8+AH9-AQ8,IF(A9&lt;'Données projet'!$A$62,$AF$205^A9,IF(A9='Données projet'!$A$62,'Données projet'!$B$62,AI8+AH9-AQ8)))</f>
        <v>50.6</v>
      </c>
      <c r="AJ9" s="14">
        <f>AI9*VLOOKUP('Données projet'!$B$10,Paramètres!$A$1:$I$89,3,0)*VLOOKUP('Données projet'!$B$10,Paramètres!$A$1:$I$89,5,0)</f>
        <v>45.782879999999999</v>
      </c>
      <c r="AK9" s="14">
        <f t="shared" si="35"/>
        <v>13.519148289060759</v>
      </c>
      <c r="AL9" s="22">
        <f t="shared" si="4"/>
        <v>103.28436593678082</v>
      </c>
      <c r="AM9" s="62">
        <f t="shared" si="5"/>
        <v>367.28436593678083</v>
      </c>
      <c r="AN9" s="62">
        <f ca="1">AVERAGE(OFFSET($AM$3,0,0,'Données projet'!$E$10+1,1))-AVERAGE(OFFSET($H$3,0,0,'Données projet'!$E$10+1,1))</f>
        <v>436.23918637269577</v>
      </c>
      <c r="AO9" s="62">
        <f t="shared" si="36"/>
        <v>611.43967996341894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2.6666666666666665</v>
      </c>
      <c r="BD9" s="13">
        <f>IF('Données projet'!$A$88&gt;35,BD8+BC9-BL8,IF(A9&lt;'Données projet'!$A$88,$BA$205^A9,IF(A9='Données projet'!$A$88,'Données projet'!$B$88,BD8+BC9-BL8)))</f>
        <v>4.3734482957731098</v>
      </c>
      <c r="BE9" s="14">
        <f>BD9*VLOOKUP('Données projet'!$B$11,Paramètres!$A$1:$I$89,3,0)*VLOOKUP('Données projet'!$B$11,Paramètres!$A$1:$I$89,5,0)</f>
        <v>3.4112896707030256</v>
      </c>
      <c r="BF9" s="14">
        <f t="shared" si="37"/>
        <v>1.3628213830192535</v>
      </c>
      <c r="BG9" s="22">
        <f t="shared" si="7"/>
        <v>8.3149100852329703</v>
      </c>
      <c r="BH9" s="62">
        <f t="shared" si="8"/>
        <v>272.31491008523295</v>
      </c>
      <c r="BI9" s="62">
        <f ca="1">AVERAGE(OFFSET($BH$3,0,0,'Données projet'!$E$11+1,1))-AVERAGE(OFFSET($H$3,0,0,'Données projet'!$E$11+1,1))</f>
        <v>288.82868507674738</v>
      </c>
      <c r="BJ9" s="62">
        <f t="shared" si="38"/>
        <v>283.48738729114024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2.4666666666666668</v>
      </c>
      <c r="BY9" s="13">
        <f>IF('Données projet'!$A$114&gt;35,BY8+BX9-CG8,IF(A9&lt;'Données projet'!$A$114,$BV$205^A9,IF(A9='Données projet'!$A$114,'Données projet'!$B$114,BY8+BX9-CG8)))</f>
        <v>4.2391685997738069</v>
      </c>
      <c r="BZ9" s="14">
        <f>BY9*VLOOKUP('Données projet'!$B$12,Paramètres!$A$1:$I$89,3,0)*VLOOKUP('Données projet'!$B$12,Paramètres!$A$1:$I$89,5,0)</f>
        <v>3.3726825379800407</v>
      </c>
      <c r="CA9" s="14">
        <f t="shared" si="39"/>
        <v>1.3491840083541735</v>
      </c>
      <c r="CB9" s="22">
        <f t="shared" si="10"/>
        <v>8.2239175681987557</v>
      </c>
      <c r="CC9" s="62">
        <f t="shared" si="11"/>
        <v>272.22391756819877</v>
      </c>
      <c r="CD9" s="62">
        <f ca="1">AVERAGE(OFFSET($CC$3,0,0,'Données projet'!$E$12+1,1))-AVERAGE(OFFSET($H$3,0,0,'Données projet'!$E$12+1,1))</f>
        <v>298.89893065707554</v>
      </c>
      <c r="CE9" s="62">
        <f t="shared" si="40"/>
        <v>294.28794439094878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1.9</v>
      </c>
      <c r="CT9" s="13">
        <f>IF('Données projet'!$A$140&gt;35,CT8+CS9-DB8,IF(A9&lt;'Données projet'!$A$140,$CQ$205^A9,IF(A9='Données projet'!$A$140,'Données projet'!$B$140,CT8+CS9-DB8)))</f>
        <v>5.8512972424092187</v>
      </c>
      <c r="CU9" s="18">
        <f>CT9*VLOOKUP('Données projet'!$B$13,Paramètres!$A$1:$I$89,3,0)*VLOOKUP('Données projet'!$B$13,Paramètres!$A$1:$I$89,5,0)</f>
        <v>4.290171138134439</v>
      </c>
      <c r="CV9" s="14">
        <f t="shared" si="41"/>
        <v>1.6688090117596963</v>
      </c>
      <c r="CW9" s="22">
        <f t="shared" si="13"/>
        <v>10.378557094398952</v>
      </c>
      <c r="CX9" s="62">
        <f t="shared" si="14"/>
        <v>274.37855709439896</v>
      </c>
      <c r="CY9" s="62">
        <f ca="1">AVERAGE(OFFSET($CX$3,0,0,'Données projet'!$E$13+1,1))-AVERAGE(OFFSET($H$3,0,0,'Données projet'!$E$13+1,1))</f>
        <v>376.5422416541544</v>
      </c>
      <c r="CZ9" s="62">
        <f t="shared" si="42"/>
        <v>365.76175372075869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439.06700232017681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17.600000000000001</v>
      </c>
      <c r="AI10" s="14">
        <f>IF('Données projet'!$A$62&gt;35,AI9+AH10-AQ9,IF(A10&lt;'Données projet'!$A$62,$AF$205^A10,IF(A10='Données projet'!$A$62,'Données projet'!$B$62,AI9+AH10-AQ9)))</f>
        <v>68.2</v>
      </c>
      <c r="AJ10" s="14">
        <f>AI10*VLOOKUP('Données projet'!$B$10,Paramètres!$A$1:$I$89,3,0)*VLOOKUP('Données projet'!$B$10,Paramètres!$A$1:$I$89,5,0)</f>
        <v>61.707360000000001</v>
      </c>
      <c r="AK10" s="14">
        <f t="shared" si="35"/>
        <v>17.599235734890414</v>
      </c>
      <c r="AL10" s="22">
        <f t="shared" si="4"/>
        <v>138.12565423826746</v>
      </c>
      <c r="AM10" s="62">
        <f t="shared" si="5"/>
        <v>403.34787646048972</v>
      </c>
      <c r="AN10" s="62">
        <f ca="1">AVERAGE(OFFSET($AM$3,0,0,'Données projet'!$E$10+1,1))-AVERAGE(OFFSET($H$3,0,0,'Données projet'!$E$10+1,1))</f>
        <v>436.23918637269577</v>
      </c>
      <c r="AO10" s="62">
        <f t="shared" si="36"/>
        <v>611.43967996341894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2.6666666666666665</v>
      </c>
      <c r="BD10" s="13">
        <f>IF('Données projet'!$A$88&gt;35,BD9+BC10-BL9,IF(A10&lt;'Données projet'!$A$88,$BA$205^A10,IF(A10='Données projet'!$A$88,'Données projet'!$B$88,BD9+BC10-BL9)))</f>
        <v>5.5927833467405659</v>
      </c>
      <c r="BE10" s="14">
        <f>BD10*VLOOKUP('Données projet'!$B$11,Paramètres!$A$1:$I$89,3,0)*VLOOKUP('Données projet'!$B$11,Paramètres!$A$1:$I$89,5,0)</f>
        <v>4.3623710104576414</v>
      </c>
      <c r="BF10" s="14">
        <f t="shared" si="37"/>
        <v>1.6936004212396314</v>
      </c>
      <c r="BG10" s="22">
        <f t="shared" si="7"/>
        <v>10.54748357687275</v>
      </c>
      <c r="BH10" s="62">
        <f t="shared" si="8"/>
        <v>275.76970579909499</v>
      </c>
      <c r="BI10" s="62">
        <f ca="1">AVERAGE(OFFSET($BH$3,0,0,'Données projet'!$E$11+1,1))-AVERAGE(OFFSET($H$3,0,0,'Données projet'!$E$11+1,1))</f>
        <v>288.82868507674738</v>
      </c>
      <c r="BJ10" s="62">
        <f t="shared" si="38"/>
        <v>283.48738729114024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2.4666666666666668</v>
      </c>
      <c r="BY10" s="13">
        <f>IF('Données projet'!$A$114&gt;35,BY9+BX10-CG9,IF(A10&lt;'Données projet'!$A$114,$BV$205^A10,IF(A10='Données projet'!$A$114,'Données projet'!$B$114,BY9+BX10-CG9)))</f>
        <v>5.3929633792034757</v>
      </c>
      <c r="BZ10" s="14">
        <f>BY10*VLOOKUP('Données projet'!$B$12,Paramètres!$A$1:$I$89,3,0)*VLOOKUP('Données projet'!$B$12,Paramètres!$A$1:$I$89,5,0)</f>
        <v>4.2906416644942853</v>
      </c>
      <c r="CA10" s="14">
        <f t="shared" si="39"/>
        <v>1.6689707336887791</v>
      </c>
      <c r="CB10" s="22">
        <f t="shared" si="10"/>
        <v>10.379658260168837</v>
      </c>
      <c r="CC10" s="62">
        <f t="shared" si="11"/>
        <v>275.60188048239104</v>
      </c>
      <c r="CD10" s="62">
        <f ca="1">AVERAGE(OFFSET($CC$3,0,0,'Données projet'!$E$12+1,1))-AVERAGE(OFFSET($H$3,0,0,'Données projet'!$E$12+1,1))</f>
        <v>298.89893065707554</v>
      </c>
      <c r="CE10" s="62">
        <f t="shared" si="40"/>
        <v>294.28794439094878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1.9</v>
      </c>
      <c r="CT10" s="13">
        <f>IF('Données projet'!$A$140&gt;35,CT9+CS10-DB9,IF(A10&lt;'Données projet'!$A$140,$CQ$205^A10,IF(A10='Données projet'!$A$140,'Données projet'!$B$140,CT9+CS10-DB9)))</f>
        <v>7.8546623499408135</v>
      </c>
      <c r="CU10" s="18">
        <f>CT10*VLOOKUP('Données projet'!$B$13,Paramètres!$A$1:$I$89,3,0)*VLOOKUP('Données projet'!$B$13,Paramètres!$A$1:$I$89,5,0)</f>
        <v>5.7590384349766044</v>
      </c>
      <c r="CV10" s="14">
        <f t="shared" si="41"/>
        <v>2.1646979432521807</v>
      </c>
      <c r="CW10" s="22">
        <f t="shared" si="13"/>
        <v>13.800507525415135</v>
      </c>
      <c r="CX10" s="62">
        <f t="shared" si="14"/>
        <v>279.02272974763736</v>
      </c>
      <c r="CY10" s="62">
        <f ca="1">AVERAGE(OFFSET($CX$3,0,0,'Données projet'!$E$13+1,1))-AVERAGE(OFFSET($H$3,0,0,'Données projet'!$E$13+1,1))</f>
        <v>376.5422416541544</v>
      </c>
      <c r="CZ10" s="62">
        <f t="shared" si="42"/>
        <v>365.76175372075869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439.06700232017681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17.600000000000001</v>
      </c>
      <c r="AI11" s="14">
        <f>IF('Données projet'!$A$62&gt;35,AI10+AH11-AQ10,IF(A11&lt;'Données projet'!$A$62,$AF$205^A11,IF(A11='Données projet'!$A$62,'Données projet'!$B$62,AI10+AH11-AQ10)))</f>
        <v>85.800000000000011</v>
      </c>
      <c r="AJ11" s="14">
        <f>AI11*VLOOKUP('Données projet'!$B$10,Paramètres!$A$1:$I$89,3,0)*VLOOKUP('Données projet'!$B$10,Paramètres!$A$1:$I$89,5,0)</f>
        <v>77.631840000000011</v>
      </c>
      <c r="AK11" s="14">
        <f t="shared" si="35"/>
        <v>21.557147963295233</v>
      </c>
      <c r="AL11" s="22">
        <f t="shared" si="4"/>
        <v>172.75415403607255</v>
      </c>
      <c r="AM11" s="62">
        <f t="shared" si="5"/>
        <v>439.19859848051703</v>
      </c>
      <c r="AN11" s="62">
        <f ca="1">AVERAGE(OFFSET($AM$3,0,0,'Données projet'!$E$10+1,1))-AVERAGE(OFFSET($H$3,0,0,'Données projet'!$E$10+1,1))</f>
        <v>436.23918637269577</v>
      </c>
      <c r="AO11" s="62">
        <f t="shared" si="36"/>
        <v>611.43967996341894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2.6666666666666665</v>
      </c>
      <c r="BD11" s="13">
        <f>IF('Données projet'!$A$88&gt;35,BD10+BC11-BL10,IF(A11&lt;'Données projet'!$A$88,$BA$205^A11,IF(A11='Données projet'!$A$88,'Données projet'!$B$88,BD10+BC11-BL10)))</f>
        <v>7.1520739352994367</v>
      </c>
      <c r="BE11" s="14">
        <f>BD11*VLOOKUP('Données projet'!$B$11,Paramètres!$A$1:$I$89,3,0)*VLOOKUP('Données projet'!$B$11,Paramètres!$A$1:$I$89,5,0)</f>
        <v>5.5786176695335605</v>
      </c>
      <c r="BF11" s="14">
        <f t="shared" si="37"/>
        <v>2.1046649418345189</v>
      </c>
      <c r="BG11" s="22">
        <f t="shared" si="7"/>
        <v>13.381717214799407</v>
      </c>
      <c r="BH11" s="62">
        <f t="shared" si="8"/>
        <v>279.82616165924384</v>
      </c>
      <c r="BI11" s="62">
        <f ca="1">AVERAGE(OFFSET($BH$3,0,0,'Données projet'!$E$11+1,1))-AVERAGE(OFFSET($H$3,0,0,'Données projet'!$E$11+1,1))</f>
        <v>288.82868507674738</v>
      </c>
      <c r="BJ11" s="62">
        <f t="shared" si="38"/>
        <v>283.48738729114024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2.4666666666666668</v>
      </c>
      <c r="BY11" s="13">
        <f>IF('Données projet'!$A$114&gt;35,BY10+BX11-CG10,IF(A11&lt;'Données projet'!$A$114,$BV$205^A11,IF(A11='Données projet'!$A$114,'Données projet'!$B$114,BY10+BX11-CG10)))</f>
        <v>6.8607919984549888</v>
      </c>
      <c r="BZ11" s="14">
        <f>BY11*VLOOKUP('Données projet'!$B$12,Paramètres!$A$1:$I$89,3,0)*VLOOKUP('Données projet'!$B$12,Paramètres!$A$1:$I$89,5,0)</f>
        <v>5.4584461139707896</v>
      </c>
      <c r="CA11" s="14">
        <f t="shared" si="39"/>
        <v>2.0645540509389519</v>
      </c>
      <c r="CB11" s="22">
        <f t="shared" si="10"/>
        <v>13.102558620551131</v>
      </c>
      <c r="CC11" s="62">
        <f t="shared" si="11"/>
        <v>279.54700306499558</v>
      </c>
      <c r="CD11" s="62">
        <f ca="1">AVERAGE(OFFSET($CC$3,0,0,'Données projet'!$E$12+1,1))-AVERAGE(OFFSET($H$3,0,0,'Données projet'!$E$12+1,1))</f>
        <v>298.89893065707554</v>
      </c>
      <c r="CE11" s="62">
        <f t="shared" si="40"/>
        <v>294.28794439094878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1.9</v>
      </c>
      <c r="CT11" s="13">
        <f>IF('Données projet'!$A$140&gt;35,CT10+CS11-DB10,IF(A11&lt;'Données projet'!$A$140,$CQ$205^A11,IF(A11='Données projet'!$A$140,'Données projet'!$B$140,CT10+CS11-DB10)))</f>
        <v>10.543938903738736</v>
      </c>
      <c r="CU11" s="18">
        <f>CT11*VLOOKUP('Données projet'!$B$13,Paramètres!$A$1:$I$89,3,0)*VLOOKUP('Données projet'!$B$13,Paramètres!$A$1:$I$89,5,0)</f>
        <v>7.730816004221241</v>
      </c>
      <c r="CV11" s="14">
        <f t="shared" si="41"/>
        <v>2.8079409641844508</v>
      </c>
      <c r="CW11" s="22">
        <f t="shared" si="13"/>
        <v>18.355001719973249</v>
      </c>
      <c r="CX11" s="62">
        <f t="shared" si="14"/>
        <v>284.7994461644177</v>
      </c>
      <c r="CY11" s="62">
        <f ca="1">AVERAGE(OFFSET($CX$3,0,0,'Données projet'!$E$13+1,1))-AVERAGE(OFFSET($H$3,0,0,'Données projet'!$E$13+1,1))</f>
        <v>376.5422416541544</v>
      </c>
      <c r="CZ11" s="62">
        <f t="shared" si="42"/>
        <v>365.76175372075869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439.06700232017681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17.600000000000001</v>
      </c>
      <c r="AI12" s="14">
        <f>IF('Données projet'!$A$62&gt;35,AI11+AH12-AQ11,IF(A12&lt;'Données projet'!$A$62,$AF$205^A12,IF(A12='Données projet'!$A$62,'Données projet'!$B$62,AI11+AH12-AQ11)))</f>
        <v>103.4</v>
      </c>
      <c r="AJ12" s="14">
        <f>AI12*VLOOKUP('Données projet'!$B$10,Paramètres!$A$1:$I$89,3,0)*VLOOKUP('Données projet'!$B$10,Paramètres!$A$1:$I$89,5,0)</f>
        <v>93.556319999999999</v>
      </c>
      <c r="AK12" s="14">
        <f t="shared" si="35"/>
        <v>25.420979659258073</v>
      </c>
      <c r="AL12" s="22">
        <f t="shared" si="4"/>
        <v>207.21879690654114</v>
      </c>
      <c r="AM12" s="62">
        <f t="shared" si="5"/>
        <v>474.88546357320786</v>
      </c>
      <c r="AN12" s="62">
        <f ca="1">AVERAGE(OFFSET($AM$3,0,0,'Données projet'!$E$10+1,1))-AVERAGE(OFFSET($H$3,0,0,'Données projet'!$E$10+1,1))</f>
        <v>436.23918637269577</v>
      </c>
      <c r="AO12" s="62">
        <f t="shared" si="36"/>
        <v>611.43967996341894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2.6666666666666665</v>
      </c>
      <c r="BD12" s="13">
        <f>IF('Données projet'!$A$88&gt;35,BD11+BC12-BL11,IF(A12&lt;'Données projet'!$A$88,$BA$205^A12,IF(A12='Données projet'!$A$88,'Données projet'!$B$88,BD11+BC12-BL11)))</f>
        <v>9.1461010385465205</v>
      </c>
      <c r="BE12" s="14">
        <f>BD12*VLOOKUP('Données projet'!$B$11,Paramètres!$A$1:$I$89,3,0)*VLOOKUP('Données projet'!$B$11,Paramètres!$A$1:$I$89,5,0)</f>
        <v>7.1339588100662858</v>
      </c>
      <c r="BF12" s="14">
        <f t="shared" si="37"/>
        <v>2.6155015444227643</v>
      </c>
      <c r="BG12" s="22">
        <f t="shared" si="7"/>
        <v>16.980310117401761</v>
      </c>
      <c r="BH12" s="62">
        <f t="shared" si="8"/>
        <v>284.64697678406844</v>
      </c>
      <c r="BI12" s="62">
        <f ca="1">AVERAGE(OFFSET($BH$3,0,0,'Données projet'!$E$11+1,1))-AVERAGE(OFFSET($H$3,0,0,'Données projet'!$E$11+1,1))</f>
        <v>288.82868507674738</v>
      </c>
      <c r="BJ12" s="62">
        <f t="shared" si="38"/>
        <v>283.48738729114024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2.4666666666666668</v>
      </c>
      <c r="BY12" s="13">
        <f>IF('Données projet'!$A$114&gt;35,BY11+BX12-CG11,IF(A12&lt;'Données projet'!$A$114,$BV$205^A12,IF(A12='Données projet'!$A$114,'Données projet'!$B$114,BY11+BX12-CG11)))</f>
        <v>8.7281265486761299</v>
      </c>
      <c r="BZ12" s="14">
        <f>BY12*VLOOKUP('Données projet'!$B$12,Paramètres!$A$1:$I$89,3,0)*VLOOKUP('Données projet'!$B$12,Paramètres!$A$1:$I$89,5,0)</f>
        <v>6.9440974821267289</v>
      </c>
      <c r="CA12" s="14">
        <f t="shared" si="39"/>
        <v>2.5538994442566798</v>
      </c>
      <c r="CB12" s="22">
        <f t="shared" si="10"/>
        <v>16.542344646784436</v>
      </c>
      <c r="CC12" s="62">
        <f t="shared" si="11"/>
        <v>284.20901131345113</v>
      </c>
      <c r="CD12" s="62">
        <f ca="1">AVERAGE(OFFSET($CC$3,0,0,'Données projet'!$E$12+1,1))-AVERAGE(OFFSET($H$3,0,0,'Données projet'!$E$12+1,1))</f>
        <v>298.89893065707554</v>
      </c>
      <c r="CE12" s="62">
        <f t="shared" si="40"/>
        <v>294.28794439094878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1.9</v>
      </c>
      <c r="CT12" s="13">
        <f>IF('Données projet'!$A$140&gt;35,CT11+CS12-DB11,IF(A12&lt;'Données projet'!$A$140,$CQ$205^A12,IF(A12='Données projet'!$A$140,'Données projet'!$B$140,CT11+CS12-DB11)))</f>
        <v>14.153969025366564</v>
      </c>
      <c r="CU12" s="18">
        <f>CT12*VLOOKUP('Données projet'!$B$13,Paramètres!$A$1:$I$89,3,0)*VLOOKUP('Données projet'!$B$13,Paramètres!$A$1:$I$89,5,0)</f>
        <v>10.377690089398765</v>
      </c>
      <c r="CV12" s="14">
        <f t="shared" si="41"/>
        <v>3.6423245482922235</v>
      </c>
      <c r="CW12" s="22">
        <f t="shared" si="13"/>
        <v>24.418192160645134</v>
      </c>
      <c r="CX12" s="62">
        <f t="shared" si="14"/>
        <v>292.08485882731179</v>
      </c>
      <c r="CY12" s="62">
        <f ca="1">AVERAGE(OFFSET($CX$3,0,0,'Données projet'!$E$13+1,1))-AVERAGE(OFFSET($H$3,0,0,'Données projet'!$E$13+1,1))</f>
        <v>376.5422416541544</v>
      </c>
      <c r="CZ12" s="62">
        <f t="shared" si="42"/>
        <v>365.76175372075869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439.06700232017681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121</v>
      </c>
      <c r="AG13" s="13">
        <f>VLOOKUP(A13,'Données projet'!$A$61:$I$81,9,0)</f>
        <v>17.600000000000001</v>
      </c>
      <c r="AH13" s="13">
        <f t="array" ref="AH13">INDEX(AG:AG,MIN(IF(ISNUMBER(AG13:AG209),ROW(AG13:AG209),"")))</f>
        <v>17.600000000000001</v>
      </c>
      <c r="AI13" s="14">
        <f>IF('Données projet'!$A$62&gt;35,AI12+AH13-AQ12,IF(A13&lt;'Données projet'!$A$62,$AF$205^A13,IF(A13='Données projet'!$A$62,'Données projet'!$B$62,AI12+AH13-AQ12)))</f>
        <v>121</v>
      </c>
      <c r="AJ13" s="14">
        <f>AI13*VLOOKUP('Données projet'!$B$10,Paramètres!$A$1:$I$89,3,0)*VLOOKUP('Données projet'!$B$10,Paramètres!$A$1:$I$89,5,0)</f>
        <v>109.48079999999999</v>
      </c>
      <c r="AK13" s="14">
        <f t="shared" si="35"/>
        <v>29.208623339903898</v>
      </c>
      <c r="AL13" s="22">
        <f t="shared" si="4"/>
        <v>241.5507456503326</v>
      </c>
      <c r="AM13" s="62">
        <f t="shared" si="5"/>
        <v>510.43963453922146</v>
      </c>
      <c r="AN13" s="62">
        <f ca="1">AVERAGE(OFFSET($AM$3,0,0,'Données projet'!$E$10+1,1))-AVERAGE(OFFSET($H$3,0,0,'Données projet'!$E$10+1,1))</f>
        <v>436.23918637269577</v>
      </c>
      <c r="AO13" s="62">
        <f t="shared" si="36"/>
        <v>611.43967996341894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37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2.6666666666666665</v>
      </c>
      <c r="BD13" s="13">
        <f>IF('Données projet'!$A$88&gt;35,BD12+BC13-BL12,IF(A13&lt;'Données projet'!$A$88,$BA$205^A13,IF(A13='Données projet'!$A$88,'Données projet'!$B$88,BD12+BC13-BL12)))</f>
        <v>11.696070952851455</v>
      </c>
      <c r="BE13" s="14">
        <f>BD13*VLOOKUP('Données projet'!$B$11,Paramètres!$A$1:$I$89,3,0)*VLOOKUP('Données projet'!$B$11,Paramètres!$A$1:$I$89,5,0)</f>
        <v>9.1229353432241354</v>
      </c>
      <c r="BF13" s="14">
        <f t="shared" si="37"/>
        <v>3.2503265450485803</v>
      </c>
      <c r="BG13" s="22">
        <f t="shared" si="7"/>
        <v>21.550097788741649</v>
      </c>
      <c r="BH13" s="62">
        <f t="shared" si="8"/>
        <v>290.43898667763051</v>
      </c>
      <c r="BI13" s="62">
        <f ca="1">AVERAGE(OFFSET($BH$3,0,0,'Données projet'!$E$11+1,1))-AVERAGE(OFFSET($H$3,0,0,'Données projet'!$E$11+1,1))</f>
        <v>288.82868507674738</v>
      </c>
      <c r="BJ13" s="62">
        <f t="shared" si="38"/>
        <v>283.48738729114024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2.4666666666666668</v>
      </c>
      <c r="BY13" s="13">
        <f>IF('Données projet'!$A$114&gt;35,BY12+BX13-CG12,IF(A13&lt;'Données projet'!$A$114,$BV$205^A13,IF(A13='Données projet'!$A$114,'Données projet'!$B$114,BY12+BX13-CG12)))</f>
        <v>11.103702468586782</v>
      </c>
      <c r="BZ13" s="14">
        <f>BY13*VLOOKUP('Données projet'!$B$12,Paramètres!$A$1:$I$89,3,0)*VLOOKUP('Données projet'!$B$12,Paramètres!$A$1:$I$89,5,0)</f>
        <v>8.8341056840076444</v>
      </c>
      <c r="CA13" s="14">
        <f t="shared" si="39"/>
        <v>3.1592306185484516</v>
      </c>
      <c r="CB13" s="22">
        <f t="shared" si="10"/>
        <v>20.888394060285197</v>
      </c>
      <c r="CC13" s="62">
        <f t="shared" si="11"/>
        <v>289.77728294917404</v>
      </c>
      <c r="CD13" s="62">
        <f ca="1">AVERAGE(OFFSET($CC$3,0,0,'Données projet'!$E$12+1,1))-AVERAGE(OFFSET($H$3,0,0,'Données projet'!$E$12+1,1))</f>
        <v>298.89893065707554</v>
      </c>
      <c r="CE13" s="62">
        <f t="shared" si="40"/>
        <v>294.28794439094878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19</v>
      </c>
      <c r="CR13" s="13">
        <f>VLOOKUP(A13,'Données projet'!$A$139:$I$159,9,0)</f>
        <v>1.9</v>
      </c>
      <c r="CS13" s="13">
        <f t="array" ref="CS13">INDEX(CR:CR,MIN(IF(ISNUMBER(CR13:CR209),ROW(CR13:CR209),"")))</f>
        <v>1.9</v>
      </c>
      <c r="CT13" s="13">
        <f>IF('Données projet'!$A$140&gt;35,CT12+CS13-DB12,IF(A13&lt;'Données projet'!$A$140,$CQ$205^A13,IF(A13='Données projet'!$A$140,'Données projet'!$B$140,CT12+CS13-DB12)))</f>
        <v>19</v>
      </c>
      <c r="CU13" s="18">
        <f>CT13*VLOOKUP('Données projet'!$B$13,Paramètres!$A$1:$I$89,3,0)*VLOOKUP('Données projet'!$B$13,Paramètres!$A$1:$I$89,5,0)</f>
        <v>13.9308</v>
      </c>
      <c r="CV13" s="14">
        <f t="shared" si="41"/>
        <v>4.7246463812124082</v>
      </c>
      <c r="CW13" s="22">
        <f t="shared" si="13"/>
        <v>32.491569113944941</v>
      </c>
      <c r="CX13" s="62">
        <f t="shared" si="14"/>
        <v>301.38045800283379</v>
      </c>
      <c r="CY13" s="62">
        <f ca="1">AVERAGE(OFFSET($CX$3,0,0,'Données projet'!$E$13+1,1))-AVERAGE(OFFSET($H$3,0,0,'Données projet'!$E$13+1,1))</f>
        <v>376.5422416541544</v>
      </c>
      <c r="CZ13" s="62">
        <f t="shared" si="42"/>
        <v>365.76175372075869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7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439.06700232017681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17</v>
      </c>
      <c r="AI14" s="14">
        <f>IF('Données projet'!$A$62&gt;35,AI13+AH14-AQ13,IF(A14&lt;'Données projet'!$A$62,$AF$205^A14,IF(A14='Données projet'!$A$62,'Données projet'!$B$62,AI13+AH14-AQ13)))</f>
        <v>101</v>
      </c>
      <c r="AJ14" s="14">
        <f>AI14*VLOOKUP('Données projet'!$B$10,Paramètres!$A$1:$I$89,3,0)*VLOOKUP('Données projet'!$B$10,Paramètres!$A$1:$I$89,5,0)</f>
        <v>91.384799999999998</v>
      </c>
      <c r="AK14" s="14">
        <f t="shared" si="35"/>
        <v>24.898908025894642</v>
      </c>
      <c r="AL14" s="22">
        <f t="shared" si="4"/>
        <v>202.52745814509981</v>
      </c>
      <c r="AM14" s="62">
        <f t="shared" si="5"/>
        <v>472.63856925621099</v>
      </c>
      <c r="AN14" s="62">
        <f ca="1">AVERAGE(OFFSET($AM$3,0,0,'Données projet'!$E$10+1,1))-AVERAGE(OFFSET($H$3,0,0,'Données projet'!$E$10+1,1))</f>
        <v>436.23918637269577</v>
      </c>
      <c r="AO14" s="62">
        <f t="shared" si="36"/>
        <v>611.43967996341894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2.6666666666666665</v>
      </c>
      <c r="BD14" s="13">
        <f>IF('Données projet'!$A$88&gt;35,BD13+BC14-BL13,IF(A14&lt;'Données projet'!$A$88,$BA$205^A14,IF(A14='Données projet'!$A$88,'Données projet'!$B$88,BD13+BC14-BL13)))</f>
        <v>14.956982779612416</v>
      </c>
      <c r="BE14" s="14">
        <f>BD14*VLOOKUP('Données projet'!$B$11,Paramètres!$A$1:$I$89,3,0)*VLOOKUP('Données projet'!$B$11,Paramètres!$A$1:$I$89,5,0)</f>
        <v>11.666446568097685</v>
      </c>
      <c r="BF14" s="14">
        <f t="shared" si="37"/>
        <v>4.0392339557111736</v>
      </c>
      <c r="BG14" s="22">
        <f t="shared" si="7"/>
        <v>27.354060245633761</v>
      </c>
      <c r="BH14" s="62">
        <f t="shared" si="8"/>
        <v>297.46517135674492</v>
      </c>
      <c r="BI14" s="62">
        <f ca="1">AVERAGE(OFFSET($BH$3,0,0,'Données projet'!$E$11+1,1))-AVERAGE(OFFSET($H$3,0,0,'Données projet'!$E$11+1,1))</f>
        <v>288.82868507674738</v>
      </c>
      <c r="BJ14" s="62">
        <f t="shared" si="38"/>
        <v>283.48738729114024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2.4666666666666668</v>
      </c>
      <c r="BY14" s="13">
        <f>IF('Données projet'!$A$114&gt;35,BY13+BX14-CG13,IF(A14&lt;'Données projet'!$A$114,$BV$205^A14,IF(A14='Données projet'!$A$114,'Données projet'!$B$114,BY13+BX14-CG13)))</f>
        <v>14.125850240977657</v>
      </c>
      <c r="BZ14" s="14">
        <f>BY14*VLOOKUP('Données projet'!$B$12,Paramètres!$A$1:$I$89,3,0)*VLOOKUP('Données projet'!$B$12,Paramètres!$A$1:$I$89,5,0)</f>
        <v>11.238526451721825</v>
      </c>
      <c r="CA14" s="14">
        <f t="shared" si="39"/>
        <v>3.9080387928425129</v>
      </c>
      <c r="CB14" s="22">
        <f t="shared" si="10"/>
        <v>26.380267800949554</v>
      </c>
      <c r="CC14" s="62">
        <f t="shared" si="11"/>
        <v>296.49137891206067</v>
      </c>
      <c r="CD14" s="62">
        <f ca="1">AVERAGE(OFFSET($CC$3,0,0,'Données projet'!$E$12+1,1))-AVERAGE(OFFSET($H$3,0,0,'Données projet'!$E$12+1,1))</f>
        <v>298.89893065707554</v>
      </c>
      <c r="CE14" s="62">
        <f t="shared" si="40"/>
        <v>294.28794439094878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14.4</v>
      </c>
      <c r="CT14" s="13">
        <f>IF('Données projet'!$A$140&gt;35,CT13+CS14-DB13,IF(A14&lt;'Données projet'!$A$140,$CQ$205^A14,IF(A14='Données projet'!$A$140,'Données projet'!$B$140,CT13+CS14-DB13)))</f>
        <v>26.4</v>
      </c>
      <c r="CU14" s="18">
        <f>CT14*VLOOKUP('Données projet'!$B$13,Paramètres!$A$1:$I$89,3,0)*VLOOKUP('Données projet'!$B$13,Paramètres!$A$1:$I$89,5,0)</f>
        <v>19.356480000000001</v>
      </c>
      <c r="CV14" s="14">
        <f t="shared" si="41"/>
        <v>6.3181780007167561</v>
      </c>
      <c r="CW14" s="22">
        <f t="shared" si="13"/>
        <v>44.716696017915012</v>
      </c>
      <c r="CX14" s="62">
        <f t="shared" si="14"/>
        <v>314.82780712902616</v>
      </c>
      <c r="CY14" s="62">
        <f ca="1">AVERAGE(OFFSET($CX$3,0,0,'Données projet'!$E$13+1,1))-AVERAGE(OFFSET($H$3,0,0,'Données projet'!$E$13+1,1))</f>
        <v>376.5422416541544</v>
      </c>
      <c r="CZ14" s="62">
        <f t="shared" si="42"/>
        <v>365.76175372075869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439.06700232017681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17</v>
      </c>
      <c r="AI15" s="14">
        <f>IF('Données projet'!$A$62&gt;35,AI14+AH15-AQ14,IF(A15&lt;'Données projet'!$A$62,$AF$205^A15,IF(A15='Données projet'!$A$62,'Données projet'!$B$62,AI14+AH15-AQ14)))</f>
        <v>118</v>
      </c>
      <c r="AJ15" s="14">
        <f>AI15*VLOOKUP('Données projet'!$B$10,Paramètres!$A$1:$I$89,3,0)*VLOOKUP('Données projet'!$B$10,Paramètres!$A$1:$I$89,5,0)</f>
        <v>106.7664</v>
      </c>
      <c r="AK15" s="14">
        <f t="shared" si="35"/>
        <v>28.5678052620942</v>
      </c>
      <c r="AL15" s="22">
        <f t="shared" si="4"/>
        <v>235.70707416481403</v>
      </c>
      <c r="AM15" s="62">
        <f t="shared" si="5"/>
        <v>507.04040749814737</v>
      </c>
      <c r="AN15" s="62">
        <f ca="1">AVERAGE(OFFSET($AM$3,0,0,'Données projet'!$E$10+1,1))-AVERAGE(OFFSET($H$3,0,0,'Données projet'!$E$10+1,1))</f>
        <v>436.23918637269577</v>
      </c>
      <c r="AO15" s="62">
        <f t="shared" si="36"/>
        <v>611.43967996341894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2.6666666666666665</v>
      </c>
      <c r="BD15" s="13">
        <f>IF('Données projet'!$A$88&gt;35,BD14+BC15-BL14,IF(A15&lt;'Données projet'!$A$88,$BA$205^A15,IF(A15='Données projet'!$A$88,'Données projet'!$B$88,BD14+BC15-BL14)))</f>
        <v>19.127049995800721</v>
      </c>
      <c r="BE15" s="14">
        <f>BD15*VLOOKUP('Données projet'!$B$11,Paramètres!$A$1:$I$89,3,0)*VLOOKUP('Données projet'!$B$11,Paramètres!$A$1:$I$89,5,0)</f>
        <v>14.919098996724562</v>
      </c>
      <c r="BF15" s="14">
        <f t="shared" si="37"/>
        <v>5.019622097301081</v>
      </c>
      <c r="BG15" s="22">
        <f t="shared" si="7"/>
        <v>34.726605905427995</v>
      </c>
      <c r="BH15" s="62">
        <f t="shared" si="8"/>
        <v>306.05993923876133</v>
      </c>
      <c r="BI15" s="62">
        <f ca="1">AVERAGE(OFFSET($BH$3,0,0,'Données projet'!$E$11+1,1))-AVERAGE(OFFSET($H$3,0,0,'Données projet'!$E$11+1,1))</f>
        <v>288.82868507674738</v>
      </c>
      <c r="BJ15" s="62">
        <f t="shared" si="38"/>
        <v>283.48738729114024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2.4666666666666668</v>
      </c>
      <c r="BY15" s="13">
        <f>IF('Données projet'!$A$114&gt;35,BY14+BX15-CG14,IF(A15&lt;'Données projet'!$A$114,$BV$205^A15,IF(A15='Données projet'!$A$114,'Données projet'!$B$114,BY14+BX15-CG14)))</f>
        <v>17.970550417308221</v>
      </c>
      <c r="BZ15" s="14">
        <f>BY15*VLOOKUP('Données projet'!$B$12,Paramètres!$A$1:$I$89,3,0)*VLOOKUP('Données projet'!$B$12,Paramètres!$A$1:$I$89,5,0)</f>
        <v>14.297369912010421</v>
      </c>
      <c r="CA15" s="14">
        <f t="shared" si="39"/>
        <v>4.8343312187127445</v>
      </c>
      <c r="CB15" s="22">
        <f t="shared" si="10"/>
        <v>33.321046136009507</v>
      </c>
      <c r="CC15" s="62">
        <f t="shared" si="11"/>
        <v>304.65437946934281</v>
      </c>
      <c r="CD15" s="62">
        <f ca="1">AVERAGE(OFFSET($CC$3,0,0,'Données projet'!$E$12+1,1))-AVERAGE(OFFSET($H$3,0,0,'Données projet'!$E$12+1,1))</f>
        <v>298.89893065707554</v>
      </c>
      <c r="CE15" s="62">
        <f t="shared" si="40"/>
        <v>294.28794439094878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14.4</v>
      </c>
      <c r="CT15" s="13">
        <f>IF('Données projet'!$A$140&gt;35,CT14+CS15-DB14,IF(A15&lt;'Données projet'!$A$140,$CQ$205^A15,IF(A15='Données projet'!$A$140,'Données projet'!$B$140,CT14+CS15-DB14)))</f>
        <v>40.799999999999997</v>
      </c>
      <c r="CU15" s="18">
        <f>CT15*VLOOKUP('Données projet'!$B$13,Paramètres!$A$1:$I$89,3,0)*VLOOKUP('Données projet'!$B$13,Paramètres!$A$1:$I$89,5,0)</f>
        <v>29.914559999999998</v>
      </c>
      <c r="CV15" s="14">
        <f t="shared" si="41"/>
        <v>9.2820081914942723</v>
      </c>
      <c r="CW15" s="22">
        <f t="shared" si="13"/>
        <v>68.267356266852531</v>
      </c>
      <c r="CX15" s="62">
        <f t="shared" si="14"/>
        <v>339.60068960018583</v>
      </c>
      <c r="CY15" s="62">
        <f ca="1">AVERAGE(OFFSET($CX$3,0,0,'Données projet'!$E$13+1,1))-AVERAGE(OFFSET($H$3,0,0,'Données projet'!$E$13+1,1))</f>
        <v>376.5422416541544</v>
      </c>
      <c r="CZ15" s="62">
        <f t="shared" si="42"/>
        <v>365.76175372075869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439.06700232017681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17</v>
      </c>
      <c r="AI16" s="14">
        <f>IF('Données projet'!$A$62&gt;35,AI15+AH16-AQ15,IF(A16&lt;'Données projet'!$A$62,$AF$205^A16,IF(A16='Données projet'!$A$62,'Données projet'!$B$62,AI15+AH16-AQ15)))</f>
        <v>135</v>
      </c>
      <c r="AJ16" s="14">
        <f>AI16*VLOOKUP('Données projet'!$B$10,Paramètres!$A$1:$I$89,3,0)*VLOOKUP('Données projet'!$B$10,Paramètres!$A$1:$I$89,5,0)</f>
        <v>122.148</v>
      </c>
      <c r="AK16" s="14">
        <f t="shared" si="35"/>
        <v>32.175466547071615</v>
      </c>
      <c r="AL16" s="22">
        <f t="shared" si="4"/>
        <v>268.78003756948306</v>
      </c>
      <c r="AM16" s="62">
        <f t="shared" si="5"/>
        <v>541.3355931250386</v>
      </c>
      <c r="AN16" s="62">
        <f ca="1">AVERAGE(OFFSET($AM$3,0,0,'Données projet'!$E$10+1,1))-AVERAGE(OFFSET($H$3,0,0,'Données projet'!$E$10+1,1))</f>
        <v>436.23918637269577</v>
      </c>
      <c r="AO16" s="62">
        <f t="shared" si="36"/>
        <v>611.43967996341894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2.6666666666666665</v>
      </c>
      <c r="BD16" s="13">
        <f>IF('Données projet'!$A$88&gt;35,BD15+BC16-BL15,IF(A16&lt;'Données projet'!$A$88,$BA$205^A16,IF(A16='Données projet'!$A$88,'Données projet'!$B$88,BD15+BC16-BL15)))</f>
        <v>24.459748796430759</v>
      </c>
      <c r="BE16" s="14">
        <f>BD16*VLOOKUP('Données projet'!$B$11,Paramètres!$A$1:$I$89,3,0)*VLOOKUP('Données projet'!$B$11,Paramètres!$A$1:$I$89,5,0)</f>
        <v>19.078604061215994</v>
      </c>
      <c r="BF16" s="14">
        <f t="shared" si="37"/>
        <v>6.2379664748280286</v>
      </c>
      <c r="BG16" s="22">
        <f t="shared" si="7"/>
        <v>44.093027016943331</v>
      </c>
      <c r="BH16" s="62">
        <f t="shared" si="8"/>
        <v>316.64858257249887</v>
      </c>
      <c r="BI16" s="62">
        <f ca="1">AVERAGE(OFFSET($BH$3,0,0,'Données projet'!$E$11+1,1))-AVERAGE(OFFSET($H$3,0,0,'Données projet'!$E$11+1,1))</f>
        <v>288.82868507674738</v>
      </c>
      <c r="BJ16" s="62">
        <f t="shared" si="38"/>
        <v>283.48738729114024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2.4666666666666668</v>
      </c>
      <c r="BY16" s="13">
        <f>IF('Données projet'!$A$114&gt;35,BY15+BX16-CG15,IF(A16&lt;'Données projet'!$A$114,$BV$205^A16,IF(A16='Données projet'!$A$114,'Données projet'!$B$114,BY15+BX16-CG15)))</f>
        <v>22.86168101684942</v>
      </c>
      <c r="BZ16" s="14">
        <f>BY16*VLOOKUP('Données projet'!$B$12,Paramètres!$A$1:$I$89,3,0)*VLOOKUP('Données projet'!$B$12,Paramètres!$A$1:$I$89,5,0)</f>
        <v>18.188753417005401</v>
      </c>
      <c r="CA16" s="14">
        <f t="shared" si="39"/>
        <v>5.9801756254374139</v>
      </c>
      <c r="CB16" s="22">
        <f t="shared" si="10"/>
        <v>42.094218082254564</v>
      </c>
      <c r="CC16" s="62">
        <f t="shared" si="11"/>
        <v>314.64977363781009</v>
      </c>
      <c r="CD16" s="62">
        <f ca="1">AVERAGE(OFFSET($CC$3,0,0,'Données projet'!$E$12+1,1))-AVERAGE(OFFSET($H$3,0,0,'Données projet'!$E$12+1,1))</f>
        <v>298.89893065707554</v>
      </c>
      <c r="CE16" s="62">
        <f t="shared" si="40"/>
        <v>294.28794439094878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14.4</v>
      </c>
      <c r="CT16" s="13">
        <f>IF('Données projet'!$A$140&gt;35,CT15+CS16-DB15,IF(A16&lt;'Données projet'!$A$140,$CQ$205^A16,IF(A16='Données projet'!$A$140,'Données projet'!$B$140,CT15+CS16-DB15)))</f>
        <v>55.199999999999996</v>
      </c>
      <c r="CU16" s="18">
        <f>CT16*VLOOKUP('Données projet'!$B$13,Paramètres!$A$1:$I$89,3,0)*VLOOKUP('Données projet'!$B$13,Paramètres!$A$1:$I$89,5,0)</f>
        <v>40.472639999999991</v>
      </c>
      <c r="CV16" s="14">
        <f t="shared" si="41"/>
        <v>12.123834417890356</v>
      </c>
      <c r="CW16" s="22">
        <f t="shared" si="13"/>
        <v>91.605526277825675</v>
      </c>
      <c r="CX16" s="62">
        <f t="shared" si="14"/>
        <v>364.16108183338122</v>
      </c>
      <c r="CY16" s="62">
        <f ca="1">AVERAGE(OFFSET($CX$3,0,0,'Données projet'!$E$13+1,1))-AVERAGE(OFFSET($H$3,0,0,'Données projet'!$E$13+1,1))</f>
        <v>376.5422416541544</v>
      </c>
      <c r="CZ16" s="62">
        <f t="shared" si="42"/>
        <v>365.76175372075869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439.06700232017681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</v>
      </c>
      <c r="AI17" s="14">
        <f>IF('Données projet'!$A$62&gt;35,AI16+AH17-AQ16,IF(A17&lt;'Données projet'!$A$62,$AF$205^A17,IF(A17='Données projet'!$A$62,'Données projet'!$B$62,AI16+AH17-AQ16)))</f>
        <v>152</v>
      </c>
      <c r="AJ17" s="14">
        <f>AI17*VLOOKUP('Données projet'!$B$10,Paramètres!$A$1:$I$89,3,0)*VLOOKUP('Données projet'!$B$10,Paramètres!$A$1:$I$89,5,0)</f>
        <v>137.52959999999999</v>
      </c>
      <c r="AK17" s="14">
        <f t="shared" si="35"/>
        <v>35.730486489800548</v>
      </c>
      <c r="AL17" s="22">
        <f t="shared" si="4"/>
        <v>301.76131730306923</v>
      </c>
      <c r="AM17" s="62">
        <f t="shared" si="5"/>
        <v>575.53909508084701</v>
      </c>
      <c r="AN17" s="62">
        <f ca="1">AVERAGE(OFFSET($AM$3,0,0,'Données projet'!$E$10+1,1))-AVERAGE(OFFSET($H$3,0,0,'Données projet'!$E$10+1,1))</f>
        <v>436.23918637269577</v>
      </c>
      <c r="AO17" s="62">
        <f t="shared" si="36"/>
        <v>611.43967996341894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2.6666666666666665</v>
      </c>
      <c r="BD17" s="13">
        <f>IF('Données projet'!$A$88&gt;35,BD16+BC17-BL16,IF(A17&lt;'Données projet'!$A$88,$BA$205^A17,IF(A17='Données projet'!$A$88,'Données projet'!$B$88,BD16+BC17-BL16)))</f>
        <v>31.279225563578599</v>
      </c>
      <c r="BE17" s="14">
        <f>BD17*VLOOKUP('Données projet'!$B$11,Paramètres!$A$1:$I$89,3,0)*VLOOKUP('Données projet'!$B$11,Paramètres!$A$1:$I$89,5,0)</f>
        <v>24.397795939591308</v>
      </c>
      <c r="BF17" s="14">
        <f t="shared" si="37"/>
        <v>7.75202295846145</v>
      </c>
      <c r="BG17" s="22">
        <f t="shared" si="7"/>
        <v>55.994267914108548</v>
      </c>
      <c r="BH17" s="62">
        <f t="shared" si="8"/>
        <v>329.77204569188632</v>
      </c>
      <c r="BI17" s="62">
        <f ca="1">AVERAGE(OFFSET($BH$3,0,0,'Données projet'!$E$11+1,1))-AVERAGE(OFFSET($H$3,0,0,'Données projet'!$E$11+1,1))</f>
        <v>288.82868507674738</v>
      </c>
      <c r="BJ17" s="62">
        <f t="shared" si="38"/>
        <v>283.48738729114024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2.4666666666666668</v>
      </c>
      <c r="BY17" s="13">
        <f>IF('Données projet'!$A$114&gt;35,BY16+BX17-CG16,IF(A17&lt;'Données projet'!$A$114,$BV$205^A17,IF(A17='Données projet'!$A$114,'Données projet'!$B$114,BY16+BX17-CG16)))</f>
        <v>29.084054009429774</v>
      </c>
      <c r="BZ17" s="14">
        <f>BY17*VLOOKUP('Données projet'!$B$12,Paramètres!$A$1:$I$89,3,0)*VLOOKUP('Données projet'!$B$12,Paramètres!$A$1:$I$89,5,0)</f>
        <v>23.13927336990233</v>
      </c>
      <c r="CA17" s="14">
        <f t="shared" si="39"/>
        <v>7.3976107331343286</v>
      </c>
      <c r="CB17" s="22">
        <f t="shared" si="10"/>
        <v>53.185073146122171</v>
      </c>
      <c r="CC17" s="62">
        <f t="shared" si="11"/>
        <v>326.96285092389996</v>
      </c>
      <c r="CD17" s="62">
        <f ca="1">AVERAGE(OFFSET($CC$3,0,0,'Données projet'!$E$12+1,1))-AVERAGE(OFFSET($H$3,0,0,'Données projet'!$E$12+1,1))</f>
        <v>298.89893065707554</v>
      </c>
      <c r="CE17" s="62">
        <f t="shared" si="40"/>
        <v>294.28794439094878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14.4</v>
      </c>
      <c r="CT17" s="13">
        <f>IF('Données projet'!$A$140&gt;35,CT16+CS17-DB16,IF(A17&lt;'Données projet'!$A$140,$CQ$205^A17,IF(A17='Données projet'!$A$140,'Données projet'!$B$140,CT16+CS17-DB16)))</f>
        <v>69.599999999999994</v>
      </c>
      <c r="CU17" s="18">
        <f>CT17*VLOOKUP('Données projet'!$B$13,Paramètres!$A$1:$I$89,3,0)*VLOOKUP('Données projet'!$B$13,Paramètres!$A$1:$I$89,5,0)</f>
        <v>51.030719999999995</v>
      </c>
      <c r="CV17" s="14">
        <f t="shared" si="41"/>
        <v>14.879630660597618</v>
      </c>
      <c r="CW17" s="22">
        <f t="shared" si="13"/>
        <v>114.79386073387417</v>
      </c>
      <c r="CX17" s="62">
        <f t="shared" si="14"/>
        <v>388.57163851165194</v>
      </c>
      <c r="CY17" s="62">
        <f ca="1">AVERAGE(OFFSET($CX$3,0,0,'Données projet'!$E$13+1,1))-AVERAGE(OFFSET($H$3,0,0,'Données projet'!$E$13+1,1))</f>
        <v>376.5422416541544</v>
      </c>
      <c r="CZ17" s="62">
        <f t="shared" si="42"/>
        <v>365.76175372075869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439.06700232017681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169</v>
      </c>
      <c r="AG18" s="13">
        <f>VLOOKUP(A18,'Données projet'!$A$61:$I$81,9,0)</f>
        <v>17</v>
      </c>
      <c r="AH18" s="13">
        <f t="array" ref="AH18">INDEX(AG:AG,MIN(IF(ISNUMBER(AG18:AG214),ROW(AG18:AG214),"")))</f>
        <v>17</v>
      </c>
      <c r="AI18" s="14">
        <f>IF('Données projet'!$A$62&gt;35,AI17+AH18-AQ17,IF(A18&lt;'Données projet'!$A$62,$AF$205^A18,IF(A18='Données projet'!$A$62,'Données projet'!$B$62,AI17+AH18-AQ17)))</f>
        <v>169</v>
      </c>
      <c r="AJ18" s="14">
        <f>AI18*VLOOKUP('Données projet'!$B$10,Paramètres!$A$1:$I$89,3,0)*VLOOKUP('Données projet'!$B$10,Paramètres!$A$1:$I$89,5,0)</f>
        <v>152.91120000000001</v>
      </c>
      <c r="AK18" s="14">
        <f t="shared" si="35"/>
        <v>39.239424324197543</v>
      </c>
      <c r="AL18" s="22">
        <f t="shared" si="4"/>
        <v>334.66233736464409</v>
      </c>
      <c r="AM18" s="62">
        <f t="shared" si="5"/>
        <v>609.66233736464415</v>
      </c>
      <c r="AN18" s="62">
        <f ca="1">AVERAGE(OFFSET($AM$3,0,0,'Données projet'!$E$10+1,1))-AVERAGE(OFFSET($H$3,0,0,'Données projet'!$E$10+1,1))</f>
        <v>436.23918637269577</v>
      </c>
      <c r="AO18" s="62">
        <f t="shared" si="36"/>
        <v>611.43967996341894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29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40</v>
      </c>
      <c r="BB18" s="13">
        <f>VLOOKUP(A18,'Données projet'!$A$87:$I$107,9,0)</f>
        <v>2.6666666666666665</v>
      </c>
      <c r="BC18" s="13">
        <f t="array" ref="BC18">INDEX(BB:BB,MIN(IF(ISNUMBER(BB18:BB214),ROW(BB18:BB214),"")))</f>
        <v>2.6666666666666665</v>
      </c>
      <c r="BD18" s="13">
        <f>IF('Données projet'!$A$88&gt;35,BD17+BC18-BL17,IF(A18&lt;'Données projet'!$A$88,$BA$205^A18,IF(A18='Données projet'!$A$88,'Données projet'!$B$88,BD17+BC18-BL17)))</f>
        <v>40</v>
      </c>
      <c r="BE18" s="14">
        <f>BD18*VLOOKUP('Données projet'!$B$11,Paramètres!$A$1:$I$89,3,0)*VLOOKUP('Données projet'!$B$11,Paramètres!$A$1:$I$89,5,0)</f>
        <v>31.200000000000003</v>
      </c>
      <c r="BF18" s="14">
        <f t="shared" si="37"/>
        <v>9.6335657126419925</v>
      </c>
      <c r="BG18" s="22">
        <f t="shared" si="7"/>
        <v>71.118460282851473</v>
      </c>
      <c r="BH18" s="62">
        <f t="shared" si="8"/>
        <v>346.11846028285146</v>
      </c>
      <c r="BI18" s="62">
        <f ca="1">AVERAGE(OFFSET($BH$3,0,0,'Données projet'!$E$11+1,1))-AVERAGE(OFFSET($H$3,0,0,'Données projet'!$E$11+1,1))</f>
        <v>288.82868507674738</v>
      </c>
      <c r="BJ18" s="62">
        <f t="shared" si="38"/>
        <v>283.48738729114024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37</v>
      </c>
      <c r="BW18" s="13">
        <f>VLOOKUP(A18,'Données projet'!$A$113:$I$133,9,0)</f>
        <v>2.4666666666666668</v>
      </c>
      <c r="BX18" s="13">
        <f t="array" ref="BX18">INDEX(BW:BW,MIN(IF(ISNUMBER(BW18:BW214),ROW(BW18:BW214),"")))</f>
        <v>2.4666666666666668</v>
      </c>
      <c r="BY18" s="13">
        <f>IF('Données projet'!$A$114&gt;35,BY17+BX18-CG17,IF(A18&lt;'Données projet'!$A$114,$BV$205^A18,IF(A18='Données projet'!$A$114,'Données projet'!$B$114,BY17+BX18-CG17)))</f>
        <v>37</v>
      </c>
      <c r="BZ18" s="14">
        <f>BY18*VLOOKUP('Données projet'!$B$12,Paramètres!$A$1:$I$89,3,0)*VLOOKUP('Données projet'!$B$12,Paramètres!$A$1:$I$89,5,0)</f>
        <v>29.437200000000004</v>
      </c>
      <c r="CA18" s="14">
        <f t="shared" si="39"/>
        <v>9.1510096001539196</v>
      </c>
      <c r="CB18" s="22">
        <f t="shared" si="10"/>
        <v>67.207798386934755</v>
      </c>
      <c r="CC18" s="62">
        <f t="shared" si="11"/>
        <v>342.20779838693477</v>
      </c>
      <c r="CD18" s="62">
        <f ca="1">AVERAGE(OFFSET($CC$3,0,0,'Données projet'!$E$12+1,1))-AVERAGE(OFFSET($H$3,0,0,'Données projet'!$E$12+1,1))</f>
        <v>298.89893065707554</v>
      </c>
      <c r="CE18" s="62">
        <f t="shared" si="40"/>
        <v>294.28794439094878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15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84</v>
      </c>
      <c r="CR18" s="13">
        <f>VLOOKUP(A18,'Données projet'!$A$139:$I$159,9,0)</f>
        <v>14.4</v>
      </c>
      <c r="CS18" s="13">
        <f t="array" ref="CS18">INDEX(CR:CR,MIN(IF(ISNUMBER(CR18:CR214),ROW(CR18:CR214),"")))</f>
        <v>14.4</v>
      </c>
      <c r="CT18" s="13">
        <f>IF('Données projet'!$A$140&gt;35,CT17+CS18-DB17,IF(A18&lt;'Données projet'!$A$140,$CQ$205^A18,IF(A18='Données projet'!$A$140,'Données projet'!$B$140,CT17+CS18-DB17)))</f>
        <v>84</v>
      </c>
      <c r="CU18" s="18">
        <f>CT18*VLOOKUP('Données projet'!$B$13,Paramètres!$A$1:$I$89,3,0)*VLOOKUP('Données projet'!$B$13,Paramètres!$A$1:$I$89,5,0)</f>
        <v>61.588799999999999</v>
      </c>
      <c r="CV18" s="14">
        <f t="shared" si="41"/>
        <v>17.56935444538782</v>
      </c>
      <c r="CW18" s="22">
        <f t="shared" si="13"/>
        <v>137.86711899238378</v>
      </c>
      <c r="CX18" s="62">
        <f t="shared" si="14"/>
        <v>412.86711899238378</v>
      </c>
      <c r="CY18" s="62">
        <f ca="1">AVERAGE(OFFSET($CX$3,0,0,'Données projet'!$E$13+1,1))-AVERAGE(OFFSET($H$3,0,0,'Données projet'!$E$13+1,1))</f>
        <v>376.5422416541544</v>
      </c>
      <c r="CZ18" s="62">
        <f t="shared" si="42"/>
        <v>365.76175372075869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42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439.06700232017681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15.4</v>
      </c>
      <c r="AI19" s="14">
        <f>IF('Données projet'!$A$62&gt;35,AI18+AH19-AQ18,IF(A19&lt;'Données projet'!$A$62,$AF$205^A19,IF(A19='Données projet'!$A$62,'Données projet'!$B$62,AI18+AH19-AQ18)))</f>
        <v>155.4</v>
      </c>
      <c r="AJ19" s="14">
        <f>AI19*VLOOKUP('Données projet'!$B$10,Paramètres!$A$1:$I$89,3,0)*VLOOKUP('Données projet'!$B$10,Paramètres!$A$1:$I$89,5,0)</f>
        <v>140.60592</v>
      </c>
      <c r="AK19" s="14">
        <f t="shared" si="35"/>
        <v>36.435778350352258</v>
      </c>
      <c r="AL19" s="22">
        <f t="shared" si="4"/>
        <v>308.34762462686348</v>
      </c>
      <c r="AM19" s="62">
        <f t="shared" si="5"/>
        <v>584.56984684908571</v>
      </c>
      <c r="AN19" s="62">
        <f ca="1">AVERAGE(OFFSET($AM$3,0,0,'Données projet'!$E$10+1,1))-AVERAGE(OFFSET($H$3,0,0,'Données projet'!$E$10+1,1))</f>
        <v>436.23918637269577</v>
      </c>
      <c r="AO19" s="62">
        <f t="shared" si="36"/>
        <v>611.43967996341894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46.6</v>
      </c>
      <c r="BE19" s="14">
        <f>BD19*VLOOKUP('Données projet'!$B$11,Paramètres!$A$1:$I$89,3,0)*VLOOKUP('Données projet'!$B$11,Paramètres!$A$1:$I$89,5,0)</f>
        <v>36.347999999999999</v>
      </c>
      <c r="BF19" s="14">
        <f t="shared" si="37"/>
        <v>11.025356771848859</v>
      </c>
      <c r="BG19" s="22">
        <f t="shared" si="7"/>
        <v>82.508596377636763</v>
      </c>
      <c r="BH19" s="62">
        <f t="shared" si="8"/>
        <v>358.73081859985899</v>
      </c>
      <c r="BI19" s="62">
        <f ca="1">AVERAGE(OFFSET($BH$3,0,0,'Données projet'!$E$11+1,1))-AVERAGE(OFFSET($H$3,0,0,'Données projet'!$E$11+1,1))</f>
        <v>288.82868507674738</v>
      </c>
      <c r="BJ19" s="62">
        <f t="shared" si="38"/>
        <v>283.48738729114024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33.6</v>
      </c>
      <c r="BZ19" s="14">
        <f>BY19*VLOOKUP('Données projet'!$B$12,Paramètres!$A$1:$I$89,3,0)*VLOOKUP('Données projet'!$B$12,Paramètres!$A$1:$I$89,5,0)</f>
        <v>26.732160000000004</v>
      </c>
      <c r="CA19" s="14">
        <f t="shared" si="39"/>
        <v>8.4038705306032053</v>
      </c>
      <c r="CB19" s="22">
        <f t="shared" si="10"/>
        <v>61.195253174133917</v>
      </c>
      <c r="CC19" s="62">
        <f t="shared" si="11"/>
        <v>337.41747539635617</v>
      </c>
      <c r="CD19" s="62">
        <f ca="1">AVERAGE(OFFSET($CC$3,0,0,'Données projet'!$E$12+1,1))-AVERAGE(OFFSET($H$3,0,0,'Données projet'!$E$12+1,1))</f>
        <v>298.89893065707554</v>
      </c>
      <c r="CE19" s="62">
        <f t="shared" si="40"/>
        <v>294.28794439094878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16.2</v>
      </c>
      <c r="CT19" s="13">
        <f>IF('Données projet'!$A$140&gt;35,CT18+CS19-DB18,IF(A19&lt;'Données projet'!$A$140,$CQ$205^A19,IF(A19='Données projet'!$A$140,'Données projet'!$B$140,CT18+CS19-DB18)))</f>
        <v>58.2</v>
      </c>
      <c r="CU19" s="18">
        <f>CT19*VLOOKUP('Données projet'!$B$13,Paramètres!$A$1:$I$89,3,0)*VLOOKUP('Données projet'!$B$13,Paramètres!$A$1:$I$89,5,0)</f>
        <v>42.672240000000002</v>
      </c>
      <c r="CV19" s="14">
        <f t="shared" si="41"/>
        <v>12.704236692203963</v>
      </c>
      <c r="CW19" s="22">
        <f t="shared" si="13"/>
        <v>96.447363572255242</v>
      </c>
      <c r="CX19" s="62">
        <f t="shared" si="14"/>
        <v>372.66958579447748</v>
      </c>
      <c r="CY19" s="62">
        <f ca="1">AVERAGE(OFFSET($CX$3,0,0,'Données projet'!$E$13+1,1))-AVERAGE(OFFSET($H$3,0,0,'Données projet'!$E$13+1,1))</f>
        <v>376.5422416541544</v>
      </c>
      <c r="CZ19" s="62">
        <f t="shared" si="42"/>
        <v>365.76175372075869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439.06700232017681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15.4</v>
      </c>
      <c r="AI20" s="14">
        <f>IF('Données projet'!$A$62&gt;35,AI19+AH20-AQ19,IF(A20&lt;'Données projet'!$A$62,$AF$205^A20,IF(A20='Données projet'!$A$62,'Données projet'!$B$62,AI19+AH20-AQ19)))</f>
        <v>170.8</v>
      </c>
      <c r="AJ20" s="14">
        <f>AI20*VLOOKUP('Données projet'!$B$10,Paramètres!$A$1:$I$89,3,0)*VLOOKUP('Données projet'!$B$10,Paramètres!$A$1:$I$89,5,0)</f>
        <v>154.53984</v>
      </c>
      <c r="AK20" s="14">
        <f t="shared" si="35"/>
        <v>39.608483410353038</v>
      </c>
      <c r="AL20" s="22">
        <f t="shared" si="4"/>
        <v>338.14166327303155</v>
      </c>
      <c r="AM20" s="62">
        <f t="shared" si="5"/>
        <v>615.58610771747601</v>
      </c>
      <c r="AN20" s="62">
        <f ca="1">AVERAGE(OFFSET($AM$3,0,0,'Données projet'!$E$10+1,1))-AVERAGE(OFFSET($H$3,0,0,'Données projet'!$E$10+1,1))</f>
        <v>436.23918637269577</v>
      </c>
      <c r="AO20" s="62">
        <f t="shared" si="36"/>
        <v>611.43967996341894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56.2</v>
      </c>
      <c r="BE20" s="14">
        <f>BD20*VLOOKUP('Données projet'!$B$11,Paramètres!$A$1:$I$89,3,0)*VLOOKUP('Données projet'!$B$11,Paramètres!$A$1:$I$89,5,0)</f>
        <v>43.836000000000006</v>
      </c>
      <c r="BF20" s="14">
        <f t="shared" si="37"/>
        <v>13.009897179721728</v>
      </c>
      <c r="BG20" s="22">
        <f t="shared" si="7"/>
        <v>99.006604254682017</v>
      </c>
      <c r="BH20" s="62">
        <f t="shared" si="8"/>
        <v>376.45104869912649</v>
      </c>
      <c r="BI20" s="62">
        <f ca="1">AVERAGE(OFFSET($BH$3,0,0,'Données projet'!$E$11+1,1))-AVERAGE(OFFSET($H$3,0,0,'Données projet'!$E$11+1,1))</f>
        <v>288.82868507674738</v>
      </c>
      <c r="BJ20" s="62">
        <f t="shared" si="38"/>
        <v>283.48738729114024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45.2</v>
      </c>
      <c r="BZ20" s="14">
        <f>BY20*VLOOKUP('Données projet'!$B$12,Paramètres!$A$1:$I$89,3,0)*VLOOKUP('Données projet'!$B$12,Paramètres!$A$1:$I$89,5,0)</f>
        <v>35.961120000000008</v>
      </c>
      <c r="CA20" s="14">
        <f t="shared" si="39"/>
        <v>10.921600552662685</v>
      </c>
      <c r="CB20" s="22">
        <f t="shared" si="10"/>
        <v>81.654071629220851</v>
      </c>
      <c r="CC20" s="62">
        <f t="shared" si="11"/>
        <v>359.09851607366534</v>
      </c>
      <c r="CD20" s="62">
        <f ca="1">AVERAGE(OFFSET($CC$3,0,0,'Données projet'!$E$12+1,1))-AVERAGE(OFFSET($H$3,0,0,'Données projet'!$E$12+1,1))</f>
        <v>298.89893065707554</v>
      </c>
      <c r="CE20" s="62">
        <f t="shared" si="40"/>
        <v>294.28794439094878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16.2</v>
      </c>
      <c r="CT20" s="13">
        <f>IF('Données projet'!$A$140&gt;35,CT19+CS20-DB19,IF(A20&lt;'Données projet'!$A$140,$CQ$205^A20,IF(A20='Données projet'!$A$140,'Données projet'!$B$140,CT19+CS20-DB19)))</f>
        <v>74.400000000000006</v>
      </c>
      <c r="CU20" s="18">
        <f>CT20*VLOOKUP('Données projet'!$B$13,Paramètres!$A$1:$I$89,3,0)*VLOOKUP('Données projet'!$B$13,Paramètres!$A$1:$I$89,5,0)</f>
        <v>54.550080000000008</v>
      </c>
      <c r="CV20" s="14">
        <f t="shared" si="41"/>
        <v>15.782815260920124</v>
      </c>
      <c r="CW20" s="22">
        <f t="shared" si="13"/>
        <v>122.49645924610256</v>
      </c>
      <c r="CX20" s="62">
        <f t="shared" si="14"/>
        <v>399.94090369054703</v>
      </c>
      <c r="CY20" s="62">
        <f ca="1">AVERAGE(OFFSET($CX$3,0,0,'Données projet'!$E$13+1,1))-AVERAGE(OFFSET($H$3,0,0,'Données projet'!$E$13+1,1))</f>
        <v>376.5422416541544</v>
      </c>
      <c r="CZ20" s="62">
        <f t="shared" si="42"/>
        <v>365.76175372075869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439.06700232017681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15.4</v>
      </c>
      <c r="AI21" s="14">
        <f>IF('Données projet'!$A$62&gt;35,AI20+AH21-AQ20,IF(A21&lt;'Données projet'!$A$62,$AF$205^A21,IF(A21='Données projet'!$A$62,'Données projet'!$B$62,AI20+AH21-AQ20)))</f>
        <v>186.20000000000002</v>
      </c>
      <c r="AJ21" s="14">
        <f>AI21*VLOOKUP('Données projet'!$B$10,Paramètres!$A$1:$I$89,3,0)*VLOOKUP('Données projet'!$B$10,Paramètres!$A$1:$I$89,5,0)</f>
        <v>168.47376000000003</v>
      </c>
      <c r="AK21" s="14">
        <f t="shared" si="35"/>
        <v>42.748017388135018</v>
      </c>
      <c r="AL21" s="22">
        <f t="shared" si="4"/>
        <v>367.87792895100188</v>
      </c>
      <c r="AM21" s="62">
        <f t="shared" si="5"/>
        <v>646.54459561766862</v>
      </c>
      <c r="AN21" s="62">
        <f ca="1">AVERAGE(OFFSET($AM$3,0,0,'Données projet'!$E$10+1,1))-AVERAGE(OFFSET($H$3,0,0,'Données projet'!$E$10+1,1))</f>
        <v>436.23918637269577</v>
      </c>
      <c r="AO21" s="62">
        <f t="shared" si="36"/>
        <v>611.43967996341894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65.8</v>
      </c>
      <c r="BE21" s="14">
        <f>BD21*VLOOKUP('Données projet'!$B$11,Paramètres!$A$1:$I$89,3,0)*VLOOKUP('Données projet'!$B$11,Paramètres!$A$1:$I$89,5,0)</f>
        <v>51.323999999999998</v>
      </c>
      <c r="BF21" s="14">
        <f t="shared" si="37"/>
        <v>14.95516659950003</v>
      </c>
      <c r="BG21" s="22">
        <f t="shared" si="7"/>
        <v>115.43621516079588</v>
      </c>
      <c r="BH21" s="62">
        <f t="shared" si="8"/>
        <v>394.10288182746257</v>
      </c>
      <c r="BI21" s="62">
        <f ca="1">AVERAGE(OFFSET($BH$3,0,0,'Données projet'!$E$11+1,1))-AVERAGE(OFFSET($H$3,0,0,'Données projet'!$E$11+1,1))</f>
        <v>288.82868507674738</v>
      </c>
      <c r="BJ21" s="62">
        <f t="shared" si="38"/>
        <v>283.48738729114024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56.800000000000004</v>
      </c>
      <c r="BZ21" s="14">
        <f>BY21*VLOOKUP('Données projet'!$B$12,Paramètres!$A$1:$I$89,3,0)*VLOOKUP('Données projet'!$B$12,Paramètres!$A$1:$I$89,5,0)</f>
        <v>45.190080000000009</v>
      </c>
      <c r="CA21" s="14">
        <f t="shared" si="39"/>
        <v>13.364359727915414</v>
      </c>
      <c r="CB21" s="22">
        <f t="shared" si="10"/>
        <v>101.98231585945268</v>
      </c>
      <c r="CC21" s="62">
        <f t="shared" si="11"/>
        <v>380.64898252611937</v>
      </c>
      <c r="CD21" s="62">
        <f ca="1">AVERAGE(OFFSET($CC$3,0,0,'Données projet'!$E$12+1,1))-AVERAGE(OFFSET($H$3,0,0,'Données projet'!$E$12+1,1))</f>
        <v>298.89893065707554</v>
      </c>
      <c r="CE21" s="62">
        <f t="shared" si="40"/>
        <v>294.28794439094878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16.2</v>
      </c>
      <c r="CT21" s="13">
        <f>IF('Données projet'!$A$140&gt;35,CT20+CS21-DB20,IF(A21&lt;'Données projet'!$A$140,$CQ$205^A21,IF(A21='Données projet'!$A$140,'Données projet'!$B$140,CT20+CS21-DB20)))</f>
        <v>90.600000000000009</v>
      </c>
      <c r="CU21" s="18">
        <f>CT21*VLOOKUP('Données projet'!$B$13,Paramètres!$A$1:$I$89,3,0)*VLOOKUP('Données projet'!$B$13,Paramètres!$A$1:$I$89,5,0)</f>
        <v>66.42792</v>
      </c>
      <c r="CV21" s="14">
        <f t="shared" si="41"/>
        <v>18.783698241275044</v>
      </c>
      <c r="CW21" s="22">
        <f t="shared" si="13"/>
        <v>148.41023510355402</v>
      </c>
      <c r="CX21" s="62">
        <f t="shared" si="14"/>
        <v>427.07690177022073</v>
      </c>
      <c r="CY21" s="62">
        <f ca="1">AVERAGE(OFFSET($CX$3,0,0,'Données projet'!$E$13+1,1))-AVERAGE(OFFSET($H$3,0,0,'Données projet'!$E$13+1,1))</f>
        <v>376.5422416541544</v>
      </c>
      <c r="CZ21" s="62">
        <f t="shared" si="42"/>
        <v>365.76175372075869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439.06700232017681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15.4</v>
      </c>
      <c r="AI22" s="14">
        <f>IF('Données projet'!$A$62&gt;35,AI21+AH22-AQ21,IF(A22&lt;'Données projet'!$A$62,$AF$205^A22,IF(A22='Données projet'!$A$62,'Données projet'!$B$62,AI21+AH22-AQ21)))</f>
        <v>201.60000000000002</v>
      </c>
      <c r="AJ22" s="14">
        <f>AI22*VLOOKUP('Données projet'!$B$10,Paramètres!$A$1:$I$89,3,0)*VLOOKUP('Données projet'!$B$10,Paramètres!$A$1:$I$89,5,0)</f>
        <v>182.40768000000003</v>
      </c>
      <c r="AK22" s="14">
        <f t="shared" si="35"/>
        <v>45.857435663065921</v>
      </c>
      <c r="AL22" s="22">
        <f t="shared" si="4"/>
        <v>397.56174311317318</v>
      </c>
      <c r="AM22" s="62">
        <f t="shared" si="5"/>
        <v>677.45063200206209</v>
      </c>
      <c r="AN22" s="62">
        <f ca="1">AVERAGE(OFFSET($AM$3,0,0,'Données projet'!$E$10+1,1))-AVERAGE(OFFSET($H$3,0,0,'Données projet'!$E$10+1,1))</f>
        <v>436.23918637269577</v>
      </c>
      <c r="AO22" s="62">
        <f t="shared" si="36"/>
        <v>611.43967996341894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75.399999999999991</v>
      </c>
      <c r="BE22" s="14">
        <f>BD22*VLOOKUP('Données projet'!$B$11,Paramètres!$A$1:$I$89,3,0)*VLOOKUP('Données projet'!$B$11,Paramètres!$A$1:$I$89,5,0)</f>
        <v>58.811999999999998</v>
      </c>
      <c r="BF22" s="14">
        <f t="shared" si="37"/>
        <v>16.86755663452599</v>
      </c>
      <c r="BG22" s="22">
        <f t="shared" si="7"/>
        <v>131.8085611384661</v>
      </c>
      <c r="BH22" s="62">
        <f t="shared" si="8"/>
        <v>411.69745002735499</v>
      </c>
      <c r="BI22" s="62">
        <f ca="1">AVERAGE(OFFSET($BH$3,0,0,'Données projet'!$E$11+1,1))-AVERAGE(OFFSET($H$3,0,0,'Données projet'!$E$11+1,1))</f>
        <v>288.82868507674738</v>
      </c>
      <c r="BJ22" s="62">
        <f t="shared" si="38"/>
        <v>283.48738729114024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68.400000000000006</v>
      </c>
      <c r="BZ22" s="14">
        <f>BY22*VLOOKUP('Données projet'!$B$12,Paramètres!$A$1:$I$89,3,0)*VLOOKUP('Données projet'!$B$12,Paramètres!$A$1:$I$89,5,0)</f>
        <v>54.419040000000003</v>
      </c>
      <c r="CA22" s="14">
        <f t="shared" si="39"/>
        <v>15.749310274925152</v>
      </c>
      <c r="CB22" s="22">
        <f t="shared" si="10"/>
        <v>122.20987672882796</v>
      </c>
      <c r="CC22" s="62">
        <f t="shared" si="11"/>
        <v>402.09876561771682</v>
      </c>
      <c r="CD22" s="62">
        <f ca="1">AVERAGE(OFFSET($CC$3,0,0,'Données projet'!$E$12+1,1))-AVERAGE(OFFSET($H$3,0,0,'Données projet'!$E$12+1,1))</f>
        <v>298.89893065707554</v>
      </c>
      <c r="CE22" s="62">
        <f t="shared" si="40"/>
        <v>294.28794439094878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16.2</v>
      </c>
      <c r="CT22" s="13">
        <f>IF('Données projet'!$A$140&gt;35,CT21+CS22-DB21,IF(A22&lt;'Données projet'!$A$140,$CQ$205^A22,IF(A22='Données projet'!$A$140,'Données projet'!$B$140,CT21+CS22-DB21)))</f>
        <v>106.80000000000001</v>
      </c>
      <c r="CU22" s="18">
        <f>CT22*VLOOKUP('Données projet'!$B$13,Paramètres!$A$1:$I$89,3,0)*VLOOKUP('Données projet'!$B$13,Paramètres!$A$1:$I$89,5,0)</f>
        <v>78.305760000000006</v>
      </c>
      <c r="CV22" s="14">
        <f t="shared" si="41"/>
        <v>21.722418982737217</v>
      </c>
      <c r="CW22" s="22">
        <f t="shared" si="13"/>
        <v>174.21574506160064</v>
      </c>
      <c r="CX22" s="62">
        <f t="shared" si="14"/>
        <v>454.10463395048953</v>
      </c>
      <c r="CY22" s="62">
        <f ca="1">AVERAGE(OFFSET($CX$3,0,0,'Données projet'!$E$13+1,1))-AVERAGE(OFFSET($H$3,0,0,'Données projet'!$E$13+1,1))</f>
        <v>376.5422416541544</v>
      </c>
      <c r="CZ22" s="62">
        <f t="shared" si="42"/>
        <v>365.76175372075869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439.06700232017681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217</v>
      </c>
      <c r="AG23" s="13">
        <f>VLOOKUP(A23,'Données projet'!$A$61:$I$81,9,0)</f>
        <v>15.4</v>
      </c>
      <c r="AH23" s="13">
        <f t="array" ref="AH23">INDEX(AG:AG,MIN(IF(ISNUMBER(AG23:AG219),ROW(AG23:AG219),"")))</f>
        <v>15.4</v>
      </c>
      <c r="AI23" s="14">
        <f>IF('Données projet'!$A$62&gt;35,AI22+AH23-AQ22,IF(A23&lt;'Données projet'!$A$62,$AF$205^A23,IF(A23='Données projet'!$A$62,'Données projet'!$B$62,AI22+AH23-AQ22)))</f>
        <v>217.00000000000003</v>
      </c>
      <c r="AJ23" s="14">
        <f>AI23*VLOOKUP('Données projet'!$B$10,Paramètres!$A$1:$I$89,3,0)*VLOOKUP('Données projet'!$B$10,Paramètres!$A$1:$I$89,5,0)</f>
        <v>196.34160000000003</v>
      </c>
      <c r="AK23" s="14">
        <f t="shared" si="35"/>
        <v>48.939300310809159</v>
      </c>
      <c r="AL23" s="22">
        <f t="shared" si="4"/>
        <v>427.19756804132595</v>
      </c>
      <c r="AM23" s="62">
        <f t="shared" si="5"/>
        <v>708.30867915243709</v>
      </c>
      <c r="AN23" s="62">
        <f ca="1">AVERAGE(OFFSET($AM$3,0,0,'Données projet'!$E$10+1,1))-AVERAGE(OFFSET($H$3,0,0,'Données projet'!$E$10+1,1))</f>
        <v>436.23918637269577</v>
      </c>
      <c r="AO23" s="62">
        <f t="shared" si="36"/>
        <v>611.43967996341894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23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85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84.999999999999986</v>
      </c>
      <c r="BE23" s="14">
        <f>BD23*VLOOKUP('Données projet'!$B$11,Paramètres!$A$1:$I$89,3,0)*VLOOKUP('Données projet'!$B$11,Paramètres!$A$1:$I$89,5,0)</f>
        <v>66.3</v>
      </c>
      <c r="BF23" s="14">
        <f t="shared" si="37"/>
        <v>18.751733344032118</v>
      </c>
      <c r="BG23" s="22">
        <f t="shared" si="7"/>
        <v>148.13176890752257</v>
      </c>
      <c r="BH23" s="62">
        <f t="shared" si="8"/>
        <v>429.24288001863374</v>
      </c>
      <c r="BI23" s="62">
        <f ca="1">AVERAGE(OFFSET($BH$3,0,0,'Données projet'!$E$11+1,1))-AVERAGE(OFFSET($H$3,0,0,'Données projet'!$E$11+1,1))</f>
        <v>288.82868507674738</v>
      </c>
      <c r="BJ23" s="62">
        <f t="shared" si="38"/>
        <v>283.48738729114024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80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80</v>
      </c>
      <c r="BZ23" s="14">
        <f>BY23*VLOOKUP('Données projet'!$B$12,Paramètres!$A$1:$I$89,3,0)*VLOOKUP('Données projet'!$B$12,Paramètres!$A$1:$I$89,5,0)</f>
        <v>63.647999999999996</v>
      </c>
      <c r="CA23" s="14">
        <f t="shared" si="39"/>
        <v>18.087405707268363</v>
      </c>
      <c r="CB23" s="22">
        <f t="shared" si="10"/>
        <v>142.35583160682572</v>
      </c>
      <c r="CC23" s="62">
        <f t="shared" si="11"/>
        <v>423.46694271793683</v>
      </c>
      <c r="CD23" s="62">
        <f ca="1">AVERAGE(OFFSET($CC$3,0,0,'Données projet'!$E$12+1,1))-AVERAGE(OFFSET($H$3,0,0,'Données projet'!$E$12+1,1))</f>
        <v>298.89893065707554</v>
      </c>
      <c r="CE23" s="62">
        <f t="shared" si="40"/>
        <v>294.28794439094878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28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123</v>
      </c>
      <c r="CR23" s="13">
        <f>VLOOKUP(A23,'Données projet'!$A$139:$I$159,9,0)</f>
        <v>16.2</v>
      </c>
      <c r="CS23" s="13">
        <f t="array" ref="CS23">INDEX(CR:CR,MIN(IF(ISNUMBER(CR23:CR219),ROW(CR23:CR219),"")))</f>
        <v>16.2</v>
      </c>
      <c r="CT23" s="13">
        <f>IF('Données projet'!$A$140&gt;35,CT22+CS23-DB22,IF(A23&lt;'Données projet'!$A$140,$CQ$205^A23,IF(A23='Données projet'!$A$140,'Données projet'!$B$140,CT22+CS23-DB22)))</f>
        <v>123.00000000000001</v>
      </c>
      <c r="CU23" s="18">
        <f>CT23*VLOOKUP('Données projet'!$B$13,Paramètres!$A$1:$I$89,3,0)*VLOOKUP('Données projet'!$B$13,Paramètres!$A$1:$I$89,5,0)</f>
        <v>90.183600000000013</v>
      </c>
      <c r="CV23" s="14">
        <f t="shared" si="41"/>
        <v>24.609499639553789</v>
      </c>
      <c r="CW23" s="22">
        <f t="shared" si="13"/>
        <v>199.93131520555619</v>
      </c>
      <c r="CX23" s="62">
        <f t="shared" si="14"/>
        <v>481.04242631666733</v>
      </c>
      <c r="CY23" s="62">
        <f ca="1">AVERAGE(OFFSET($CX$3,0,0,'Données projet'!$E$13+1,1))-AVERAGE(OFFSET($H$3,0,0,'Données projet'!$E$13+1,1))</f>
        <v>376.5422416541544</v>
      </c>
      <c r="CZ23" s="62">
        <f t="shared" si="42"/>
        <v>365.76175372075869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42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0.215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7.2902758055827315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7.2902758055827315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439.06700232017681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</v>
      </c>
      <c r="AI24" s="14">
        <f>IF('Données projet'!$A$62&gt;35,AI23+AH24-AQ23,IF(A24&lt;'Données projet'!$A$62,$AF$205^A24,IF(A24='Données projet'!$A$62,'Données projet'!$B$62,AI23+AH24-AQ23)))</f>
        <v>207.00000000000003</v>
      </c>
      <c r="AJ24" s="14">
        <f>AI24*VLOOKUP('Données projet'!$B$10,Paramètres!$A$1:$I$89,3,0)*VLOOKUP('Données projet'!$B$10,Paramètres!$A$1:$I$89,5,0)</f>
        <v>187.2936</v>
      </c>
      <c r="AK24" s="14">
        <f t="shared" si="35"/>
        <v>46.941107550760421</v>
      </c>
      <c r="AL24" s="22">
        <f t="shared" si="4"/>
        <v>407.95878231757439</v>
      </c>
      <c r="AM24" s="62">
        <f t="shared" si="5"/>
        <v>690.2921156509077</v>
      </c>
      <c r="AN24" s="62">
        <f ca="1">AVERAGE(OFFSET($AM$3,0,0,'Données projet'!$E$10+1,1))-AVERAGE(OFFSET($H$3,0,0,'Données projet'!$E$10+1,1))</f>
        <v>436.23918637269577</v>
      </c>
      <c r="AO24" s="62">
        <f t="shared" si="36"/>
        <v>611.43967996341894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10.6</v>
      </c>
      <c r="BD24" s="13">
        <f>IF('Données projet'!$A$88&gt;35,BD23+BC24-BL23,IF(A24&lt;'Données projet'!$A$88,$BA$205^A24,IF(A24='Données projet'!$A$88,'Données projet'!$B$88,BD23+BC24-BL23)))</f>
        <v>70.59999999999998</v>
      </c>
      <c r="BE24" s="14">
        <f>BD24*VLOOKUP('Données projet'!$B$11,Paramètres!$A$1:$I$89,3,0)*VLOOKUP('Données projet'!$B$11,Paramètres!$A$1:$I$89,5,0)</f>
        <v>55.067999999999984</v>
      </c>
      <c r="BF24" s="14">
        <f t="shared" si="37"/>
        <v>15.915148294580479</v>
      </c>
      <c r="BG24" s="22">
        <f t="shared" si="7"/>
        <v>123.62898327972762</v>
      </c>
      <c r="BH24" s="62">
        <f t="shared" si="8"/>
        <v>405.96231661306092</v>
      </c>
      <c r="BI24" s="62">
        <f ca="1">AVERAGE(OFFSET($BH$3,0,0,'Données projet'!$E$11+1,1))-AVERAGE(OFFSET($H$3,0,0,'Données projet'!$E$11+1,1))</f>
        <v>288.82868507674738</v>
      </c>
      <c r="BJ24" s="62">
        <f t="shared" si="38"/>
        <v>283.48738729114024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12.6</v>
      </c>
      <c r="BY24" s="13">
        <f>IF('Données projet'!$A$114&gt;35,BY23+BX24-CG23,IF(A24&lt;'Données projet'!$A$114,$BV$205^A24,IF(A24='Données projet'!$A$114,'Données projet'!$B$114,BY23+BX24-CG23)))</f>
        <v>64.599999999999994</v>
      </c>
      <c r="BZ24" s="14">
        <f>BY24*VLOOKUP('Données projet'!$B$12,Paramètres!$A$1:$I$89,3,0)*VLOOKUP('Données projet'!$B$12,Paramètres!$A$1:$I$89,5,0)</f>
        <v>51.395759999999996</v>
      </c>
      <c r="CA24" s="14">
        <f t="shared" si="39"/>
        <v>14.973641136922506</v>
      </c>
      <c r="CB24" s="22">
        <f t="shared" si="10"/>
        <v>115.59337364680668</v>
      </c>
      <c r="CC24" s="62">
        <f t="shared" si="11"/>
        <v>397.92670698014001</v>
      </c>
      <c r="CD24" s="62">
        <f ca="1">AVERAGE(OFFSET($CC$3,0,0,'Données projet'!$E$12+1,1))-AVERAGE(OFFSET($H$3,0,0,'Données projet'!$E$12+1,1))</f>
        <v>298.89893065707554</v>
      </c>
      <c r="CE24" s="62">
        <f t="shared" si="40"/>
        <v>294.28794439094878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16.8</v>
      </c>
      <c r="CT24" s="13">
        <f>IF('Données projet'!$A$140&gt;35,CT23+CS24-DB23,IF(A24&lt;'Données projet'!$A$140,$CQ$205^A24,IF(A24='Données projet'!$A$140,'Données projet'!$B$140,CT23+CS24-DB23)))</f>
        <v>97.800000000000011</v>
      </c>
      <c r="CU24" s="18">
        <f>CT24*VLOOKUP('Données projet'!$B$13,Paramètres!$A$1:$I$89,3,0)*VLOOKUP('Données projet'!$B$13,Paramètres!$A$1:$I$89,5,0)</f>
        <v>71.706960000000009</v>
      </c>
      <c r="CV24" s="14">
        <f t="shared" si="41"/>
        <v>20.096759687088312</v>
      </c>
      <c r="CW24" s="22">
        <f t="shared" si="13"/>
        <v>159.89147845501216</v>
      </c>
      <c r="CX24" s="62">
        <f t="shared" si="14"/>
        <v>442.22481178834551</v>
      </c>
      <c r="CY24" s="62">
        <f ca="1">AVERAGE(OFFSET($CX$3,0,0,'Données projet'!$E$13+1,1))-AVERAGE(OFFSET($H$3,0,0,'Données projet'!$E$13+1,1))</f>
        <v>376.5422416541544</v>
      </c>
      <c r="CZ24" s="62">
        <f t="shared" si="42"/>
        <v>365.76175372075869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7.090922830300129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7.090922830300129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439.06700232017681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</v>
      </c>
      <c r="AI25" s="14">
        <f>IF('Données projet'!$A$62&gt;35,AI24+AH25-AQ24,IF(A25&lt;'Données projet'!$A$62,$AF$205^A25,IF(A25='Données projet'!$A$62,'Données projet'!$B$62,AI24+AH25-AQ24)))</f>
        <v>220.00000000000003</v>
      </c>
      <c r="AJ25" s="14">
        <f>AI25*VLOOKUP('Données projet'!$B$10,Paramètres!$A$1:$I$89,3,0)*VLOOKUP('Données projet'!$B$10,Paramètres!$A$1:$I$89,5,0)</f>
        <v>199.05600000000001</v>
      </c>
      <c r="AK25" s="14">
        <f t="shared" si="35"/>
        <v>49.536648006253934</v>
      </c>
      <c r="AL25" s="22">
        <f t="shared" si="4"/>
        <v>432.96552861089231</v>
      </c>
      <c r="AM25" s="62">
        <f t="shared" si="5"/>
        <v>716.52108416644785</v>
      </c>
      <c r="AN25" s="62">
        <f ca="1">AVERAGE(OFFSET($AM$3,0,0,'Données projet'!$E$10+1,1))-AVERAGE(OFFSET($H$3,0,0,'Données projet'!$E$10+1,1))</f>
        <v>436.23918637269577</v>
      </c>
      <c r="AO25" s="62">
        <f t="shared" si="36"/>
        <v>611.43967996341894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10.6</v>
      </c>
      <c r="BD25" s="13">
        <f>IF('Données projet'!$A$88&gt;35,BD24+BC25-BL24,IF(A25&lt;'Données projet'!$A$88,$BA$205^A25,IF(A25='Données projet'!$A$88,'Données projet'!$B$88,BD24+BC25-BL24)))</f>
        <v>81.199999999999974</v>
      </c>
      <c r="BE25" s="14">
        <f>BD25*VLOOKUP('Données projet'!$B$11,Paramètres!$A$1:$I$89,3,0)*VLOOKUP('Données projet'!$B$11,Paramètres!$A$1:$I$89,5,0)</f>
        <v>63.335999999999984</v>
      </c>
      <c r="BF25" s="14">
        <f t="shared" si="37"/>
        <v>18.009040022946227</v>
      </c>
      <c r="BG25" s="22">
        <f t="shared" si="7"/>
        <v>141.67594470663133</v>
      </c>
      <c r="BH25" s="62">
        <f t="shared" si="8"/>
        <v>425.23150026218684</v>
      </c>
      <c r="BI25" s="62">
        <f ca="1">AVERAGE(OFFSET($BH$3,0,0,'Données projet'!$E$11+1,1))-AVERAGE(OFFSET($H$3,0,0,'Données projet'!$E$11+1,1))</f>
        <v>288.82868507674738</v>
      </c>
      <c r="BJ25" s="62">
        <f t="shared" si="38"/>
        <v>283.48738729114024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12.6</v>
      </c>
      <c r="BY25" s="13">
        <f>IF('Données projet'!$A$114&gt;35,BY24+BX25-CG24,IF(A25&lt;'Données projet'!$A$114,$BV$205^A25,IF(A25='Données projet'!$A$114,'Données projet'!$B$114,BY24+BX25-CG24)))</f>
        <v>77.199999999999989</v>
      </c>
      <c r="BZ25" s="14">
        <f>BY25*VLOOKUP('Données projet'!$B$12,Paramètres!$A$1:$I$89,3,0)*VLOOKUP('Données projet'!$B$12,Paramètres!$A$1:$I$89,5,0)</f>
        <v>61.42031999999999</v>
      </c>
      <c r="CA25" s="14">
        <f t="shared" si="39"/>
        <v>17.526880037631354</v>
      </c>
      <c r="CB25" s="22">
        <f t="shared" si="10"/>
        <v>137.4997067322079</v>
      </c>
      <c r="CC25" s="62">
        <f t="shared" si="11"/>
        <v>421.05526228776341</v>
      </c>
      <c r="CD25" s="62">
        <f ca="1">AVERAGE(OFFSET($CC$3,0,0,'Données projet'!$E$12+1,1))-AVERAGE(OFFSET($H$3,0,0,'Données projet'!$E$12+1,1))</f>
        <v>298.89893065707554</v>
      </c>
      <c r="CE25" s="62">
        <f t="shared" si="40"/>
        <v>294.28794439094878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16.8</v>
      </c>
      <c r="CT25" s="13">
        <f>IF('Données projet'!$A$140&gt;35,CT24+CS25-DB24,IF(A25&lt;'Données projet'!$A$140,$CQ$205^A25,IF(A25='Données projet'!$A$140,'Données projet'!$B$140,CT24+CS25-DB24)))</f>
        <v>114.60000000000001</v>
      </c>
      <c r="CU25" s="18">
        <f>CT25*VLOOKUP('Données projet'!$B$13,Paramètres!$A$1:$I$89,3,0)*VLOOKUP('Données projet'!$B$13,Paramètres!$A$1:$I$89,5,0)</f>
        <v>84.024720000000002</v>
      </c>
      <c r="CV25" s="14">
        <f t="shared" si="41"/>
        <v>23.11842031654454</v>
      </c>
      <c r="CW25" s="22">
        <f t="shared" si="13"/>
        <v>186.6076360513151</v>
      </c>
      <c r="CX25" s="62">
        <f t="shared" si="14"/>
        <v>470.16319160687067</v>
      </c>
      <c r="CY25" s="62">
        <f ca="1">AVERAGE(OFFSET($CX$3,0,0,'Données projet'!$E$13+1,1))-AVERAGE(OFFSET($H$3,0,0,'Données projet'!$E$13+1,1))</f>
        <v>376.5422416541544</v>
      </c>
      <c r="CZ25" s="62">
        <f t="shared" si="42"/>
        <v>365.76175372075869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6.8970211726101471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6.8970211726101471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439.06700232017681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</v>
      </c>
      <c r="AI26" s="14">
        <f>IF('Données projet'!$A$62&gt;35,AI25+AH26-AQ25,IF(A26&lt;'Données projet'!$A$62,$AF$205^A26,IF(A26='Données projet'!$A$62,'Données projet'!$B$62,AI25+AH26-AQ25)))</f>
        <v>233.00000000000003</v>
      </c>
      <c r="AJ26" s="14">
        <f>AI26*VLOOKUP('Données projet'!$B$10,Paramètres!$A$1:$I$89,3,0)*VLOOKUP('Données projet'!$B$10,Paramètres!$A$1:$I$89,5,0)</f>
        <v>210.81840000000003</v>
      </c>
      <c r="AK26" s="14">
        <f t="shared" si="35"/>
        <v>52.114386184062198</v>
      </c>
      <c r="AL26" s="22">
        <f t="shared" si="4"/>
        <v>457.94126927057505</v>
      </c>
      <c r="AM26" s="62">
        <f t="shared" si="5"/>
        <v>742.71904704835288</v>
      </c>
      <c r="AN26" s="62">
        <f ca="1">AVERAGE(OFFSET($AM$3,0,0,'Données projet'!$E$10+1,1))-AVERAGE(OFFSET($H$3,0,0,'Données projet'!$E$10+1,1))</f>
        <v>436.23918637269577</v>
      </c>
      <c r="AO26" s="62">
        <f t="shared" si="36"/>
        <v>611.43967996341894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10.6</v>
      </c>
      <c r="BD26" s="13">
        <f>IF('Données projet'!$A$88&gt;35,BD25+BC26-BL25,IF(A26&lt;'Données projet'!$A$88,$BA$205^A26,IF(A26='Données projet'!$A$88,'Données projet'!$B$88,BD25+BC26-BL25)))</f>
        <v>91.799999999999969</v>
      </c>
      <c r="BE26" s="14">
        <f>BD26*VLOOKUP('Données projet'!$B$11,Paramètres!$A$1:$I$89,3,0)*VLOOKUP('Données projet'!$B$11,Paramètres!$A$1:$I$89,5,0)</f>
        <v>71.603999999999985</v>
      </c>
      <c r="BF26" s="14">
        <f t="shared" si="37"/>
        <v>20.071260561992585</v>
      </c>
      <c r="BG26" s="22">
        <f t="shared" si="7"/>
        <v>159.66774547880371</v>
      </c>
      <c r="BH26" s="62">
        <f t="shared" si="8"/>
        <v>444.44552325658151</v>
      </c>
      <c r="BI26" s="62">
        <f ca="1">AVERAGE(OFFSET($BH$3,0,0,'Données projet'!$E$11+1,1))-AVERAGE(OFFSET($H$3,0,0,'Données projet'!$E$11+1,1))</f>
        <v>288.82868507674738</v>
      </c>
      <c r="BJ26" s="62">
        <f t="shared" si="38"/>
        <v>283.48738729114024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12.6</v>
      </c>
      <c r="BY26" s="13">
        <f>IF('Données projet'!$A$114&gt;35,BY25+BX26-CG25,IF(A26&lt;'Données projet'!$A$114,$BV$205^A26,IF(A26='Données projet'!$A$114,'Données projet'!$B$114,BY25+BX26-CG25)))</f>
        <v>89.799999999999983</v>
      </c>
      <c r="BZ26" s="14">
        <f>BY26*VLOOKUP('Données projet'!$B$12,Paramètres!$A$1:$I$89,3,0)*VLOOKUP('Données projet'!$B$12,Paramètres!$A$1:$I$89,5,0)</f>
        <v>71.444879999999998</v>
      </c>
      <c r="CA26" s="14">
        <f t="shared" si="39"/>
        <v>20.03184442542841</v>
      </c>
      <c r="CB26" s="22">
        <f t="shared" si="10"/>
        <v>159.32196170762117</v>
      </c>
      <c r="CC26" s="62">
        <f t="shared" si="11"/>
        <v>444.09973948539891</v>
      </c>
      <c r="CD26" s="62">
        <f ca="1">AVERAGE(OFFSET($CC$3,0,0,'Données projet'!$E$12+1,1))-AVERAGE(OFFSET($H$3,0,0,'Données projet'!$E$12+1,1))</f>
        <v>298.89893065707554</v>
      </c>
      <c r="CE26" s="62">
        <f t="shared" si="40"/>
        <v>294.28794439094878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16.8</v>
      </c>
      <c r="CT26" s="13">
        <f>IF('Données projet'!$A$140&gt;35,CT25+CS26-DB25,IF(A26&lt;'Données projet'!$A$140,$CQ$205^A26,IF(A26='Données projet'!$A$140,'Données projet'!$B$140,CT25+CS26-DB25)))</f>
        <v>131.4</v>
      </c>
      <c r="CU26" s="18">
        <f>CT26*VLOOKUP('Données projet'!$B$13,Paramètres!$A$1:$I$89,3,0)*VLOOKUP('Données projet'!$B$13,Paramètres!$A$1:$I$89,5,0)</f>
        <v>96.342480000000009</v>
      </c>
      <c r="CV26" s="14">
        <f t="shared" si="41"/>
        <v>26.088763268244669</v>
      </c>
      <c r="CW26" s="22">
        <f t="shared" si="13"/>
        <v>213.23441535885948</v>
      </c>
      <c r="CX26" s="62">
        <f t="shared" si="14"/>
        <v>498.01219313663728</v>
      </c>
      <c r="CY26" s="62">
        <f ca="1">AVERAGE(OFFSET($CX$3,0,0,'Données projet'!$E$13+1,1))-AVERAGE(OFFSET($H$3,0,0,'Données projet'!$E$13+1,1))</f>
        <v>376.5422416541544</v>
      </c>
      <c r="CZ26" s="62">
        <f t="shared" si="42"/>
        <v>365.76175372075869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6.7084217659465422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6.7084217659465422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439.06700232017681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13</v>
      </c>
      <c r="AI27" s="14">
        <f>IF('Données projet'!$A$62&gt;35,AI26+AH27-AQ26,IF(A27&lt;'Données projet'!$A$62,$AF$205^A27,IF(A27='Données projet'!$A$62,'Données projet'!$B$62,AI26+AH27-AQ26)))</f>
        <v>246.00000000000003</v>
      </c>
      <c r="AJ27" s="14">
        <f>AI27*VLOOKUP('Données projet'!$B$10,Paramètres!$A$1:$I$89,3,0)*VLOOKUP('Données projet'!$B$10,Paramètres!$A$1:$I$89,5,0)</f>
        <v>222.58080000000001</v>
      </c>
      <c r="AK27" s="14">
        <f t="shared" si="35"/>
        <v>54.675428546153249</v>
      </c>
      <c r="AL27" s="22">
        <f t="shared" si="4"/>
        <v>482.8879313845502</v>
      </c>
      <c r="AM27" s="62">
        <f t="shared" si="5"/>
        <v>768.88793138455026</v>
      </c>
      <c r="AN27" s="62">
        <f ca="1">AVERAGE(OFFSET($AM$3,0,0,'Données projet'!$E$10+1,1))-AVERAGE(OFFSET($H$3,0,0,'Données projet'!$E$10+1,1))</f>
        <v>436.23918637269577</v>
      </c>
      <c r="AO27" s="62">
        <f t="shared" si="36"/>
        <v>611.43967996341894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79.871999999999971</v>
      </c>
      <c r="BF27" s="14">
        <f t="shared" si="37"/>
        <v>22.105884547145401</v>
      </c>
      <c r="BG27" s="22">
        <f t="shared" si="7"/>
        <v>177.61148225294485</v>
      </c>
      <c r="BH27" s="62">
        <f t="shared" si="8"/>
        <v>463.61148225294482</v>
      </c>
      <c r="BI27" s="62">
        <f ca="1">AVERAGE(OFFSET($BH$3,0,0,'Données projet'!$E$11+1,1))-AVERAGE(OFFSET($H$3,0,0,'Données projet'!$E$11+1,1))</f>
        <v>288.82868507674738</v>
      </c>
      <c r="BJ27" s="62">
        <f t="shared" si="38"/>
        <v>283.48738729114024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12.6</v>
      </c>
      <c r="BY27" s="13">
        <f>IF('Données projet'!$A$114&gt;35,BY26+BX27-CG26,IF(A27&lt;'Données projet'!$A$114,$BV$205^A27,IF(A27='Données projet'!$A$114,'Données projet'!$B$114,BY26+BX27-CG26)))</f>
        <v>102.39999999999998</v>
      </c>
      <c r="BZ27" s="14">
        <f>BY27*VLOOKUP('Données projet'!$B$12,Paramètres!$A$1:$I$89,3,0)*VLOOKUP('Données projet'!$B$12,Paramètres!$A$1:$I$89,5,0)</f>
        <v>81.469439999999992</v>
      </c>
      <c r="CA27" s="14">
        <f t="shared" si="39"/>
        <v>22.496088365195678</v>
      </c>
      <c r="CB27" s="22">
        <f t="shared" si="10"/>
        <v>181.07329523604912</v>
      </c>
      <c r="CC27" s="62">
        <f t="shared" si="11"/>
        <v>467.07329523604915</v>
      </c>
      <c r="CD27" s="62">
        <f ca="1">AVERAGE(OFFSET($CC$3,0,0,'Données projet'!$E$12+1,1))-AVERAGE(OFFSET($H$3,0,0,'Données projet'!$E$12+1,1))</f>
        <v>298.89893065707554</v>
      </c>
      <c r="CE27" s="62">
        <f t="shared" si="40"/>
        <v>294.28794439094878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16.8</v>
      </c>
      <c r="CT27" s="13">
        <f>IF('Données projet'!$A$140&gt;35,CT26+CS27-DB26,IF(A27&lt;'Données projet'!$A$140,$CQ$205^A27,IF(A27='Données projet'!$A$140,'Données projet'!$B$140,CT26+CS27-DB26)))</f>
        <v>148.20000000000002</v>
      </c>
      <c r="CU27" s="18">
        <f>CT27*VLOOKUP('Données projet'!$B$13,Paramètres!$A$1:$I$89,3,0)*VLOOKUP('Données projet'!$B$13,Paramètres!$A$1:$I$89,5,0)</f>
        <v>108.66024000000002</v>
      </c>
      <c r="CV27" s="14">
        <f t="shared" si="41"/>
        <v>29.015101890437414</v>
      </c>
      <c r="CW27" s="22">
        <f t="shared" si="13"/>
        <v>239.78455379251184</v>
      </c>
      <c r="CX27" s="62">
        <f t="shared" si="14"/>
        <v>525.78455379251182</v>
      </c>
      <c r="CY27" s="62">
        <f ca="1">AVERAGE(OFFSET($CX$3,0,0,'Données projet'!$E$13+1,1))-AVERAGE(OFFSET($H$3,0,0,'Données projet'!$E$13+1,1))</f>
        <v>376.5422416541544</v>
      </c>
      <c r="CZ27" s="62">
        <f t="shared" si="42"/>
        <v>365.76175372075869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6.5249796199761656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6.5249796199761656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439.06700232017681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259</v>
      </c>
      <c r="AG28" s="13">
        <f>VLOOKUP(A28,'Données projet'!$A$61:$I$81,9,0)</f>
        <v>13</v>
      </c>
      <c r="AH28" s="13">
        <f t="array" ref="AH28">INDEX(AG:AG,MIN(IF(ISNUMBER(AG28:AG224),ROW(AG28:AG224),"")))</f>
        <v>13</v>
      </c>
      <c r="AI28" s="14">
        <f>IF('Données projet'!$A$62&gt;35,AI27+AH28-AQ27,IF(A28&lt;'Données projet'!$A$62,$AF$205^A28,IF(A28='Données projet'!$A$62,'Données projet'!$B$62,AI27+AH28-AQ27)))</f>
        <v>259</v>
      </c>
      <c r="AJ28" s="14">
        <f>AI28*VLOOKUP('Données projet'!$B$10,Paramètres!$A$1:$I$89,3,0)*VLOOKUP('Données projet'!$B$10,Paramètres!$A$1:$I$89,5,0)</f>
        <v>234.3432</v>
      </c>
      <c r="AK28" s="14">
        <f t="shared" si="35"/>
        <v>57.220758006491664</v>
      </c>
      <c r="AL28" s="22">
        <f t="shared" si="4"/>
        <v>507.80722686130622</v>
      </c>
      <c r="AM28" s="62">
        <f t="shared" si="5"/>
        <v>795.02944908352845</v>
      </c>
      <c r="AN28" s="62">
        <f ca="1">AVERAGE(OFFSET($AM$3,0,0,'Données projet'!$E$10+1,1))-AVERAGE(OFFSET($H$3,0,0,'Données projet'!$E$10+1,1))</f>
        <v>436.23918637269577</v>
      </c>
      <c r="AO28" s="62">
        <f t="shared" si="36"/>
        <v>611.43967996341894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113</v>
      </c>
      <c r="BB28" s="13">
        <f>VLOOKUP(A28,'Données projet'!$A$87:$I$107,9,0)</f>
        <v>10.6</v>
      </c>
      <c r="BC28" s="13">
        <f t="array" ref="BC28">INDEX(BB:BB,MIN(IF(ISNUMBER(BB28:BB224),ROW(BB28:BB224),"")))</f>
        <v>10.6</v>
      </c>
      <c r="BD28" s="13">
        <f>IF('Données projet'!$A$88&gt;35,BD27+BC28-BL27,IF(A28&lt;'Données projet'!$A$88,$BA$205^A28,IF(A28='Données projet'!$A$88,'Données projet'!$B$88,BD27+BC28-BL27)))</f>
        <v>112.99999999999996</v>
      </c>
      <c r="BE28" s="14">
        <f>BD28*VLOOKUP('Données projet'!$B$11,Paramètres!$A$1:$I$89,3,0)*VLOOKUP('Données projet'!$B$11,Paramètres!$A$1:$I$89,5,0)</f>
        <v>88.139999999999972</v>
      </c>
      <c r="BF28" s="14">
        <f t="shared" si="37"/>
        <v>24.116094026318823</v>
      </c>
      <c r="BG28" s="22">
        <f t="shared" si="7"/>
        <v>195.51269709583855</v>
      </c>
      <c r="BH28" s="62">
        <f t="shared" si="8"/>
        <v>482.73491931806075</v>
      </c>
      <c r="BI28" s="62">
        <f ca="1">AVERAGE(OFFSET($BH$3,0,0,'Données projet'!$E$11+1,1))-AVERAGE(OFFSET($H$3,0,0,'Données projet'!$E$11+1,1))</f>
        <v>288.82868507674738</v>
      </c>
      <c r="BJ28" s="62">
        <f t="shared" si="38"/>
        <v>283.48738729114024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115</v>
      </c>
      <c r="BW28" s="13">
        <f>VLOOKUP(A28,'Données projet'!$A$113:$I$133,9,0)</f>
        <v>12.6</v>
      </c>
      <c r="BX28" s="13">
        <f t="array" ref="BX28">INDEX(BW:BW,MIN(IF(ISNUMBER(BW28:BW224),ROW(BW28:BW224),"")))</f>
        <v>12.6</v>
      </c>
      <c r="BY28" s="13">
        <f>IF('Données projet'!$A$114&gt;35,BY27+BX28-CG27,IF(A28&lt;'Données projet'!$A$114,$BV$205^A28,IF(A28='Données projet'!$A$114,'Données projet'!$B$114,BY27+BX28-CG27)))</f>
        <v>114.99999999999997</v>
      </c>
      <c r="BZ28" s="14">
        <f>BY28*VLOOKUP('Données projet'!$B$12,Paramètres!$A$1:$I$89,3,0)*VLOOKUP('Données projet'!$B$12,Paramètres!$A$1:$I$89,5,0)</f>
        <v>91.493999999999986</v>
      </c>
      <c r="CA28" s="14">
        <f t="shared" si="39"/>
        <v>24.925195840896517</v>
      </c>
      <c r="CB28" s="22">
        <f t="shared" si="10"/>
        <v>202.76343275622807</v>
      </c>
      <c r="CC28" s="62">
        <f t="shared" si="11"/>
        <v>489.98565497845027</v>
      </c>
      <c r="CD28" s="62">
        <f ca="1">AVERAGE(OFFSET($CC$3,0,0,'Données projet'!$E$12+1,1))-AVERAGE(OFFSET($H$3,0,0,'Données projet'!$E$12+1,1))</f>
        <v>298.89893065707554</v>
      </c>
      <c r="CE28" s="62">
        <f t="shared" si="40"/>
        <v>294.28794439094878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165</v>
      </c>
      <c r="CR28" s="13">
        <f>VLOOKUP(A28,'Données projet'!$A$139:$I$159,9,0)</f>
        <v>16.8</v>
      </c>
      <c r="CS28" s="13">
        <f t="array" ref="CS28">INDEX(CR:CR,MIN(IF(ISNUMBER(CR28:CR224),ROW(CR28:CR224),"")))</f>
        <v>16.8</v>
      </c>
      <c r="CT28" s="13">
        <f>IF('Données projet'!$A$140&gt;35,CT27+CS28-DB27,IF(A28&lt;'Données projet'!$A$140,$CQ$205^A28,IF(A28='Données projet'!$A$140,'Données projet'!$B$140,CT27+CS28-DB27)))</f>
        <v>165.00000000000003</v>
      </c>
      <c r="CU28" s="18">
        <f>CT28*VLOOKUP('Données projet'!$B$13,Paramètres!$A$1:$I$89,3,0)*VLOOKUP('Données projet'!$B$13,Paramètres!$A$1:$I$89,5,0)</f>
        <v>120.97800000000002</v>
      </c>
      <c r="CV28" s="14">
        <f t="shared" si="41"/>
        <v>31.902993864447531</v>
      </c>
      <c r="CW28" s="22">
        <f t="shared" si="13"/>
        <v>266.26773098057953</v>
      </c>
      <c r="CX28" s="62">
        <f t="shared" si="14"/>
        <v>553.48995320280176</v>
      </c>
      <c r="CY28" s="62">
        <f ca="1">AVERAGE(OFFSET($CX$3,0,0,'Données projet'!$E$13+1,1))-AVERAGE(OFFSET($H$3,0,0,'Données projet'!$E$13+1,1))</f>
        <v>376.5422416541544</v>
      </c>
      <c r="CZ28" s="62">
        <f t="shared" si="42"/>
        <v>365.76175372075869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42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0.215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13.636829514716883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13.636829514716883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439.06700232017681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10.6</v>
      </c>
      <c r="AI29" s="14">
        <f>IF('Données projet'!$A$62&gt;35,AI28+AH29-AQ28,IF(A29&lt;'Données projet'!$A$62,$AF$205^A29,IF(A29='Données projet'!$A$62,'Données projet'!$B$62,AI28+AH29-AQ28)))</f>
        <v>251.60000000000002</v>
      </c>
      <c r="AJ29" s="14">
        <f>AI29*VLOOKUP('Données projet'!$B$10,Paramètres!$A$1:$I$89,3,0)*VLOOKUP('Données projet'!$B$10,Paramètres!$A$1:$I$89,5,0)</f>
        <v>227.64768000000001</v>
      </c>
      <c r="AK29" s="14">
        <f t="shared" si="35"/>
        <v>55.773751036838362</v>
      </c>
      <c r="AL29" s="22">
        <f t="shared" si="4"/>
        <v>493.62565905582687</v>
      </c>
      <c r="AM29" s="62">
        <f t="shared" si="5"/>
        <v>782.07010350027133</v>
      </c>
      <c r="AN29" s="62">
        <f ca="1">AVERAGE(OFFSET($AM$3,0,0,'Données projet'!$E$10+1,1))-AVERAGE(OFFSET($H$3,0,0,'Données projet'!$E$10+1,1))</f>
        <v>436.23918637269577</v>
      </c>
      <c r="AO29" s="62">
        <f t="shared" si="36"/>
        <v>611.43967996341894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11.5</v>
      </c>
      <c r="BD29" s="13">
        <f>IF('Données projet'!$A$88&gt;35,BD28+BC29-BL28,IF(A29&lt;'Données projet'!$A$88,$BA$205^A29,IF(A29='Données projet'!$A$88,'Données projet'!$B$88,BD28+BC29-BL28)))</f>
        <v>97.499999999999957</v>
      </c>
      <c r="BE29" s="14">
        <f>BD29*VLOOKUP('Données projet'!$B$11,Paramètres!$A$1:$I$89,3,0)*VLOOKUP('Données projet'!$B$11,Paramètres!$A$1:$I$89,5,0)</f>
        <v>76.049999999999969</v>
      </c>
      <c r="BF29" s="14">
        <f t="shared" si="37"/>
        <v>21.168560890749262</v>
      </c>
      <c r="BG29" s="22">
        <f t="shared" si="7"/>
        <v>169.32232688472158</v>
      </c>
      <c r="BH29" s="62">
        <f t="shared" si="8"/>
        <v>457.76677132916603</v>
      </c>
      <c r="BI29" s="62">
        <f ca="1">AVERAGE(OFFSET($BH$3,0,0,'Données projet'!$E$11+1,1))-AVERAGE(OFFSET($H$3,0,0,'Données projet'!$E$11+1,1))</f>
        <v>288.82868507674738</v>
      </c>
      <c r="BJ29" s="62">
        <f t="shared" si="38"/>
        <v>283.48738729114024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98.999999999999972</v>
      </c>
      <c r="BZ29" s="14">
        <f>BY29*VLOOKUP('Données projet'!$B$12,Paramètres!$A$1:$I$89,3,0)*VLOOKUP('Données projet'!$B$12,Paramètres!$A$1:$I$89,5,0)</f>
        <v>78.764399999999981</v>
      </c>
      <c r="CA29" s="14">
        <f t="shared" si="39"/>
        <v>21.834800364471622</v>
      </c>
      <c r="CB29" s="22">
        <f t="shared" si="10"/>
        <v>175.21027396812136</v>
      </c>
      <c r="CC29" s="62">
        <f t="shared" si="11"/>
        <v>463.65471841256579</v>
      </c>
      <c r="CD29" s="62">
        <f ca="1">AVERAGE(OFFSET($CC$3,0,0,'Données projet'!$E$12+1,1))-AVERAGE(OFFSET($H$3,0,0,'Données projet'!$E$12+1,1))</f>
        <v>298.89893065707554</v>
      </c>
      <c r="CE29" s="62">
        <f t="shared" si="40"/>
        <v>294.28794439094878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16.399999999999999</v>
      </c>
      <c r="CT29" s="13">
        <f>IF('Données projet'!$A$140&gt;35,CT28+CS29-DB28,IF(A29&lt;'Données projet'!$A$140,$CQ$205^A29,IF(A29='Données projet'!$A$140,'Données projet'!$B$140,CT28+CS29-DB28)))</f>
        <v>139.40000000000003</v>
      </c>
      <c r="CU29" s="18">
        <f>CT29*VLOOKUP('Données projet'!$B$13,Paramètres!$A$1:$I$89,3,0)*VLOOKUP('Données projet'!$B$13,Paramètres!$A$1:$I$89,5,0)</f>
        <v>102.20808000000002</v>
      </c>
      <c r="CV29" s="14">
        <f t="shared" si="41"/>
        <v>27.487371629246301</v>
      </c>
      <c r="CW29" s="22">
        <f t="shared" si="13"/>
        <v>225.88624492093732</v>
      </c>
      <c r="CX29" s="62">
        <f t="shared" si="14"/>
        <v>514.33068936538177</v>
      </c>
      <c r="CY29" s="62">
        <f ca="1">AVERAGE(OFFSET($CX$3,0,0,'Données projet'!$E$13+1,1))-AVERAGE(OFFSET($H$3,0,0,'Données projet'!$E$13+1,1))</f>
        <v>376.5422416541544</v>
      </c>
      <c r="CZ29" s="62">
        <f t="shared" si="42"/>
        <v>365.76175372075869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13.263929694507253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13.263929694507253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439.06700232017681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10.6</v>
      </c>
      <c r="AI30" s="14">
        <f>IF('Données projet'!$A$62&gt;35,AI29+AH30-AQ29,IF(A30&lt;'Données projet'!$A$62,$AF$205^A30,IF(A30='Données projet'!$A$62,'Données projet'!$B$62,AI29+AH30-AQ29)))</f>
        <v>262.20000000000005</v>
      </c>
      <c r="AJ30" s="14">
        <f>AI30*VLOOKUP('Données projet'!$B$10,Paramètres!$A$1:$I$89,3,0)*VLOOKUP('Données projet'!$B$10,Paramètres!$A$1:$I$89,5,0)</f>
        <v>237.23856000000004</v>
      </c>
      <c r="AK30" s="14">
        <f t="shared" si="35"/>
        <v>57.84499363660688</v>
      </c>
      <c r="AL30" s="22">
        <f t="shared" si="4"/>
        <v>513.93718925042367</v>
      </c>
      <c r="AM30" s="62">
        <f t="shared" si="5"/>
        <v>803.60385591709041</v>
      </c>
      <c r="AN30" s="62">
        <f ca="1">AVERAGE(OFFSET($AM$3,0,0,'Données projet'!$E$10+1,1))-AVERAGE(OFFSET($H$3,0,0,'Données projet'!$E$10+1,1))</f>
        <v>436.23918637269577</v>
      </c>
      <c r="AO30" s="62">
        <f t="shared" si="36"/>
        <v>611.43967996341894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11.5</v>
      </c>
      <c r="BD30" s="13">
        <f>IF('Données projet'!$A$88&gt;35,BD29+BC30-BL29,IF(A30&lt;'Données projet'!$A$88,$BA$205^A30,IF(A30='Données projet'!$A$88,'Données projet'!$B$88,BD29+BC30-BL29)))</f>
        <v>108.99999999999996</v>
      </c>
      <c r="BE30" s="14">
        <f>BD30*VLOOKUP('Données projet'!$B$11,Paramètres!$A$1:$I$89,3,0)*VLOOKUP('Données projet'!$B$11,Paramètres!$A$1:$I$89,5,0)</f>
        <v>85.019999999999968</v>
      </c>
      <c r="BF30" s="14">
        <f t="shared" si="37"/>
        <v>23.360218970693097</v>
      </c>
      <c r="BG30" s="22">
        <f t="shared" si="7"/>
        <v>188.76221470729038</v>
      </c>
      <c r="BH30" s="62">
        <f t="shared" si="8"/>
        <v>478.4288813739571</v>
      </c>
      <c r="BI30" s="62">
        <f ca="1">AVERAGE(OFFSET($BH$3,0,0,'Données projet'!$E$11+1,1))-AVERAGE(OFFSET($H$3,0,0,'Données projet'!$E$11+1,1))</f>
        <v>288.82868507674738</v>
      </c>
      <c r="BJ30" s="62">
        <f t="shared" si="38"/>
        <v>283.48738729114024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110.99999999999997</v>
      </c>
      <c r="BZ30" s="14">
        <f>BY30*VLOOKUP('Données projet'!$B$12,Paramètres!$A$1:$I$89,3,0)*VLOOKUP('Données projet'!$B$12,Paramètres!$A$1:$I$89,5,0)</f>
        <v>88.311599999999984</v>
      </c>
      <c r="CA30" s="14">
        <f t="shared" si="39"/>
        <v>24.157575839957186</v>
      </c>
      <c r="CB30" s="22">
        <f t="shared" si="10"/>
        <v>195.8838145879254</v>
      </c>
      <c r="CC30" s="62">
        <f t="shared" si="11"/>
        <v>485.55048125459211</v>
      </c>
      <c r="CD30" s="62">
        <f ca="1">AVERAGE(OFFSET($CC$3,0,0,'Données projet'!$E$12+1,1))-AVERAGE(OFFSET($H$3,0,0,'Données projet'!$E$12+1,1))</f>
        <v>298.89893065707554</v>
      </c>
      <c r="CE30" s="62">
        <f t="shared" si="40"/>
        <v>294.28794439094878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16.399999999999999</v>
      </c>
      <c r="CT30" s="13">
        <f>IF('Données projet'!$A$140&gt;35,CT29+CS30-DB29,IF(A30&lt;'Données projet'!$A$140,$CQ$205^A30,IF(A30='Données projet'!$A$140,'Données projet'!$B$140,CT29+CS30-DB29)))</f>
        <v>155.80000000000004</v>
      </c>
      <c r="CU30" s="18">
        <f>CT30*VLOOKUP('Données projet'!$B$13,Paramètres!$A$1:$I$89,3,0)*VLOOKUP('Données projet'!$B$13,Paramètres!$A$1:$I$89,5,0)</f>
        <v>114.23256000000002</v>
      </c>
      <c r="CV30" s="14">
        <f t="shared" si="41"/>
        <v>30.326006869580301</v>
      </c>
      <c r="CW30" s="22">
        <f t="shared" si="13"/>
        <v>251.77283729785236</v>
      </c>
      <c r="CX30" s="62">
        <f t="shared" si="14"/>
        <v>541.43950396451908</v>
      </c>
      <c r="CY30" s="62">
        <f ca="1">AVERAGE(OFFSET($CX$3,0,0,'Données projet'!$E$13+1,1))-AVERAGE(OFFSET($H$3,0,0,'Données projet'!$E$13+1,1))</f>
        <v>376.5422416541544</v>
      </c>
      <c r="CZ30" s="62">
        <f t="shared" si="42"/>
        <v>365.76175372075869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12.901226839491205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12.901226839491205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439.06700232017681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10.6</v>
      </c>
      <c r="AI31" s="14">
        <f>IF('Données projet'!$A$62&gt;35,AI30+AH31-AQ30,IF(A31&lt;'Données projet'!$A$62,$AF$205^A31,IF(A31='Données projet'!$A$62,'Données projet'!$B$62,AI30+AH31-AQ30)))</f>
        <v>272.80000000000007</v>
      </c>
      <c r="AJ31" s="14">
        <f>AI31*VLOOKUP('Données projet'!$B$10,Paramètres!$A$1:$I$89,3,0)*VLOOKUP('Données projet'!$B$10,Paramètres!$A$1:$I$89,5,0)</f>
        <v>246.82944000000003</v>
      </c>
      <c r="AK31" s="14">
        <f t="shared" si="35"/>
        <v>59.906509645447485</v>
      </c>
      <c r="AL31" s="22">
        <f t="shared" si="4"/>
        <v>534.23177896582104</v>
      </c>
      <c r="AM31" s="62">
        <f t="shared" si="5"/>
        <v>825.12066785470984</v>
      </c>
      <c r="AN31" s="62">
        <f ca="1">AVERAGE(OFFSET($AM$3,0,0,'Données projet'!$E$10+1,1))-AVERAGE(OFFSET($H$3,0,0,'Données projet'!$E$10+1,1))</f>
        <v>436.23918637269577</v>
      </c>
      <c r="AO31" s="62">
        <f t="shared" si="36"/>
        <v>611.43967996341894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11.5</v>
      </c>
      <c r="BD31" s="13">
        <f>IF('Données projet'!$A$88&gt;35,BD30+BC31-BL30,IF(A31&lt;'Données projet'!$A$88,$BA$205^A31,IF(A31='Données projet'!$A$88,'Données projet'!$B$88,BD30+BC31-BL30)))</f>
        <v>120.49999999999996</v>
      </c>
      <c r="BE31" s="14">
        <f>BD31*VLOOKUP('Données projet'!$B$11,Paramètres!$A$1:$I$89,3,0)*VLOOKUP('Données projet'!$B$11,Paramètres!$A$1:$I$89,5,0)</f>
        <v>93.989999999999966</v>
      </c>
      <c r="BF31" s="14">
        <f t="shared" si="37"/>
        <v>25.525074036970054</v>
      </c>
      <c r="BG31" s="22">
        <f t="shared" si="7"/>
        <v>208.15542061438944</v>
      </c>
      <c r="BH31" s="62">
        <f t="shared" si="8"/>
        <v>499.04430950327833</v>
      </c>
      <c r="BI31" s="62">
        <f ca="1">AVERAGE(OFFSET($BH$3,0,0,'Données projet'!$E$11+1,1))-AVERAGE(OFFSET($H$3,0,0,'Données projet'!$E$11+1,1))</f>
        <v>288.82868507674738</v>
      </c>
      <c r="BJ31" s="62">
        <f t="shared" si="38"/>
        <v>283.48738729114024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122.99999999999997</v>
      </c>
      <c r="BZ31" s="14">
        <f>BY31*VLOOKUP('Données projet'!$B$12,Paramètres!$A$1:$I$89,3,0)*VLOOKUP('Données projet'!$B$12,Paramètres!$A$1:$I$89,5,0)</f>
        <v>97.858799999999988</v>
      </c>
      <c r="CA31" s="14">
        <f t="shared" si="39"/>
        <v>26.45124536158788</v>
      </c>
      <c r="CB31" s="22">
        <f t="shared" si="10"/>
        <v>216.50666233809886</v>
      </c>
      <c r="CC31" s="62">
        <f t="shared" si="11"/>
        <v>507.39555122698772</v>
      </c>
      <c r="CD31" s="62">
        <f ca="1">AVERAGE(OFFSET($CC$3,0,0,'Données projet'!$E$12+1,1))-AVERAGE(OFFSET($H$3,0,0,'Données projet'!$E$12+1,1))</f>
        <v>298.89893065707554</v>
      </c>
      <c r="CE31" s="62">
        <f t="shared" si="40"/>
        <v>294.28794439094878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16.399999999999999</v>
      </c>
      <c r="CT31" s="13">
        <f>IF('Données projet'!$A$140&gt;35,CT30+CS31-DB30,IF(A31&lt;'Données projet'!$A$140,$CQ$205^A31,IF(A31='Données projet'!$A$140,'Données projet'!$B$140,CT30+CS31-DB30)))</f>
        <v>172.20000000000005</v>
      </c>
      <c r="CU31" s="18">
        <f>CT31*VLOOKUP('Données projet'!$B$13,Paramètres!$A$1:$I$89,3,0)*VLOOKUP('Données projet'!$B$13,Paramètres!$A$1:$I$89,5,0)</f>
        <v>126.25704000000002</v>
      </c>
      <c r="CV31" s="14">
        <f t="shared" si="41"/>
        <v>33.130006114881255</v>
      </c>
      <c r="CW31" s="22">
        <f t="shared" si="13"/>
        <v>277.59910531675155</v>
      </c>
      <c r="CX31" s="62">
        <f t="shared" si="14"/>
        <v>568.48799420564046</v>
      </c>
      <c r="CY31" s="62">
        <f ca="1">AVERAGE(OFFSET($CX$3,0,0,'Données projet'!$E$13+1,1))-AVERAGE(OFFSET($H$3,0,0,'Données projet'!$E$13+1,1))</f>
        <v>376.5422416541544</v>
      </c>
      <c r="CZ31" s="62">
        <f t="shared" si="42"/>
        <v>365.76175372075869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12.548442113119284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12.548442113119284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439.06700232017681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10.6</v>
      </c>
      <c r="AI32" s="14">
        <f>IF('Données projet'!$A$62&gt;35,AI31+AH32-AQ31,IF(A32&lt;'Données projet'!$A$62,$AF$205^A32,IF(A32='Données projet'!$A$62,'Données projet'!$B$62,AI31+AH32-AQ31)))</f>
        <v>283.40000000000009</v>
      </c>
      <c r="AJ32" s="14">
        <f>AI32*VLOOKUP('Données projet'!$B$10,Paramètres!$A$1:$I$89,3,0)*VLOOKUP('Données projet'!$B$10,Paramètres!$A$1:$I$89,5,0)</f>
        <v>256.42032000000006</v>
      </c>
      <c r="AK32" s="14">
        <f t="shared" si="35"/>
        <v>61.958720258016918</v>
      </c>
      <c r="AL32" s="22">
        <f t="shared" si="4"/>
        <v>554.51016178271277</v>
      </c>
      <c r="AM32" s="62">
        <f t="shared" si="5"/>
        <v>846.62127289382397</v>
      </c>
      <c r="AN32" s="62">
        <f ca="1">AVERAGE(OFFSET($AM$3,0,0,'Données projet'!$E$10+1,1))-AVERAGE(OFFSET($H$3,0,0,'Données projet'!$E$10+1,1))</f>
        <v>436.23918637269577</v>
      </c>
      <c r="AO32" s="62">
        <f t="shared" si="36"/>
        <v>611.43967996341894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11.5</v>
      </c>
      <c r="BD32" s="13">
        <f>IF('Données projet'!$A$88&gt;35,BD31+BC32-BL31,IF(A32&lt;'Données projet'!$A$88,$BA$205^A32,IF(A32='Données projet'!$A$88,'Données projet'!$B$88,BD31+BC32-BL31)))</f>
        <v>131.99999999999994</v>
      </c>
      <c r="BE32" s="14">
        <f>BD32*VLOOKUP('Données projet'!$B$11,Paramètres!$A$1:$I$89,3,0)*VLOOKUP('Données projet'!$B$11,Paramètres!$A$1:$I$89,5,0)</f>
        <v>102.95999999999997</v>
      </c>
      <c r="BF32" s="14">
        <f t="shared" si="37"/>
        <v>27.665975080374633</v>
      </c>
      <c r="BG32" s="22">
        <f t="shared" si="7"/>
        <v>227.50690659831903</v>
      </c>
      <c r="BH32" s="62">
        <f t="shared" si="8"/>
        <v>519.61801770943021</v>
      </c>
      <c r="BI32" s="62">
        <f ca="1">AVERAGE(OFFSET($BH$3,0,0,'Données projet'!$E$11+1,1))-AVERAGE(OFFSET($H$3,0,0,'Données projet'!$E$11+1,1))</f>
        <v>288.82868507674738</v>
      </c>
      <c r="BJ32" s="62">
        <f t="shared" si="38"/>
        <v>283.48738729114024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134.99999999999997</v>
      </c>
      <c r="BZ32" s="14">
        <f>BY32*VLOOKUP('Données projet'!$B$12,Paramètres!$A$1:$I$89,3,0)*VLOOKUP('Données projet'!$B$12,Paramètres!$A$1:$I$89,5,0)</f>
        <v>107.40599999999998</v>
      </c>
      <c r="CA32" s="14">
        <f t="shared" si="39"/>
        <v>28.718971683040337</v>
      </c>
      <c r="CB32" s="22">
        <f t="shared" si="10"/>
        <v>237.08432568129521</v>
      </c>
      <c r="CC32" s="62">
        <f t="shared" si="11"/>
        <v>529.19543679240633</v>
      </c>
      <c r="CD32" s="62">
        <f ca="1">AVERAGE(OFFSET($CC$3,0,0,'Données projet'!$E$12+1,1))-AVERAGE(OFFSET($H$3,0,0,'Données projet'!$E$12+1,1))</f>
        <v>298.89893065707554</v>
      </c>
      <c r="CE32" s="62">
        <f t="shared" si="40"/>
        <v>294.28794439094878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16.399999999999999</v>
      </c>
      <c r="CT32" s="13">
        <f>IF('Données projet'!$A$140&gt;35,CT31+CS32-DB31,IF(A32&lt;'Données projet'!$A$140,$CQ$205^A32,IF(A32='Données projet'!$A$140,'Données projet'!$B$140,CT31+CS32-DB31)))</f>
        <v>188.60000000000005</v>
      </c>
      <c r="CU32" s="18">
        <f>CT32*VLOOKUP('Données projet'!$B$13,Paramètres!$A$1:$I$89,3,0)*VLOOKUP('Données projet'!$B$13,Paramètres!$A$1:$I$89,5,0)</f>
        <v>138.28152000000003</v>
      </c>
      <c r="CV32" s="14">
        <f t="shared" si="41"/>
        <v>35.903043322174675</v>
      </c>
      <c r="CW32" s="22">
        <f t="shared" si="13"/>
        <v>303.37144778612094</v>
      </c>
      <c r="CX32" s="62">
        <f t="shared" si="14"/>
        <v>595.48255889723214</v>
      </c>
      <c r="CY32" s="62">
        <f ca="1">AVERAGE(OFFSET($CX$3,0,0,'Données projet'!$E$13+1,1))-AVERAGE(OFFSET($H$3,0,0,'Données projet'!$E$13+1,1))</f>
        <v>376.5422416541544</v>
      </c>
      <c r="CZ32" s="62">
        <f t="shared" si="42"/>
        <v>365.76175372075869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12.205304303642146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12.205304303642146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439.06700232017681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294</v>
      </c>
      <c r="AG33" s="13">
        <f>VLOOKUP(A33,'Données projet'!$A$61:$I$81,9,0)</f>
        <v>10.6</v>
      </c>
      <c r="AH33" s="13">
        <f t="array" ref="AH33">INDEX(AG:AG,MIN(IF(ISNUMBER(AG33:AG229),ROW(AG33:AG229),"")))</f>
        <v>10.6</v>
      </c>
      <c r="AI33" s="14">
        <f>IF('Données projet'!$A$62&gt;35,AI32+AH33-AQ32,IF(A33&lt;'Données projet'!$A$62,$AF$205^A33,IF(A33='Données projet'!$A$62,'Données projet'!$B$62,AI32+AH33-AQ32)))</f>
        <v>294.00000000000011</v>
      </c>
      <c r="AJ33" s="14">
        <f>AI33*VLOOKUP('Données projet'!$B$10,Paramètres!$A$1:$I$89,3,0)*VLOOKUP('Données projet'!$B$10,Paramètres!$A$1:$I$89,5,0)</f>
        <v>266.01120000000009</v>
      </c>
      <c r="AK33" s="14">
        <f t="shared" si="35"/>
        <v>64.002013376125717</v>
      </c>
      <c r="AL33" s="22">
        <f t="shared" si="4"/>
        <v>574.77301329675242</v>
      </c>
      <c r="AM33" s="62">
        <f t="shared" si="5"/>
        <v>868.10634663008568</v>
      </c>
      <c r="AN33" s="62">
        <f ca="1">AVERAGE(OFFSET($AM$3,0,0,'Données projet'!$E$10+1,1))-AVERAGE(OFFSET($H$3,0,0,'Données projet'!$E$10+1,1))</f>
        <v>436.23918637269577</v>
      </c>
      <c r="AO33" s="62">
        <f t="shared" si="36"/>
        <v>611.43967996341894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14</v>
      </c>
      <c r="AR33" s="17">
        <f>IF(ISNA(VLOOKUP(A33,'Données projet'!$A$61:$I$81,5,0)),0%,VLOOKUP(A33,'Données projet'!$A$61:$I$81,5,0)*VLOOKUP('Données projet'!$B$10,Paramètres!$A$1:$I$89,7,0))</f>
        <v>0.06</v>
      </c>
      <c r="AS33" s="17">
        <f>IF(ISNA(VLOOKUP(A33,'Données projet'!$A$61:$I$81,6,0)),0%,VLOOKUP(A33,'Données projet'!$A$61:$I$81,6,0)*VLOOKUP('Données projet'!$B$10,Paramètres!$A$1:$I$89,7,0))</f>
        <v>0.105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0.84019286349718703</v>
      </c>
      <c r="AV33" s="23">
        <f>EXP(-LN(2)/25)*AV32+(1-EXP(-LN(2)/25))/(LN(2)/25)*Calculateur!AQ33*Calculateur!AS33*VLOOKUP('Données projet'!$B$10,Paramètres!$A$1:$I$89,3,0)*0.475*44/12</f>
        <v>1.4645482320962835</v>
      </c>
      <c r="AW33" s="23">
        <f>EXP(-LN(2)/2)*AW32+(1-EXP(-LN(2)/2))/(LN(2)/2)*AQ33*AT33*VLOOKUP('Données projet'!$B$10,Paramètres!$A$1:$I$89,3,0)*0.475*44/12</f>
        <v>5.9759220663446868</v>
      </c>
      <c r="AX33" s="23">
        <f t="shared" si="6"/>
        <v>8.2806631619381577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11.5</v>
      </c>
      <c r="BD33" s="13">
        <f>IF('Données projet'!$A$88&gt;35,BD32+BC33-BL32,IF(A33&lt;'Données projet'!$A$88,$BA$205^A33,IF(A33='Données projet'!$A$88,'Données projet'!$B$88,BD32+BC33-BL32)))</f>
        <v>143.49999999999994</v>
      </c>
      <c r="BE33" s="14">
        <f>BD33*VLOOKUP('Données projet'!$B$11,Paramètres!$A$1:$I$89,3,0)*VLOOKUP('Données projet'!$B$11,Paramètres!$A$1:$I$89,5,0)</f>
        <v>111.92999999999996</v>
      </c>
      <c r="BF33" s="14">
        <f t="shared" si="37"/>
        <v>29.785246291563833</v>
      </c>
      <c r="BG33" s="22">
        <f t="shared" si="7"/>
        <v>246.82072062447358</v>
      </c>
      <c r="BH33" s="62">
        <f t="shared" si="8"/>
        <v>540.15405395780692</v>
      </c>
      <c r="BI33" s="62">
        <f ca="1">AVERAGE(OFFSET($BH$3,0,0,'Données projet'!$E$11+1,1))-AVERAGE(OFFSET($H$3,0,0,'Données projet'!$E$11+1,1))</f>
        <v>288.82868507674738</v>
      </c>
      <c r="BJ33" s="62">
        <f t="shared" si="38"/>
        <v>283.48738729114024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147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146.99999999999997</v>
      </c>
      <c r="BZ33" s="14">
        <f>BY33*VLOOKUP('Données projet'!$B$12,Paramètres!$A$1:$I$89,3,0)*VLOOKUP('Données projet'!$B$12,Paramètres!$A$1:$I$89,5,0)</f>
        <v>116.95319999999998</v>
      </c>
      <c r="CA33" s="14">
        <f t="shared" si="39"/>
        <v>30.963323095281662</v>
      </c>
      <c r="CB33" s="22">
        <f t="shared" si="10"/>
        <v>257.62127772428215</v>
      </c>
      <c r="CC33" s="62">
        <f t="shared" si="11"/>
        <v>550.95461105761547</v>
      </c>
      <c r="CD33" s="62">
        <f ca="1">AVERAGE(OFFSET($CC$3,0,0,'Données projet'!$E$12+1,1))-AVERAGE(OFFSET($H$3,0,0,'Données projet'!$E$12+1,1))</f>
        <v>298.89893065707554</v>
      </c>
      <c r="CE33" s="62">
        <f t="shared" si="40"/>
        <v>294.28794439094878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205</v>
      </c>
      <c r="CR33" s="13">
        <f>VLOOKUP(A33,'Données projet'!$A$139:$I$159,9,0)</f>
        <v>16.399999999999999</v>
      </c>
      <c r="CS33" s="13">
        <f t="array" ref="CS33">INDEX(CR:CR,MIN(IF(ISNUMBER(CR33:CR229),ROW(CR33:CR229),"")))</f>
        <v>16.399999999999999</v>
      </c>
      <c r="CT33" s="13">
        <f>IF('Données projet'!$A$140&gt;35,CT32+CS33-DB32,IF(A33&lt;'Données projet'!$A$140,$CQ$205^A33,IF(A33='Données projet'!$A$140,'Données projet'!$B$140,CT32+CS33-DB32)))</f>
        <v>205.00000000000006</v>
      </c>
      <c r="CU33" s="18">
        <f>CT33*VLOOKUP('Données projet'!$B$13,Paramètres!$A$1:$I$89,3,0)*VLOOKUP('Données projet'!$B$13,Paramètres!$A$1:$I$89,5,0)</f>
        <v>150.30600000000004</v>
      </c>
      <c r="CV33" s="14">
        <f t="shared" si="41"/>
        <v>38.648116968856677</v>
      </c>
      <c r="CW33" s="22">
        <f t="shared" si="13"/>
        <v>329.09508705409212</v>
      </c>
      <c r="CX33" s="62">
        <f t="shared" si="14"/>
        <v>622.42842038742538</v>
      </c>
      <c r="CY33" s="62">
        <f ca="1">AVERAGE(OFFSET($CX$3,0,0,'Données projet'!$E$13+1,1))-AVERAGE(OFFSET($H$3,0,0,'Données projet'!$E$13+1,1))</f>
        <v>376.5422416541544</v>
      </c>
      <c r="CZ33" s="62">
        <f t="shared" si="42"/>
        <v>365.76175372075869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42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0.215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19.161825421192724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19.161825421192724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439.06700232017681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288.60000000000014</v>
      </c>
      <c r="AJ34" s="14">
        <f>AI34*VLOOKUP('Données projet'!$B$10,Paramètres!$A$1:$I$89,3,0)*VLOOKUP('Données projet'!$B$10,Paramètres!$A$1:$I$89,5,0)</f>
        <v>261.12528000000009</v>
      </c>
      <c r="AK34" s="14">
        <f t="shared" si="35"/>
        <v>62.962181856353716</v>
      </c>
      <c r="AL34" s="22">
        <f t="shared" si="4"/>
        <v>564.45232939981622</v>
      </c>
      <c r="AM34" s="62">
        <f t="shared" si="5"/>
        <v>857.78566273314959</v>
      </c>
      <c r="AN34" s="62">
        <f ca="1">AVERAGE(OFFSET($AM$3,0,0,'Données projet'!$E$10+1,1))-AVERAGE(OFFSET($H$3,0,0,'Données projet'!$E$10+1,1))</f>
        <v>436.23918637269577</v>
      </c>
      <c r="AO34" s="62">
        <f t="shared" si="36"/>
        <v>611.43967996341894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0.82371719391105203</v>
      </c>
      <c r="AV34" s="23">
        <f>EXP(-LN(2)/25)*AV33+(1-EXP(-LN(2)/25))/(LN(2)/25)*Calculateur!AQ34*Calculateur!AS34*VLOOKUP('Données projet'!$B$10,Paramètres!$A$1:$I$89,3,0)*0.475*44/12</f>
        <v>1.4245000836723665</v>
      </c>
      <c r="AW34" s="23">
        <f>EXP(-LN(2)/2)*AW33+(1-EXP(-LN(2)/2))/(LN(2)/2)*AQ34*AT34*VLOOKUP('Données projet'!$B$10,Paramètres!$A$1:$I$89,3,0)*0.475*44/12</f>
        <v>4.225615016954654</v>
      </c>
      <c r="AX34" s="23">
        <f t="shared" si="6"/>
        <v>6.473832294538072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155</v>
      </c>
      <c r="BB34" s="13">
        <f>VLOOKUP(A34,'Données projet'!$A$87:$I$107,9,0)</f>
        <v>11.5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154.99999999999994</v>
      </c>
      <c r="BE34" s="14">
        <f>BD34*VLOOKUP('Données projet'!$B$11,Paramètres!$A$1:$I$89,3,0)*VLOOKUP('Données projet'!$B$11,Paramètres!$A$1:$I$89,5,0)</f>
        <v>120.89999999999996</v>
      </c>
      <c r="BF34" s="14">
        <f t="shared" si="37"/>
        <v>31.884818143351602</v>
      </c>
      <c r="BG34" s="22">
        <f t="shared" si="7"/>
        <v>266.10022493300397</v>
      </c>
      <c r="BH34" s="62">
        <f t="shared" si="8"/>
        <v>559.43355826633729</v>
      </c>
      <c r="BI34" s="62">
        <f ca="1">AVERAGE(OFFSET($BH$3,0,0,'Données projet'!$E$11+1,1))-AVERAGE(OFFSET($H$3,0,0,'Données projet'!$E$11+1,1))</f>
        <v>288.82868507674738</v>
      </c>
      <c r="BJ34" s="62">
        <f t="shared" si="38"/>
        <v>283.48738729114024</v>
      </c>
      <c r="BK34" s="16">
        <f>IF(ISNA(VLOOKUP(A34,'Données projet'!$A$87:$I$107,3,0)),0,VLOOKUP(A34,'Données projet'!$A$87:$I$107,3,0))</f>
        <v>4</v>
      </c>
      <c r="BL34" s="16">
        <f>IF(ISNA(VLOOKUP(A34,'Données projet'!$A$87:$I$107,4,0)),0,VLOOKUP(A34,'Données projet'!$A$87:$I$107,4,0))</f>
        <v>36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129.79999999999998</v>
      </c>
      <c r="BZ34" s="14">
        <f>BY34*VLOOKUP('Données projet'!$B$12,Paramètres!$A$1:$I$89,3,0)*VLOOKUP('Données projet'!$B$12,Paramètres!$A$1:$I$89,5,0)</f>
        <v>103.26888</v>
      </c>
      <c r="CA34" s="14">
        <f t="shared" si="39"/>
        <v>27.739299256755746</v>
      </c>
      <c r="CB34" s="22">
        <f t="shared" si="10"/>
        <v>228.17257887218292</v>
      </c>
      <c r="CC34" s="62">
        <f t="shared" si="11"/>
        <v>521.50591220551621</v>
      </c>
      <c r="CD34" s="62">
        <f ca="1">AVERAGE(OFFSET($CC$3,0,0,'Données projet'!$E$12+1,1))-AVERAGE(OFFSET($H$3,0,0,'Données projet'!$E$12+1,1))</f>
        <v>298.89893065707554</v>
      </c>
      <c r="CE34" s="62">
        <f t="shared" si="40"/>
        <v>294.28794439094878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15.2</v>
      </c>
      <c r="CT34" s="13">
        <f>IF('Données projet'!$A$140&gt;35,CT33+CS34-DB33,IF(A34&lt;'Données projet'!$A$140,$CQ$205^A34,IF(A34='Données projet'!$A$140,'Données projet'!$B$140,CT33+CS34-DB33)))</f>
        <v>178.20000000000005</v>
      </c>
      <c r="CU34" s="18">
        <f>CT34*VLOOKUP('Données projet'!$B$13,Paramètres!$A$1:$I$89,3,0)*VLOOKUP('Données projet'!$B$13,Paramètres!$A$1:$I$89,5,0)</f>
        <v>130.65624000000003</v>
      </c>
      <c r="CV34" s="14">
        <f t="shared" si="41"/>
        <v>34.147952661921146</v>
      </c>
      <c r="CW34" s="22">
        <f t="shared" si="13"/>
        <v>287.03396888617937</v>
      </c>
      <c r="CX34" s="62">
        <f t="shared" si="14"/>
        <v>580.36730221951268</v>
      </c>
      <c r="CY34" s="62">
        <f ca="1">AVERAGE(OFFSET($CX$3,0,0,'Données projet'!$E$13+1,1))-AVERAGE(OFFSET($H$3,0,0,'Données projet'!$E$13+1,1))</f>
        <v>376.5422416541544</v>
      </c>
      <c r="CZ34" s="62">
        <f t="shared" si="42"/>
        <v>365.76175372075869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18.637844297373604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18.637844297373604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439.06700232017681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297.20000000000016</v>
      </c>
      <c r="AJ35" s="14">
        <f>AI35*VLOOKUP('Données projet'!$B$10,Paramètres!$A$1:$I$89,3,0)*VLOOKUP('Données projet'!$B$10,Paramètres!$A$1:$I$89,5,0)</f>
        <v>268.90656000000013</v>
      </c>
      <c r="AK35" s="14">
        <f t="shared" si="35"/>
        <v>64.617158945843826</v>
      </c>
      <c r="AL35" s="22">
        <f t="shared" si="4"/>
        <v>580.88714383067816</v>
      </c>
      <c r="AM35" s="62">
        <f t="shared" si="5"/>
        <v>874.22047716401153</v>
      </c>
      <c r="AN35" s="62">
        <f ca="1">AVERAGE(OFFSET($AM$3,0,0,'Données projet'!$E$10+1,1))-AVERAGE(OFFSET($H$3,0,0,'Données projet'!$E$10+1,1))</f>
        <v>436.23918637269577</v>
      </c>
      <c r="AO35" s="62">
        <f t="shared" si="36"/>
        <v>611.43967996341894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0.80756460215633497</v>
      </c>
      <c r="AV35" s="23">
        <f>EXP(-LN(2)/25)*AV34+(1-EXP(-LN(2)/25))/(LN(2)/25)*Calculateur!AQ35*Calculateur!AS35*VLOOKUP('Données projet'!$B$10,Paramètres!$A$1:$I$89,3,0)*0.475*44/12</f>
        <v>1.385547053973142</v>
      </c>
      <c r="AW35" s="23">
        <f>EXP(-LN(2)/2)*AW34+(1-EXP(-LN(2)/2))/(LN(2)/2)*AQ35*AT35*VLOOKUP('Données projet'!$B$10,Paramètres!$A$1:$I$89,3,0)*0.475*44/12</f>
        <v>2.9879610331723438</v>
      </c>
      <c r="AX35" s="23">
        <f t="shared" si="6"/>
        <v>5.1810726893018213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130.49999999999994</v>
      </c>
      <c r="BE35" s="14">
        <f>BD35*VLOOKUP('Données projet'!$B$11,Paramètres!$A$1:$I$89,3,0)*VLOOKUP('Données projet'!$B$11,Paramètres!$A$1:$I$89,5,0)</f>
        <v>101.78999999999996</v>
      </c>
      <c r="BF35" s="14">
        <f t="shared" si="37"/>
        <v>27.38799903683508</v>
      </c>
      <c r="BG35" s="22">
        <f t="shared" si="7"/>
        <v>224.98501498915437</v>
      </c>
      <c r="BH35" s="62">
        <f t="shared" si="8"/>
        <v>518.31834832248774</v>
      </c>
      <c r="BI35" s="62">
        <f ca="1">AVERAGE(OFFSET($BH$3,0,0,'Données projet'!$E$11+1,1))-AVERAGE(OFFSET($H$3,0,0,'Données projet'!$E$11+1,1))</f>
        <v>288.82868507674738</v>
      </c>
      <c r="BJ35" s="62">
        <f t="shared" si="38"/>
        <v>283.48738729114024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140.6</v>
      </c>
      <c r="BZ35" s="14">
        <f>BY35*VLOOKUP('Données projet'!$B$12,Paramètres!$A$1:$I$89,3,0)*VLOOKUP('Données projet'!$B$12,Paramètres!$A$1:$I$89,5,0)</f>
        <v>111.86136</v>
      </c>
      <c r="CA35" s="14">
        <f t="shared" si="39"/>
        <v>29.769106304683568</v>
      </c>
      <c r="CB35" s="22">
        <f t="shared" si="10"/>
        <v>246.67306214732389</v>
      </c>
      <c r="CC35" s="62">
        <f t="shared" si="11"/>
        <v>540.00639548065715</v>
      </c>
      <c r="CD35" s="62">
        <f ca="1">AVERAGE(OFFSET($CC$3,0,0,'Données projet'!$E$12+1,1))-AVERAGE(OFFSET($H$3,0,0,'Données projet'!$E$12+1,1))</f>
        <v>298.89893065707554</v>
      </c>
      <c r="CE35" s="62">
        <f t="shared" si="40"/>
        <v>294.28794439094878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15.2</v>
      </c>
      <c r="CT35" s="13">
        <f>IF('Données projet'!$A$140&gt;35,CT34+CS35-DB34,IF(A35&lt;'Données projet'!$A$140,$CQ$205^A35,IF(A35='Données projet'!$A$140,'Données projet'!$B$140,CT34+CS35-DB34)))</f>
        <v>193.40000000000003</v>
      </c>
      <c r="CU35" s="18">
        <f>CT35*VLOOKUP('Données projet'!$B$13,Paramètres!$A$1:$I$89,3,0)*VLOOKUP('Données projet'!$B$13,Paramètres!$A$1:$I$89,5,0)</f>
        <v>141.80088000000003</v>
      </c>
      <c r="CV35" s="14">
        <f t="shared" si="41"/>
        <v>36.709254421801973</v>
      </c>
      <c r="CW35" s="22">
        <f t="shared" si="13"/>
        <v>310.90515078463847</v>
      </c>
      <c r="CX35" s="62">
        <f t="shared" si="14"/>
        <v>604.23848411797178</v>
      </c>
      <c r="CY35" s="62">
        <f ca="1">AVERAGE(OFFSET($CX$3,0,0,'Données projet'!$E$13+1,1))-AVERAGE(OFFSET($H$3,0,0,'Données projet'!$E$13+1,1))</f>
        <v>376.5422416541544</v>
      </c>
      <c r="CZ35" s="62">
        <f t="shared" si="42"/>
        <v>365.76175372075869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18.12819146494029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18.12819146494029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439.06700232017681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305.80000000000018</v>
      </c>
      <c r="AJ36" s="14">
        <f>AI36*VLOOKUP('Données projet'!$B$10,Paramètres!$A$1:$I$89,3,0)*VLOOKUP('Données projet'!$B$10,Paramètres!$A$1:$I$89,5,0)</f>
        <v>276.68784000000016</v>
      </c>
      <c r="AK36" s="14">
        <f t="shared" si="35"/>
        <v>66.266570237082931</v>
      </c>
      <c r="AL36" s="22">
        <f t="shared" si="4"/>
        <v>597.31226449625308</v>
      </c>
      <c r="AM36" s="62">
        <f t="shared" si="5"/>
        <v>890.64559782958645</v>
      </c>
      <c r="AN36" s="62">
        <f ca="1">AVERAGE(OFFSET($AM$3,0,0,'Données projet'!$E$10+1,1))-AVERAGE(OFFSET($H$3,0,0,'Données projet'!$E$10+1,1))</f>
        <v>436.23918637269577</v>
      </c>
      <c r="AO36" s="62">
        <f t="shared" si="36"/>
        <v>611.43967996341894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0.79172875287381972</v>
      </c>
      <c r="AV36" s="23">
        <f>EXP(-LN(2)/25)*AV35+(1-EXP(-LN(2)/25))/(LN(2)/25)*Calculateur!AQ36*Calculateur!AS36*VLOOKUP('Données projet'!$B$10,Paramètres!$A$1:$I$89,3,0)*0.475*44/12</f>
        <v>1.3476591969194935</v>
      </c>
      <c r="AW36" s="23">
        <f>EXP(-LN(2)/2)*AW35+(1-EXP(-LN(2)/2))/(LN(2)/2)*AQ36*AT36*VLOOKUP('Données projet'!$B$10,Paramètres!$A$1:$I$89,3,0)*0.475*44/12</f>
        <v>2.112807508477327</v>
      </c>
      <c r="AX36" s="23">
        <f t="shared" si="6"/>
        <v>4.2521954582706405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141.99999999999994</v>
      </c>
      <c r="BE36" s="14">
        <f>BD36*VLOOKUP('Données projet'!$B$11,Paramètres!$A$1:$I$89,3,0)*VLOOKUP('Données projet'!$B$11,Paramètres!$A$1:$I$89,5,0)</f>
        <v>110.75999999999996</v>
      </c>
      <c r="BF36" s="14">
        <f t="shared" si="37"/>
        <v>29.509974682362923</v>
      </c>
      <c r="BG36" s="22">
        <f t="shared" si="7"/>
        <v>244.30353923844871</v>
      </c>
      <c r="BH36" s="62">
        <f t="shared" si="8"/>
        <v>537.63687257178208</v>
      </c>
      <c r="BI36" s="62">
        <f ca="1">AVERAGE(OFFSET($BH$3,0,0,'Données projet'!$E$11+1,1))-AVERAGE(OFFSET($H$3,0,0,'Données projet'!$E$11+1,1))</f>
        <v>288.82868507674738</v>
      </c>
      <c r="BJ36" s="62">
        <f t="shared" si="38"/>
        <v>283.48738729114024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151.4</v>
      </c>
      <c r="BZ36" s="14">
        <f>BY36*VLOOKUP('Données projet'!$B$12,Paramètres!$A$1:$I$89,3,0)*VLOOKUP('Données projet'!$B$12,Paramètres!$A$1:$I$89,5,0)</f>
        <v>120.45384</v>
      </c>
      <c r="CA36" s="14">
        <f t="shared" si="39"/>
        <v>31.780826754892406</v>
      </c>
      <c r="CB36" s="22">
        <f t="shared" si="10"/>
        <v>265.14204459810429</v>
      </c>
      <c r="CC36" s="62">
        <f t="shared" si="11"/>
        <v>558.47537793143761</v>
      </c>
      <c r="CD36" s="62">
        <f ca="1">AVERAGE(OFFSET($CC$3,0,0,'Données projet'!$E$12+1,1))-AVERAGE(OFFSET($H$3,0,0,'Données projet'!$E$12+1,1))</f>
        <v>298.89893065707554</v>
      </c>
      <c r="CE36" s="62">
        <f t="shared" si="40"/>
        <v>294.28794439094878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15.2</v>
      </c>
      <c r="CT36" s="13">
        <f>IF('Données projet'!$A$140&gt;35,CT35+CS36-DB35,IF(A36&lt;'Données projet'!$A$140,$CQ$205^A36,IF(A36='Données projet'!$A$140,'Données projet'!$B$140,CT35+CS36-DB35)))</f>
        <v>208.60000000000002</v>
      </c>
      <c r="CU36" s="18">
        <f>CT36*VLOOKUP('Données projet'!$B$13,Paramètres!$A$1:$I$89,3,0)*VLOOKUP('Données projet'!$B$13,Paramètres!$A$1:$I$89,5,0)</f>
        <v>152.94552000000002</v>
      </c>
      <c r="CV36" s="14">
        <f t="shared" si="41"/>
        <v>39.247206134585156</v>
      </c>
      <c r="CW36" s="22">
        <f t="shared" si="13"/>
        <v>334.73566468440248</v>
      </c>
      <c r="CX36" s="62">
        <f t="shared" si="14"/>
        <v>628.06899801773579</v>
      </c>
      <c r="CY36" s="62">
        <f ca="1">AVERAGE(OFFSET($CX$3,0,0,'Données projet'!$E$13+1,1))-AVERAGE(OFFSET($H$3,0,0,'Données projet'!$E$13+1,1))</f>
        <v>376.5422416541544</v>
      </c>
      <c r="CZ36" s="62">
        <f t="shared" si="42"/>
        <v>365.76175372075869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17.632475116011342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17.632475116011342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439.06700232017681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314.4000000000002</v>
      </c>
      <c r="AJ37" s="14">
        <f>AI37*VLOOKUP('Données projet'!$B$10,Paramètres!$A$1:$I$89,3,0)*VLOOKUP('Données projet'!$B$10,Paramètres!$A$1:$I$89,5,0)</f>
        <v>284.4691200000002</v>
      </c>
      <c r="AK37" s="14">
        <f t="shared" si="35"/>
        <v>67.910590237379097</v>
      </c>
      <c r="AL37" s="22">
        <f t="shared" si="4"/>
        <v>613.72799533010232</v>
      </c>
      <c r="AM37" s="62">
        <f t="shared" si="5"/>
        <v>907.06132866343569</v>
      </c>
      <c r="AN37" s="62">
        <f ca="1">AVERAGE(OFFSET($AM$3,0,0,'Données projet'!$E$10+1,1))-AVERAGE(OFFSET($H$3,0,0,'Données projet'!$E$10+1,1))</f>
        <v>436.23918637269577</v>
      </c>
      <c r="AO37" s="62">
        <f t="shared" si="36"/>
        <v>611.43967996341894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0.77620343493682031</v>
      </c>
      <c r="AV37" s="23">
        <f>EXP(-LN(2)/25)*AV36+(1-EXP(-LN(2)/25))/(LN(2)/25)*Calculateur!AQ37*Calculateur!AS37*VLOOKUP('Données projet'!$B$10,Paramètres!$A$1:$I$89,3,0)*0.475*44/12</f>
        <v>1.3108073853094129</v>
      </c>
      <c r="AW37" s="23">
        <f>EXP(-LN(2)/2)*AW36+(1-EXP(-LN(2)/2))/(LN(2)/2)*AQ37*AT37*VLOOKUP('Données projet'!$B$10,Paramètres!$A$1:$I$89,3,0)*0.475*44/12</f>
        <v>1.4939805165861719</v>
      </c>
      <c r="AX37" s="23">
        <f t="shared" si="6"/>
        <v>3.5809913368324047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153.49999999999994</v>
      </c>
      <c r="BE37" s="14">
        <f>BD37*VLOOKUP('Données projet'!$B$11,Paramètres!$A$1:$I$89,3,0)*VLOOKUP('Données projet'!$B$11,Paramètres!$A$1:$I$89,5,0)</f>
        <v>119.72999999999996</v>
      </c>
      <c r="BF37" s="14">
        <f t="shared" si="37"/>
        <v>31.612017974790529</v>
      </c>
      <c r="BG37" s="22">
        <f t="shared" si="7"/>
        <v>263.58734797276003</v>
      </c>
      <c r="BH37" s="62">
        <f t="shared" si="8"/>
        <v>556.92068130609334</v>
      </c>
      <c r="BI37" s="62">
        <f ca="1">AVERAGE(OFFSET($BH$3,0,0,'Données projet'!$E$11+1,1))-AVERAGE(OFFSET($H$3,0,0,'Données projet'!$E$11+1,1))</f>
        <v>288.82868507674738</v>
      </c>
      <c r="BJ37" s="62">
        <f t="shared" si="38"/>
        <v>283.48738729114024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162.20000000000002</v>
      </c>
      <c r="BZ37" s="14">
        <f>BY37*VLOOKUP('Données projet'!$B$12,Paramètres!$A$1:$I$89,3,0)*VLOOKUP('Données projet'!$B$12,Paramètres!$A$1:$I$89,5,0)</f>
        <v>129.04632000000001</v>
      </c>
      <c r="CA37" s="14">
        <f t="shared" si="39"/>
        <v>33.775897540199807</v>
      </c>
      <c r="CB37" s="22">
        <f t="shared" si="10"/>
        <v>283.58202888251463</v>
      </c>
      <c r="CC37" s="62">
        <f t="shared" si="11"/>
        <v>576.91536221584795</v>
      </c>
      <c r="CD37" s="62">
        <f ca="1">AVERAGE(OFFSET($CC$3,0,0,'Données projet'!$E$12+1,1))-AVERAGE(OFFSET($H$3,0,0,'Données projet'!$E$12+1,1))</f>
        <v>298.89893065707554</v>
      </c>
      <c r="CE37" s="62">
        <f t="shared" si="40"/>
        <v>294.28794439094878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15.2</v>
      </c>
      <c r="CT37" s="13">
        <f>IF('Données projet'!$A$140&gt;35,CT36+CS37-DB36,IF(A37&lt;'Données projet'!$A$140,$CQ$205^A37,IF(A37='Données projet'!$A$140,'Données projet'!$B$140,CT36+CS37-DB36)))</f>
        <v>223.8</v>
      </c>
      <c r="CU37" s="18">
        <f>CT37*VLOOKUP('Données projet'!$B$13,Paramètres!$A$1:$I$89,3,0)*VLOOKUP('Données projet'!$B$13,Paramètres!$A$1:$I$89,5,0)</f>
        <v>164.09016</v>
      </c>
      <c r="CV37" s="14">
        <f t="shared" si="41"/>
        <v>41.763702733606458</v>
      </c>
      <c r="CW37" s="22">
        <f t="shared" si="13"/>
        <v>358.52881092769786</v>
      </c>
      <c r="CX37" s="62">
        <f t="shared" si="14"/>
        <v>651.86214426103118</v>
      </c>
      <c r="CY37" s="62">
        <f ca="1">AVERAGE(OFFSET($CX$3,0,0,'Données projet'!$E$13+1,1))-AVERAGE(OFFSET($H$3,0,0,'Données projet'!$E$13+1,1))</f>
        <v>376.5422416541544</v>
      </c>
      <c r="CZ37" s="62">
        <f t="shared" si="42"/>
        <v>365.76175372075869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17.150314156712444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17.150314156712444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439.06700232017681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323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323.00000000000023</v>
      </c>
      <c r="AJ38" s="14">
        <f>AI38*VLOOKUP('Données projet'!$B$10,Paramètres!$A$1:$I$89,3,0)*VLOOKUP('Données projet'!$B$10,Paramètres!$A$1:$I$89,5,0)</f>
        <v>292.25040000000018</v>
      </c>
      <c r="AK38" s="14">
        <f t="shared" si="35"/>
        <v>69.549383363839993</v>
      </c>
      <c r="AL38" s="22">
        <f t="shared" si="4"/>
        <v>630.13462269202159</v>
      </c>
      <c r="AM38" s="62">
        <f t="shared" si="5"/>
        <v>923.46795602535485</v>
      </c>
      <c r="AN38" s="62">
        <f ca="1">AVERAGE(OFFSET($AM$3,0,0,'Données projet'!$E$10+1,1))-AVERAGE(OFFSET($H$3,0,0,'Données projet'!$E$10+1,1))</f>
        <v>436.23918637269577</v>
      </c>
      <c r="AO38" s="62">
        <f t="shared" si="36"/>
        <v>611.43967996341894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11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0.76098255901505651</v>
      </c>
      <c r="AV38" s="23">
        <f>EXP(-LN(2)/25)*AV37+(1-EXP(-LN(2)/25))/(LN(2)/25)*Calculateur!AQ38*Calculateur!AS38*VLOOKUP('Données projet'!$B$10,Paramètres!$A$1:$I$89,3,0)*0.475*44/12</f>
        <v>1.2749632884257625</v>
      </c>
      <c r="AW38" s="23">
        <f>EXP(-LN(2)/2)*AW37+(1-EXP(-LN(2)/2))/(LN(2)/2)*AQ38*AT38*VLOOKUP('Données projet'!$B$10,Paramètres!$A$1:$I$89,3,0)*0.475*44/12</f>
        <v>1.0564037542386635</v>
      </c>
      <c r="AX38" s="23">
        <f t="shared" si="6"/>
        <v>3.0923496016794823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164.99999999999994</v>
      </c>
      <c r="BE38" s="14">
        <f>BD38*VLOOKUP('Données projet'!$B$11,Paramètres!$A$1:$I$89,3,0)*VLOOKUP('Données projet'!$B$11,Paramètres!$A$1:$I$89,5,0)</f>
        <v>128.69999999999996</v>
      </c>
      <c r="BF38" s="14">
        <f t="shared" si="37"/>
        <v>33.695792019186115</v>
      </c>
      <c r="BG38" s="22">
        <f t="shared" si="7"/>
        <v>282.83933776674911</v>
      </c>
      <c r="BH38" s="62">
        <f t="shared" si="8"/>
        <v>576.17267110008243</v>
      </c>
      <c r="BI38" s="62">
        <f ca="1">AVERAGE(OFFSET($BH$3,0,0,'Données projet'!$E$11+1,1))-AVERAGE(OFFSET($H$3,0,0,'Données projet'!$E$11+1,1))</f>
        <v>288.82868507674738</v>
      </c>
      <c r="BJ38" s="62">
        <f t="shared" si="38"/>
        <v>283.48738729114024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173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173.00000000000003</v>
      </c>
      <c r="BZ38" s="14">
        <f>BY38*VLOOKUP('Données projet'!$B$12,Paramètres!$A$1:$I$89,3,0)*VLOOKUP('Données projet'!$B$12,Paramètres!$A$1:$I$89,5,0)</f>
        <v>137.63880000000003</v>
      </c>
      <c r="CA38" s="14">
        <f t="shared" si="39"/>
        <v>35.755553413044268</v>
      </c>
      <c r="CB38" s="22">
        <f t="shared" si="10"/>
        <v>301.99516552771883</v>
      </c>
      <c r="CC38" s="62">
        <f t="shared" si="11"/>
        <v>595.32849886105214</v>
      </c>
      <c r="CD38" s="62">
        <f ca="1">AVERAGE(OFFSET($CC$3,0,0,'Données projet'!$E$12+1,1))-AVERAGE(OFFSET($H$3,0,0,'Données projet'!$E$12+1,1))</f>
        <v>298.89893065707554</v>
      </c>
      <c r="CE38" s="62">
        <f t="shared" si="40"/>
        <v>294.28794439094878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239</v>
      </c>
      <c r="CR38" s="13">
        <f>VLOOKUP(A38,'Données projet'!$A$139:$I$159,9,0)</f>
        <v>15.2</v>
      </c>
      <c r="CS38" s="13">
        <f t="array" ref="CS38">INDEX(CR:CR,MIN(IF(ISNUMBER(CR38:CR234),ROW(CR38:CR234),"")))</f>
        <v>15.2</v>
      </c>
      <c r="CT38" s="13">
        <f>IF('Données projet'!$A$140&gt;35,CT37+CS38-DB37,IF(A38&lt;'Données projet'!$A$140,$CQ$205^A38,IF(A38='Données projet'!$A$140,'Données projet'!$B$140,CT37+CS38-DB37)))</f>
        <v>239</v>
      </c>
      <c r="CU38" s="18">
        <f>CT38*VLOOKUP('Données projet'!$B$13,Paramètres!$A$1:$I$89,3,0)*VLOOKUP('Données projet'!$B$13,Paramètres!$A$1:$I$89,5,0)</f>
        <v>175.23480000000001</v>
      </c>
      <c r="CV38" s="14">
        <f t="shared" si="41"/>
        <v>44.260367185241513</v>
      </c>
      <c r="CW38" s="22">
        <f t="shared" si="13"/>
        <v>382.28741618096228</v>
      </c>
      <c r="CX38" s="62">
        <f t="shared" si="14"/>
        <v>675.62074951429554</v>
      </c>
      <c r="CY38" s="62">
        <f ca="1">AVERAGE(OFFSET($CX$3,0,0,'Données projet'!$E$13+1,1))-AVERAGE(OFFSET($H$3,0,0,'Données projet'!$E$13+1,1))</f>
        <v>376.5422416541544</v>
      </c>
      <c r="CZ38" s="62">
        <f t="shared" si="42"/>
        <v>365.76175372075869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16.681337914201318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16.681337914201318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439.06700232017681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7.6</v>
      </c>
      <c r="AI39" s="14">
        <f>IF('Données projet'!$A$62&gt;35,AI38+AH39-AQ38,IF(A39&lt;'Données projet'!$A$62,$AF$205^A39,IF(A39='Données projet'!$A$62,'Données projet'!$B$62,AI38+AH39-AQ38)))</f>
        <v>319.60000000000025</v>
      </c>
      <c r="AJ39" s="14">
        <f>AI39*VLOOKUP('Données projet'!$B$10,Paramètres!$A$1:$I$89,3,0)*VLOOKUP('Données projet'!$B$10,Paramètres!$A$1:$I$89,5,0)</f>
        <v>289.17408000000023</v>
      </c>
      <c r="AK39" s="14">
        <f t="shared" si="35"/>
        <v>68.902103026957732</v>
      </c>
      <c r="AL39" s="22">
        <f t="shared" si="4"/>
        <v>623.64935210528506</v>
      </c>
      <c r="AM39" s="62">
        <f t="shared" si="5"/>
        <v>916.98268543861832</v>
      </c>
      <c r="AN39" s="62">
        <f ca="1">AVERAGE(OFFSET($AM$3,0,0,'Données projet'!$E$10+1,1))-AVERAGE(OFFSET($H$3,0,0,'Données projet'!$E$10+1,1))</f>
        <v>436.23918637269577</v>
      </c>
      <c r="AO39" s="62">
        <f t="shared" si="36"/>
        <v>611.43967996341894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0.74606015518630087</v>
      </c>
      <c r="AV39" s="23">
        <f>EXP(-LN(2)/25)*AV38+(1-EXP(-LN(2)/25))/(LN(2)/25)*Calculateur!AQ39*Calculateur!AS39*VLOOKUP('Données projet'!$B$10,Paramètres!$A$1:$I$89,3,0)*0.475*44/12</f>
        <v>1.2400993502563546</v>
      </c>
      <c r="AW39" s="23">
        <f>EXP(-LN(2)/2)*AW38+(1-EXP(-LN(2)/2))/(LN(2)/2)*AQ39*AT39*VLOOKUP('Données projet'!$B$10,Paramètres!$A$1:$I$89,3,0)*0.475*44/12</f>
        <v>0.74699025829308596</v>
      </c>
      <c r="AX39" s="23">
        <f t="shared" si="6"/>
        <v>2.7331497637357414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176.49999999999994</v>
      </c>
      <c r="BE39" s="14">
        <f>BD39*VLOOKUP('Données projet'!$B$11,Paramètres!$A$1:$I$89,3,0)*VLOOKUP('Données projet'!$B$11,Paramètres!$A$1:$I$89,5,0)</f>
        <v>137.66999999999996</v>
      </c>
      <c r="BF39" s="14">
        <f t="shared" si="37"/>
        <v>35.762714965854656</v>
      </c>
      <c r="BG39" s="22">
        <f t="shared" si="7"/>
        <v>302.06197856553007</v>
      </c>
      <c r="BH39" s="62">
        <f t="shared" si="8"/>
        <v>595.39531189886338</v>
      </c>
      <c r="BI39" s="62">
        <f ca="1">AVERAGE(OFFSET($BH$3,0,0,'Données projet'!$E$11+1,1))-AVERAGE(OFFSET($H$3,0,0,'Données projet'!$E$11+1,1))</f>
        <v>288.82868507674738</v>
      </c>
      <c r="BJ39" s="62">
        <f t="shared" si="38"/>
        <v>283.48738729114024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9.4</v>
      </c>
      <c r="BY39" s="13">
        <f>IF('Données projet'!$A$114&gt;35,BY38+BX39-CG38,IF(A39&lt;'Données projet'!$A$114,$BV$205^A39,IF(A39='Données projet'!$A$114,'Données projet'!$B$114,BY38+BX39-CG38)))</f>
        <v>154.40000000000003</v>
      </c>
      <c r="BZ39" s="14">
        <f>BY39*VLOOKUP('Données projet'!$B$12,Paramètres!$A$1:$I$89,3,0)*VLOOKUP('Données projet'!$B$12,Paramètres!$A$1:$I$89,5,0)</f>
        <v>122.84064000000002</v>
      </c>
      <c r="CA39" s="14">
        <f t="shared" si="39"/>
        <v>32.336627088964654</v>
      </c>
      <c r="CB39" s="22">
        <f t="shared" si="10"/>
        <v>270.26707351328014</v>
      </c>
      <c r="CC39" s="62">
        <f t="shared" si="11"/>
        <v>563.6004068466134</v>
      </c>
      <c r="CD39" s="62">
        <f ca="1">AVERAGE(OFFSET($CC$3,0,0,'Données projet'!$E$12+1,1))-AVERAGE(OFFSET($H$3,0,0,'Données projet'!$E$12+1,1))</f>
        <v>298.89893065707554</v>
      </c>
      <c r="CE39" s="62">
        <f t="shared" si="40"/>
        <v>294.28794439094878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13.2</v>
      </c>
      <c r="CT39" s="13">
        <f>IF('Données projet'!$A$140&gt;35,CT38+CS39-DB38,IF(A39&lt;'Données projet'!$A$140,$CQ$205^A39,IF(A39='Données projet'!$A$140,'Données projet'!$B$140,CT38+CS39-DB38)))</f>
        <v>210.2</v>
      </c>
      <c r="CU39" s="18">
        <f>CT39*VLOOKUP('Données projet'!$B$13,Paramètres!$A$1:$I$89,3,0)*VLOOKUP('Données projet'!$B$13,Paramètres!$A$1:$I$89,5,0)</f>
        <v>154.11863999999997</v>
      </c>
      <c r="CV39" s="14">
        <f t="shared" si="41"/>
        <v>39.513080685376593</v>
      </c>
      <c r="CW39" s="22">
        <f t="shared" si="13"/>
        <v>337.24191352703082</v>
      </c>
      <c r="CX39" s="62">
        <f t="shared" si="14"/>
        <v>630.57524686036413</v>
      </c>
      <c r="CY39" s="62">
        <f ca="1">AVERAGE(OFFSET($CX$3,0,0,'Données projet'!$E$13+1,1))-AVERAGE(OFFSET($H$3,0,0,'Données projet'!$E$13+1,1))</f>
        <v>376.5422416541544</v>
      </c>
      <c r="CZ39" s="62">
        <f t="shared" si="42"/>
        <v>365.76175372075869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16.225185851704047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16.225185851704047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439.06700232017681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7.6</v>
      </c>
      <c r="AI40" s="14">
        <f>IF('Données projet'!$A$62&gt;35,AI39+AH40-AQ39,IF(A40&lt;'Données projet'!$A$62,$AF$205^A40,IF(A40='Données projet'!$A$62,'Données projet'!$B$62,AI39+AH40-AQ39)))</f>
        <v>327.20000000000027</v>
      </c>
      <c r="AJ40" s="14">
        <f>AI40*VLOOKUP('Données projet'!$B$10,Paramètres!$A$1:$I$89,3,0)*VLOOKUP('Données projet'!$B$10,Paramètres!$A$1:$I$89,5,0)</f>
        <v>296.05056000000025</v>
      </c>
      <c r="AK40" s="14">
        <f t="shared" si="35"/>
        <v>70.347871650924077</v>
      </c>
      <c r="AL40" s="22">
        <f t="shared" si="4"/>
        <v>638.1439351253598</v>
      </c>
      <c r="AM40" s="62">
        <f t="shared" si="5"/>
        <v>931.47726845869306</v>
      </c>
      <c r="AN40" s="62">
        <f ca="1">AVERAGE(OFFSET($AM$3,0,0,'Données projet'!$E$10+1,1))-AVERAGE(OFFSET($H$3,0,0,'Données projet'!$E$10+1,1))</f>
        <v>436.23918637269577</v>
      </c>
      <c r="AO40" s="62">
        <f t="shared" si="36"/>
        <v>611.43967996341894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0.73143037059485949</v>
      </c>
      <c r="AV40" s="23">
        <f>EXP(-LN(2)/25)*AV39+(1-EXP(-LN(2)/25))/(LN(2)/25)*Calculateur!AQ40*Calculateur!AS40*VLOOKUP('Données projet'!$B$10,Paramètres!$A$1:$I$89,3,0)*0.475*44/12</f>
        <v>1.206188768309604</v>
      </c>
      <c r="AW40" s="23">
        <f>EXP(-LN(2)/2)*AW39+(1-EXP(-LN(2)/2))/(LN(2)/2)*AQ40*AT40*VLOOKUP('Données projet'!$B$10,Paramètres!$A$1:$I$89,3,0)*0.475*44/12</f>
        <v>0.52820187711933175</v>
      </c>
      <c r="AX40" s="23">
        <f t="shared" si="6"/>
        <v>2.4658210160237952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188</v>
      </c>
      <c r="BB40" s="13">
        <f>VLOOKUP(A40,'Données projet'!$A$87:$I$107,9,0)</f>
        <v>11.5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187.99999999999994</v>
      </c>
      <c r="BE40" s="14">
        <f>BD40*VLOOKUP('Données projet'!$B$11,Paramètres!$A$1:$I$89,3,0)*VLOOKUP('Données projet'!$B$11,Paramètres!$A$1:$I$89,5,0)</f>
        <v>146.63999999999996</v>
      </c>
      <c r="BF40" s="14">
        <f t="shared" si="37"/>
        <v>37.814009712703026</v>
      </c>
      <c r="BG40" s="22">
        <f t="shared" si="7"/>
        <v>321.25740024962437</v>
      </c>
      <c r="BH40" s="62">
        <f t="shared" si="8"/>
        <v>614.59073358295768</v>
      </c>
      <c r="BI40" s="62">
        <f ca="1">AVERAGE(OFFSET($BH$3,0,0,'Données projet'!$E$11+1,1))-AVERAGE(OFFSET($H$3,0,0,'Données projet'!$E$11+1,1))</f>
        <v>288.82868507674738</v>
      </c>
      <c r="BJ40" s="62">
        <f t="shared" si="38"/>
        <v>283.48738729114024</v>
      </c>
      <c r="BK40" s="16">
        <f>IF(ISNA(VLOOKUP(A40,'Données projet'!$A$87:$I$107,3,0)),0,VLOOKUP(A40,'Données projet'!$A$87:$I$107,3,0))</f>
        <v>5</v>
      </c>
      <c r="BL40" s="16">
        <f>IF(ISNA(VLOOKUP(A40,'Données projet'!$A$87:$I$107,4,0)),0,VLOOKUP(A40,'Données projet'!$A$87:$I$107,4,0))</f>
        <v>36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9.4</v>
      </c>
      <c r="BY40" s="13">
        <f>IF('Données projet'!$A$114&gt;35,BY39+BX40-CG39,IF(A40&lt;'Données projet'!$A$114,$BV$205^A40,IF(A40='Données projet'!$A$114,'Données projet'!$B$114,BY39+BX40-CG39)))</f>
        <v>163.80000000000004</v>
      </c>
      <c r="BZ40" s="14">
        <f>BY40*VLOOKUP('Données projet'!$B$12,Paramètres!$A$1:$I$89,3,0)*VLOOKUP('Données projet'!$B$12,Paramètres!$A$1:$I$89,5,0)</f>
        <v>130.31928000000005</v>
      </c>
      <c r="CA40" s="14">
        <f t="shared" si="39"/>
        <v>34.070125030168121</v>
      </c>
      <c r="CB40" s="22">
        <f t="shared" si="10"/>
        <v>286.31154709420952</v>
      </c>
      <c r="CC40" s="62">
        <f t="shared" si="11"/>
        <v>579.64488042754283</v>
      </c>
      <c r="CD40" s="62">
        <f ca="1">AVERAGE(OFFSET($CC$3,0,0,'Données projet'!$E$12+1,1))-AVERAGE(OFFSET($H$3,0,0,'Données projet'!$E$12+1,1))</f>
        <v>298.89893065707554</v>
      </c>
      <c r="CE40" s="62">
        <f t="shared" si="40"/>
        <v>294.28794439094878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13.2</v>
      </c>
      <c r="CT40" s="13">
        <f>IF('Données projet'!$A$140&gt;35,CT39+CS40-DB39,IF(A40&lt;'Données projet'!$A$140,$CQ$205^A40,IF(A40='Données projet'!$A$140,'Données projet'!$B$140,CT39+CS40-DB39)))</f>
        <v>223.39999999999998</v>
      </c>
      <c r="CU40" s="18">
        <f>CT40*VLOOKUP('Données projet'!$B$13,Paramètres!$A$1:$I$89,3,0)*VLOOKUP('Données projet'!$B$13,Paramètres!$A$1:$I$89,5,0)</f>
        <v>163.79687999999999</v>
      </c>
      <c r="CV40" s="14">
        <f t="shared" si="41"/>
        <v>41.697739822198329</v>
      </c>
      <c r="CW40" s="22">
        <f t="shared" si="13"/>
        <v>357.90312952366207</v>
      </c>
      <c r="CX40" s="62">
        <f t="shared" si="14"/>
        <v>651.23646285699533</v>
      </c>
      <c r="CY40" s="62">
        <f ca="1">AVERAGE(OFFSET($CX$3,0,0,'Données projet'!$E$13+1,1))-AVERAGE(OFFSET($H$3,0,0,'Données projet'!$E$13+1,1))</f>
        <v>376.5422416541544</v>
      </c>
      <c r="CZ40" s="62">
        <f t="shared" si="42"/>
        <v>365.76175372075869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15.781507291343759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15.781507291343759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439.06700232017681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7.6</v>
      </c>
      <c r="AI41" s="14">
        <f>IF('Données projet'!$A$62&gt;35,AI40+AH41-AQ40,IF(A41&lt;'Données projet'!$A$62,$AF$205^A41,IF(A41='Données projet'!$A$62,'Données projet'!$B$62,AI40+AH41-AQ40)))</f>
        <v>334.8000000000003</v>
      </c>
      <c r="AJ41" s="14">
        <f>AI41*VLOOKUP('Données projet'!$B$10,Paramètres!$A$1:$I$89,3,0)*VLOOKUP('Données projet'!$B$10,Paramètres!$A$1:$I$89,5,0)</f>
        <v>302.92704000000026</v>
      </c>
      <c r="AK41" s="14">
        <f t="shared" si="35"/>
        <v>71.789736305653022</v>
      </c>
      <c r="AL41" s="22">
        <f t="shared" si="4"/>
        <v>652.63171873234603</v>
      </c>
      <c r="AM41" s="62">
        <f t="shared" si="5"/>
        <v>945.9650520656794</v>
      </c>
      <c r="AN41" s="62">
        <f ca="1">AVERAGE(OFFSET($AM$3,0,0,'Données projet'!$E$10+1,1))-AVERAGE(OFFSET($H$3,0,0,'Données projet'!$E$10+1,1))</f>
        <v>436.23918637269577</v>
      </c>
      <c r="AO41" s="62">
        <f t="shared" si="36"/>
        <v>611.43967996341894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0.71708746715596883</v>
      </c>
      <c r="AV41" s="23">
        <f>EXP(-LN(2)/25)*AV40+(1-EXP(-LN(2)/25))/(LN(2)/25)*Calculateur!AQ41*Calculateur!AS41*VLOOKUP('Données projet'!$B$10,Paramètres!$A$1:$I$89,3,0)*0.475*44/12</f>
        <v>1.1732054730094672</v>
      </c>
      <c r="AW41" s="23">
        <f>EXP(-LN(2)/2)*AW40+(1-EXP(-LN(2)/2))/(LN(2)/2)*AQ41*AT41*VLOOKUP('Données projet'!$B$10,Paramètres!$A$1:$I$89,3,0)*0.475*44/12</f>
        <v>0.37349512914654298</v>
      </c>
      <c r="AX41" s="23">
        <f t="shared" si="6"/>
        <v>2.2637880693119792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11.142857142857142</v>
      </c>
      <c r="BD41" s="13">
        <f>IF('Données projet'!$A$88&gt;35,BD40+BC41-BL40,IF(A41&lt;'Données projet'!$A$88,$BA$205^A41,IF(A41='Données projet'!$A$88,'Données projet'!$B$88,BD40+BC41-BL40)))</f>
        <v>163.14285714285708</v>
      </c>
      <c r="BE41" s="14">
        <f>BD41*VLOOKUP('Données projet'!$B$11,Paramètres!$A$1:$I$89,3,0)*VLOOKUP('Données projet'!$B$11,Paramètres!$A$1:$I$89,5,0)</f>
        <v>127.25142857142853</v>
      </c>
      <c r="BF41" s="14">
        <f t="shared" si="37"/>
        <v>33.360457439554281</v>
      </c>
      <c r="BG41" s="22">
        <f t="shared" si="7"/>
        <v>279.73236813579501</v>
      </c>
      <c r="BH41" s="62">
        <f t="shared" si="8"/>
        <v>573.06570146912827</v>
      </c>
      <c r="BI41" s="62">
        <f ca="1">AVERAGE(OFFSET($BH$3,0,0,'Données projet'!$E$11+1,1))-AVERAGE(OFFSET($H$3,0,0,'Données projet'!$E$11+1,1))</f>
        <v>288.82868507674738</v>
      </c>
      <c r="BJ41" s="62">
        <f t="shared" si="38"/>
        <v>283.48738729114024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9.4</v>
      </c>
      <c r="BY41" s="13">
        <f>IF('Données projet'!$A$114&gt;35,BY40+BX41-CG40,IF(A41&lt;'Données projet'!$A$114,$BV$205^A41,IF(A41='Données projet'!$A$114,'Données projet'!$B$114,BY40+BX41-CG40)))</f>
        <v>173.20000000000005</v>
      </c>
      <c r="BZ41" s="14">
        <f>BY41*VLOOKUP('Données projet'!$B$12,Paramètres!$A$1:$I$89,3,0)*VLOOKUP('Données projet'!$B$12,Paramètres!$A$1:$I$89,5,0)</f>
        <v>137.79792000000003</v>
      </c>
      <c r="CA41" s="14">
        <f t="shared" si="39"/>
        <v>35.792075357772092</v>
      </c>
      <c r="CB41" s="22">
        <f t="shared" si="10"/>
        <v>302.33590858145311</v>
      </c>
      <c r="CC41" s="62">
        <f t="shared" si="11"/>
        <v>595.66924191478643</v>
      </c>
      <c r="CD41" s="62">
        <f ca="1">AVERAGE(OFFSET($CC$3,0,0,'Données projet'!$E$12+1,1))-AVERAGE(OFFSET($H$3,0,0,'Données projet'!$E$12+1,1))</f>
        <v>298.89893065707554</v>
      </c>
      <c r="CE41" s="62">
        <f t="shared" si="40"/>
        <v>294.28794439094878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13.2</v>
      </c>
      <c r="CT41" s="13">
        <f>IF('Données projet'!$A$140&gt;35,CT40+CS41-DB40,IF(A41&lt;'Données projet'!$A$140,$CQ$205^A41,IF(A41='Données projet'!$A$140,'Données projet'!$B$140,CT40+CS41-DB40)))</f>
        <v>236.59999999999997</v>
      </c>
      <c r="CU41" s="18">
        <f>CT41*VLOOKUP('Données projet'!$B$13,Paramètres!$A$1:$I$89,3,0)*VLOOKUP('Données projet'!$B$13,Paramètres!$A$1:$I$89,5,0)</f>
        <v>173.47511999999998</v>
      </c>
      <c r="CV41" s="14">
        <f t="shared" si="41"/>
        <v>43.867415861334891</v>
      </c>
      <c r="CW41" s="22">
        <f t="shared" si="13"/>
        <v>378.53824995849158</v>
      </c>
      <c r="CX41" s="62">
        <f t="shared" si="14"/>
        <v>671.87158329182489</v>
      </c>
      <c r="CY41" s="62">
        <f ca="1">AVERAGE(OFFSET($CX$3,0,0,'Données projet'!$E$13+1,1))-AVERAGE(OFFSET($H$3,0,0,'Données projet'!$E$13+1,1))</f>
        <v>376.5422416541544</v>
      </c>
      <c r="CZ41" s="62">
        <f t="shared" si="42"/>
        <v>365.76175372075869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15.349961144548566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15.349961144548566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439.06700232017681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7.6</v>
      </c>
      <c r="AI42" s="14">
        <f>IF('Données projet'!$A$62&gt;35,AI41+AH42-AQ41,IF(A42&lt;'Données projet'!$A$62,$AF$205^A42,IF(A42='Données projet'!$A$62,'Données projet'!$B$62,AI41+AH42-AQ41)))</f>
        <v>342.40000000000032</v>
      </c>
      <c r="AJ42" s="14">
        <f>AI42*VLOOKUP('Données projet'!$B$10,Paramètres!$A$1:$I$89,3,0)*VLOOKUP('Données projet'!$B$10,Paramètres!$A$1:$I$89,5,0)</f>
        <v>309.80352000000028</v>
      </c>
      <c r="AK42" s="14">
        <f t="shared" si="35"/>
        <v>73.227795813703821</v>
      </c>
      <c r="AL42" s="22">
        <f t="shared" si="4"/>
        <v>667.11287504220138</v>
      </c>
      <c r="AM42" s="62">
        <f t="shared" si="5"/>
        <v>960.44620837553475</v>
      </c>
      <c r="AN42" s="62">
        <f ca="1">AVERAGE(OFFSET($AM$3,0,0,'Données projet'!$E$10+1,1))-AVERAGE(OFFSET($H$3,0,0,'Données projet'!$E$10+1,1))</f>
        <v>436.23918637269577</v>
      </c>
      <c r="AO42" s="62">
        <f t="shared" si="36"/>
        <v>611.43967996341894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0.70302581930520758</v>
      </c>
      <c r="AV42" s="23">
        <f>EXP(-LN(2)/25)*AV41+(1-EXP(-LN(2)/25))/(LN(2)/25)*Calculateur!AQ42*Calculateur!AS42*VLOOKUP('Données projet'!$B$10,Paramètres!$A$1:$I$89,3,0)*0.475*44/12</f>
        <v>1.141124107653829</v>
      </c>
      <c r="AW42" s="23">
        <f>EXP(-LN(2)/2)*AW41+(1-EXP(-LN(2)/2))/(LN(2)/2)*AQ42*AT42*VLOOKUP('Données projet'!$B$10,Paramètres!$A$1:$I$89,3,0)*0.475*44/12</f>
        <v>0.26410093855966588</v>
      </c>
      <c r="AX42" s="23">
        <f t="shared" si="6"/>
        <v>2.1082508655187024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11.142857142857142</v>
      </c>
      <c r="BD42" s="13">
        <f>IF('Données projet'!$A$88&gt;35,BD41+BC42-BL41,IF(A42&lt;'Données projet'!$A$88,$BA$205^A42,IF(A42='Données projet'!$A$88,'Données projet'!$B$88,BD41+BC42-BL41)))</f>
        <v>174.28571428571422</v>
      </c>
      <c r="BE42" s="14">
        <f>BD42*VLOOKUP('Données projet'!$B$11,Paramètres!$A$1:$I$89,3,0)*VLOOKUP('Données projet'!$B$11,Paramètres!$A$1:$I$89,5,0)</f>
        <v>135.94285714285709</v>
      </c>
      <c r="BF42" s="14">
        <f t="shared" si="37"/>
        <v>35.365986273808367</v>
      </c>
      <c r="BG42" s="22">
        <f t="shared" si="7"/>
        <v>298.36290228402567</v>
      </c>
      <c r="BH42" s="62">
        <f t="shared" si="8"/>
        <v>591.69623561735898</v>
      </c>
      <c r="BI42" s="62">
        <f ca="1">AVERAGE(OFFSET($BH$3,0,0,'Données projet'!$E$11+1,1))-AVERAGE(OFFSET($H$3,0,0,'Données projet'!$E$11+1,1))</f>
        <v>288.82868507674738</v>
      </c>
      <c r="BJ42" s="62">
        <f t="shared" si="38"/>
        <v>283.48738729114024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9.4</v>
      </c>
      <c r="BY42" s="13">
        <f>IF('Données projet'!$A$114&gt;35,BY41+BX42-CG41,IF(A42&lt;'Données projet'!$A$114,$BV$205^A42,IF(A42='Données projet'!$A$114,'Données projet'!$B$114,BY41+BX42-CG41)))</f>
        <v>182.60000000000005</v>
      </c>
      <c r="BZ42" s="14">
        <f>BY42*VLOOKUP('Données projet'!$B$12,Paramètres!$A$1:$I$89,3,0)*VLOOKUP('Données projet'!$B$12,Paramètres!$A$1:$I$89,5,0)</f>
        <v>145.27656000000005</v>
      </c>
      <c r="CA42" s="14">
        <f t="shared" si="39"/>
        <v>37.503176238005366</v>
      </c>
      <c r="CB42" s="22">
        <f t="shared" si="10"/>
        <v>318.34137394785938</v>
      </c>
      <c r="CC42" s="62">
        <f t="shared" si="11"/>
        <v>611.6747072811927</v>
      </c>
      <c r="CD42" s="62">
        <f ca="1">AVERAGE(OFFSET($CC$3,0,0,'Données projet'!$E$12+1,1))-AVERAGE(OFFSET($H$3,0,0,'Données projet'!$E$12+1,1))</f>
        <v>298.89893065707554</v>
      </c>
      <c r="CE42" s="62">
        <f t="shared" si="40"/>
        <v>294.28794439094878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13.2</v>
      </c>
      <c r="CT42" s="13">
        <f>IF('Données projet'!$A$140&gt;35,CT41+CS42-DB41,IF(A42&lt;'Données projet'!$A$140,$CQ$205^A42,IF(A42='Données projet'!$A$140,'Données projet'!$B$140,CT41+CS42-DB41)))</f>
        <v>249.79999999999995</v>
      </c>
      <c r="CU42" s="18">
        <f>CT42*VLOOKUP('Données projet'!$B$13,Paramètres!$A$1:$I$89,3,0)*VLOOKUP('Données projet'!$B$13,Paramètres!$A$1:$I$89,5,0)</f>
        <v>183.15335999999996</v>
      </c>
      <c r="CV42" s="14">
        <f t="shared" si="41"/>
        <v>46.023039984246878</v>
      </c>
      <c r="CW42" s="22">
        <f t="shared" si="13"/>
        <v>399.14889663922986</v>
      </c>
      <c r="CX42" s="62">
        <f t="shared" si="14"/>
        <v>692.48222997256312</v>
      </c>
      <c r="CY42" s="62">
        <f ca="1">AVERAGE(OFFSET($CX$3,0,0,'Données projet'!$E$13+1,1))-AVERAGE(OFFSET($H$3,0,0,'Données projet'!$E$13+1,1))</f>
        <v>376.5422416541544</v>
      </c>
      <c r="CZ42" s="62">
        <f t="shared" si="42"/>
        <v>365.76175372075869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14.930215649831512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14.930215649831512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439.06700232017681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7.6</v>
      </c>
      <c r="AH43" s="13">
        <f t="array" ref="AH43">INDEX(AG:AG,MIN(IF(ISNUMBER(AG43:AG239),ROW(AG43:AG239),"")))</f>
        <v>7.6</v>
      </c>
      <c r="AI43" s="14">
        <f>IF('Données projet'!$A$62&gt;35,AI42+AH43-AQ42,IF(A43&lt;'Données projet'!$A$62,$AF$205^A43,IF(A43='Données projet'!$A$62,'Données projet'!$B$62,AI42+AH43-AQ42)))</f>
        <v>350.00000000000034</v>
      </c>
      <c r="AJ43" s="14">
        <f>AI43*VLOOKUP('Données projet'!$B$10,Paramètres!$A$1:$I$89,3,0)*VLOOKUP('Données projet'!$B$10,Paramètres!$A$1:$I$89,5,0)</f>
        <v>316.68000000000029</v>
      </c>
      <c r="AK43" s="14">
        <f t="shared" si="35"/>
        <v>74.662144360177834</v>
      </c>
      <c r="AL43" s="22">
        <f t="shared" si="4"/>
        <v>681.58756809397687</v>
      </c>
      <c r="AM43" s="62">
        <f t="shared" si="5"/>
        <v>974.92090142731013</v>
      </c>
      <c r="AN43" s="62">
        <f ca="1">AVERAGE(OFFSET($AM$3,0,0,'Données projet'!$E$10+1,1))-AVERAGE(OFFSET($H$3,0,0,'Données projet'!$E$10+1,1))</f>
        <v>436.23918637269577</v>
      </c>
      <c r="AO43" s="62">
        <f t="shared" si="36"/>
        <v>611.43967996341894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9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0.68923991179204136</v>
      </c>
      <c r="AV43" s="23">
        <f>EXP(-LN(2)/25)*AV42+(1-EXP(-LN(2)/25))/(LN(2)/25)*Calculateur!AQ43*Calculateur!AS43*VLOOKUP('Données projet'!$B$10,Paramètres!$A$1:$I$89,3,0)*0.475*44/12</f>
        <v>1.1099200089209262</v>
      </c>
      <c r="AW43" s="23">
        <f>EXP(-LN(2)/2)*AW42+(1-EXP(-LN(2)/2))/(LN(2)/2)*AQ43*AT43*VLOOKUP('Données projet'!$B$10,Paramètres!$A$1:$I$89,3,0)*0.475*44/12</f>
        <v>0.18674756457327149</v>
      </c>
      <c r="AX43" s="23">
        <f t="shared" si="6"/>
        <v>1.9859074852862391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11.142857142857142</v>
      </c>
      <c r="BD43" s="13">
        <f>IF('Données projet'!$A$88&gt;35,BD42+BC43-BL42,IF(A43&lt;'Données projet'!$A$88,$BA$205^A43,IF(A43='Données projet'!$A$88,'Données projet'!$B$88,BD42+BC43-BL42)))</f>
        <v>185.42857142857136</v>
      </c>
      <c r="BE43" s="14">
        <f>BD43*VLOOKUP('Données projet'!$B$11,Paramètres!$A$1:$I$89,3,0)*VLOOKUP('Données projet'!$B$11,Paramètres!$A$1:$I$89,5,0)</f>
        <v>144.63428571428565</v>
      </c>
      <c r="BF43" s="14">
        <f t="shared" si="37"/>
        <v>37.356634728420524</v>
      </c>
      <c r="BG43" s="22">
        <f t="shared" si="7"/>
        <v>316.96751977104657</v>
      </c>
      <c r="BH43" s="62">
        <f t="shared" si="8"/>
        <v>610.30085310437994</v>
      </c>
      <c r="BI43" s="62">
        <f ca="1">AVERAGE(OFFSET($BH$3,0,0,'Données projet'!$E$11+1,1))-AVERAGE(OFFSET($H$3,0,0,'Données projet'!$E$11+1,1))</f>
        <v>288.82868507674738</v>
      </c>
      <c r="BJ43" s="62">
        <f t="shared" si="38"/>
        <v>283.48738729114024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192</v>
      </c>
      <c r="BW43" s="13">
        <f>VLOOKUP(A43,'Données projet'!$A$113:$I$133,9,0)</f>
        <v>9.4</v>
      </c>
      <c r="BX43" s="13">
        <f t="array" ref="BX43">INDEX(BW:BW,MIN(IF(ISNUMBER(BW43:BW239),ROW(BW43:BW239),"")))</f>
        <v>9.4</v>
      </c>
      <c r="BY43" s="13">
        <f>IF('Données projet'!$A$114&gt;35,BY42+BX43-CG42,IF(A43&lt;'Données projet'!$A$114,$BV$205^A43,IF(A43='Données projet'!$A$114,'Données projet'!$B$114,BY42+BX43-CG42)))</f>
        <v>192.00000000000006</v>
      </c>
      <c r="BZ43" s="14">
        <f>BY43*VLOOKUP('Données projet'!$B$12,Paramètres!$A$1:$I$89,3,0)*VLOOKUP('Données projet'!$B$12,Paramètres!$A$1:$I$89,5,0)</f>
        <v>152.75520000000006</v>
      </c>
      <c r="CA43" s="14">
        <f t="shared" si="39"/>
        <v>39.204049895729561</v>
      </c>
      <c r="CB43" s="22">
        <f t="shared" si="10"/>
        <v>334.32902690172904</v>
      </c>
      <c r="CC43" s="62">
        <f t="shared" si="11"/>
        <v>627.66236023506235</v>
      </c>
      <c r="CD43" s="62">
        <f ca="1">AVERAGE(OFFSET($CC$3,0,0,'Données projet'!$E$12+1,1))-AVERAGE(OFFSET($H$3,0,0,'Données projet'!$E$12+1,1))</f>
        <v>298.89893065707554</v>
      </c>
      <c r="CE43" s="62">
        <f t="shared" si="40"/>
        <v>294.28794439094878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263</v>
      </c>
      <c r="CR43" s="13">
        <f>VLOOKUP(A43,'Données projet'!$A$139:$I$159,9,0)</f>
        <v>13.2</v>
      </c>
      <c r="CS43" s="13">
        <f t="array" ref="CS43">INDEX(CR:CR,MIN(IF(ISNUMBER(CR43:CR239),ROW(CR43:CR239),"")))</f>
        <v>13.2</v>
      </c>
      <c r="CT43" s="13">
        <f>IF('Données projet'!$A$140&gt;35,CT42+CS43-DB42,IF(A43&lt;'Données projet'!$A$140,$CQ$205^A43,IF(A43='Données projet'!$A$140,'Données projet'!$B$140,CT42+CS43-DB42)))</f>
        <v>262.99999999999994</v>
      </c>
      <c r="CU43" s="18">
        <f>CT43*VLOOKUP('Données projet'!$B$13,Paramètres!$A$1:$I$89,3,0)*VLOOKUP('Données projet'!$B$13,Paramètres!$A$1:$I$89,5,0)</f>
        <v>192.83159999999995</v>
      </c>
      <c r="CV43" s="14">
        <f t="shared" si="41"/>
        <v>48.165439402688818</v>
      </c>
      <c r="CW43" s="22">
        <f t="shared" si="13"/>
        <v>419.73651029301618</v>
      </c>
      <c r="CX43" s="62">
        <f t="shared" si="14"/>
        <v>713.06984362634944</v>
      </c>
      <c r="CY43" s="62">
        <f ca="1">AVERAGE(OFFSET($CX$3,0,0,'Données projet'!$E$13+1,1))-AVERAGE(OFFSET($H$3,0,0,'Données projet'!$E$13+1,1))</f>
        <v>376.5422416541544</v>
      </c>
      <c r="CZ43" s="62">
        <f t="shared" si="42"/>
        <v>365.76175372075869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40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14.521948117740951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14.521948117740951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439.06700232017681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7.4</v>
      </c>
      <c r="AI44" s="14">
        <f>IF('Données projet'!$A$62&gt;35,AI43+AH44-AQ43,IF(A44&lt;'Données projet'!$A$62,$AF$205^A44,IF(A44='Données projet'!$A$62,'Données projet'!$B$62,AI43+AH44-AQ43)))</f>
        <v>348.40000000000032</v>
      </c>
      <c r="AJ44" s="14">
        <f>AI44*VLOOKUP('Données projet'!$B$10,Paramètres!$A$1:$I$89,3,0)*VLOOKUP('Données projet'!$B$10,Paramètres!$A$1:$I$89,5,0)</f>
        <v>315.2323200000003</v>
      </c>
      <c r="AK44" s="14">
        <f t="shared" si="35"/>
        <v>74.360480118488482</v>
      </c>
      <c r="AL44" s="22">
        <f t="shared" si="4"/>
        <v>678.54079353970121</v>
      </c>
      <c r="AM44" s="62">
        <f t="shared" si="5"/>
        <v>971.87412687303458</v>
      </c>
      <c r="AN44" s="62">
        <f ca="1">AVERAGE(OFFSET($AM$3,0,0,'Données projet'!$E$10+1,1))-AVERAGE(OFFSET($H$3,0,0,'Données projet'!$E$10+1,1))</f>
        <v>436.23918637269577</v>
      </c>
      <c r="AO44" s="62">
        <f t="shared" si="36"/>
        <v>611.43967996341894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0.67572433751663508</v>
      </c>
      <c r="AV44" s="23">
        <f>EXP(-LN(2)/25)*AV43+(1-EXP(-LN(2)/25))/(LN(2)/25)*Calculateur!AQ44*Calculateur!AS44*VLOOKUP('Données projet'!$B$10,Paramètres!$A$1:$I$89,3,0)*0.475*44/12</f>
        <v>1.0795691879088269</v>
      </c>
      <c r="AW44" s="23">
        <f>EXP(-LN(2)/2)*AW43+(1-EXP(-LN(2)/2))/(LN(2)/2)*AQ44*AT44*VLOOKUP('Données projet'!$B$10,Paramètres!$A$1:$I$89,3,0)*0.475*44/12</f>
        <v>0.13205046927983294</v>
      </c>
      <c r="AX44" s="23">
        <f t="shared" si="6"/>
        <v>1.887343994705295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11.142857142857142</v>
      </c>
      <c r="BD44" s="13">
        <f>IF('Données projet'!$A$88&gt;35,BD43+BC44-BL43,IF(A44&lt;'Données projet'!$A$88,$BA$205^A44,IF(A44='Données projet'!$A$88,'Données projet'!$B$88,BD43+BC44-BL43)))</f>
        <v>196.5714285714285</v>
      </c>
      <c r="BE44" s="14">
        <f>BD44*VLOOKUP('Données projet'!$B$11,Paramètres!$A$1:$I$89,3,0)*VLOOKUP('Données projet'!$B$11,Paramètres!$A$1:$I$89,5,0)</f>
        <v>153.32571428571424</v>
      </c>
      <c r="BF44" s="14">
        <f t="shared" si="37"/>
        <v>39.333398837614155</v>
      </c>
      <c r="BG44" s="22">
        <f t="shared" si="7"/>
        <v>335.5479553564636</v>
      </c>
      <c r="BH44" s="62">
        <f t="shared" si="8"/>
        <v>628.88128868979697</v>
      </c>
      <c r="BI44" s="62">
        <f ca="1">AVERAGE(OFFSET($BH$3,0,0,'Données projet'!$E$11+1,1))-AVERAGE(OFFSET($H$3,0,0,'Données projet'!$E$11+1,1))</f>
        <v>288.82868507674738</v>
      </c>
      <c r="BJ44" s="62">
        <f t="shared" si="38"/>
        <v>283.48738729114024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8.1999999999999993</v>
      </c>
      <c r="BY44" s="13">
        <f>IF('Données projet'!$A$114&gt;35,BY43+BX44-CG43,IF(A44&lt;'Données projet'!$A$114,$BV$205^A44,IF(A44='Données projet'!$A$114,'Données projet'!$B$114,BY43+BX44-CG43)))</f>
        <v>172.20000000000005</v>
      </c>
      <c r="BZ44" s="14">
        <f>BY44*VLOOKUP('Données projet'!$B$12,Paramètres!$A$1:$I$89,3,0)*VLOOKUP('Données projet'!$B$12,Paramètres!$A$1:$I$89,5,0)</f>
        <v>137.00232000000005</v>
      </c>
      <c r="CA44" s="14">
        <f t="shared" si="39"/>
        <v>35.609416420931346</v>
      </c>
      <c r="CB44" s="22">
        <f t="shared" si="10"/>
        <v>300.63210759978887</v>
      </c>
      <c r="CC44" s="62">
        <f t="shared" si="11"/>
        <v>593.96544093312218</v>
      </c>
      <c r="CD44" s="62">
        <f ca="1">AVERAGE(OFFSET($CC$3,0,0,'Données projet'!$E$12+1,1))-AVERAGE(OFFSET($H$3,0,0,'Données projet'!$E$12+1,1))</f>
        <v>298.89893065707554</v>
      </c>
      <c r="CE44" s="62">
        <f t="shared" si="40"/>
        <v>294.28794439094878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234.39999999999992</v>
      </c>
      <c r="CU44" s="18">
        <f>CT44*VLOOKUP('Données projet'!$B$13,Paramètres!$A$1:$I$89,3,0)*VLOOKUP('Données projet'!$B$13,Paramètres!$A$1:$I$89,5,0)</f>
        <v>171.86207999999993</v>
      </c>
      <c r="CV44" s="14">
        <f t="shared" si="41"/>
        <v>43.506802778694762</v>
      </c>
      <c r="CW44" s="22">
        <f t="shared" si="13"/>
        <v>375.10080417289322</v>
      </c>
      <c r="CX44" s="62">
        <f t="shared" si="14"/>
        <v>668.43413750622653</v>
      </c>
      <c r="CY44" s="62">
        <f ca="1">AVERAGE(OFFSET($CX$3,0,0,'Données projet'!$E$13+1,1))-AVERAGE(OFFSET($H$3,0,0,'Données projet'!$E$13+1,1))</f>
        <v>376.5422416541544</v>
      </c>
      <c r="CZ44" s="62">
        <f t="shared" si="42"/>
        <v>365.76175372075869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14.124844682785264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14.124844682785264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439.06700232017681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7.4</v>
      </c>
      <c r="AI45" s="14">
        <f>IF('Données projet'!$A$62&gt;35,AI44+AH45-AQ44,IF(A45&lt;'Données projet'!$A$62,$AF$205^A45,IF(A45='Données projet'!$A$62,'Données projet'!$B$62,AI44+AH45-AQ44)))</f>
        <v>355.8000000000003</v>
      </c>
      <c r="AJ45" s="14">
        <f>AI45*VLOOKUP('Données projet'!$B$10,Paramètres!$A$1:$I$89,3,0)*VLOOKUP('Données projet'!$B$10,Paramètres!$A$1:$I$89,5,0)</f>
        <v>321.92784000000023</v>
      </c>
      <c r="AK45" s="14">
        <f t="shared" si="35"/>
        <v>75.754337936715828</v>
      </c>
      <c r="AL45" s="22">
        <f t="shared" si="4"/>
        <v>692.6297932397805</v>
      </c>
      <c r="AM45" s="62">
        <f t="shared" si="5"/>
        <v>985.96312657311387</v>
      </c>
      <c r="AN45" s="62">
        <f ca="1">AVERAGE(OFFSET($AM$3,0,0,'Données projet'!$E$10+1,1))-AVERAGE(OFFSET($H$3,0,0,'Données projet'!$E$10+1,1))</f>
        <v>436.23918637269577</v>
      </c>
      <c r="AO45" s="62">
        <f t="shared" si="36"/>
        <v>611.43967996341894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0.66247379540908324</v>
      </c>
      <c r="AV45" s="23">
        <f>EXP(-LN(2)/25)*AV44+(1-EXP(-LN(2)/25))/(LN(2)/25)*Calculateur!AQ45*Calculateur!AS45*VLOOKUP('Données projet'!$B$10,Paramètres!$A$1:$I$89,3,0)*0.475*44/12</f>
        <v>1.0500483116933839</v>
      </c>
      <c r="AW45" s="23">
        <f>EXP(-LN(2)/2)*AW44+(1-EXP(-LN(2)/2))/(LN(2)/2)*AQ45*AT45*VLOOKUP('Données projet'!$B$10,Paramètres!$A$1:$I$89,3,0)*0.475*44/12</f>
        <v>9.3373782286635745E-2</v>
      </c>
      <c r="AX45" s="23">
        <f t="shared" si="6"/>
        <v>1.8058958893891031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11.142857142857142</v>
      </c>
      <c r="BD45" s="13">
        <f>IF('Données projet'!$A$88&gt;35,BD44+BC45-BL44,IF(A45&lt;'Données projet'!$A$88,$BA$205^A45,IF(A45='Données projet'!$A$88,'Données projet'!$B$88,BD44+BC45-BL44)))</f>
        <v>207.71428571428564</v>
      </c>
      <c r="BE45" s="14">
        <f>BD45*VLOOKUP('Données projet'!$B$11,Paramètres!$A$1:$I$89,3,0)*VLOOKUP('Données projet'!$B$11,Paramètres!$A$1:$I$89,5,0)</f>
        <v>162.0171428571428</v>
      </c>
      <c r="BF45" s="14">
        <f t="shared" si="37"/>
        <v>41.29715533509664</v>
      </c>
      <c r="BG45" s="22">
        <f t="shared" si="7"/>
        <v>354.10573601815037</v>
      </c>
      <c r="BH45" s="62">
        <f t="shared" si="8"/>
        <v>647.43906935148368</v>
      </c>
      <c r="BI45" s="62">
        <f ca="1">AVERAGE(OFFSET($BH$3,0,0,'Données projet'!$E$11+1,1))-AVERAGE(OFFSET($H$3,0,0,'Données projet'!$E$11+1,1))</f>
        <v>288.82868507674738</v>
      </c>
      <c r="BJ45" s="62">
        <f t="shared" si="38"/>
        <v>283.48738729114024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8.1999999999999993</v>
      </c>
      <c r="BY45" s="13">
        <f>IF('Données projet'!$A$114&gt;35,BY44+BX45-CG44,IF(A45&lt;'Données projet'!$A$114,$BV$205^A45,IF(A45='Données projet'!$A$114,'Données projet'!$B$114,BY44+BX45-CG44)))</f>
        <v>180.40000000000003</v>
      </c>
      <c r="BZ45" s="14">
        <f>BY45*VLOOKUP('Données projet'!$B$12,Paramètres!$A$1:$I$89,3,0)*VLOOKUP('Données projet'!$B$12,Paramètres!$A$1:$I$89,5,0)</f>
        <v>143.52624000000003</v>
      </c>
      <c r="CA45" s="14">
        <f t="shared" si="39"/>
        <v>37.103644337236275</v>
      </c>
      <c r="CB45" s="22">
        <f t="shared" si="10"/>
        <v>314.59704855401986</v>
      </c>
      <c r="CC45" s="62">
        <f t="shared" si="11"/>
        <v>607.93038188735318</v>
      </c>
      <c r="CD45" s="62">
        <f ca="1">AVERAGE(OFFSET($CC$3,0,0,'Données projet'!$E$12+1,1))-AVERAGE(OFFSET($H$3,0,0,'Données projet'!$E$12+1,1))</f>
        <v>298.89893065707554</v>
      </c>
      <c r="CE45" s="62">
        <f t="shared" si="40"/>
        <v>294.28794439094878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245.79999999999993</v>
      </c>
      <c r="CU45" s="18">
        <f>CT45*VLOOKUP('Données projet'!$B$13,Paramètres!$A$1:$I$89,3,0)*VLOOKUP('Données projet'!$B$13,Paramètres!$A$1:$I$89,5,0)</f>
        <v>180.22055999999992</v>
      </c>
      <c r="CV45" s="14">
        <f t="shared" si="41"/>
        <v>45.371253205145926</v>
      </c>
      <c r="CW45" s="22">
        <f t="shared" si="13"/>
        <v>392.90574133229569</v>
      </c>
      <c r="CX45" s="62">
        <f t="shared" si="14"/>
        <v>686.239074665629</v>
      </c>
      <c r="CY45" s="62">
        <f ca="1">AVERAGE(OFFSET($CX$3,0,0,'Données projet'!$E$13+1,1))-AVERAGE(OFFSET($H$3,0,0,'Données projet'!$E$13+1,1))</f>
        <v>376.5422416541544</v>
      </c>
      <c r="CZ45" s="62">
        <f t="shared" si="42"/>
        <v>365.76175372075869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13.738600062141202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13.738600062141202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439.06700232017681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7.4</v>
      </c>
      <c r="AI46" s="14">
        <f>IF('Données projet'!$A$62&gt;35,AI45+AH46-AQ45,IF(A46&lt;'Données projet'!$A$62,$AF$205^A46,IF(A46='Données projet'!$A$62,'Données projet'!$B$62,AI45+AH46-AQ45)))</f>
        <v>363.20000000000027</v>
      </c>
      <c r="AJ46" s="14">
        <f>AI46*VLOOKUP('Données projet'!$B$10,Paramètres!$A$1:$I$89,3,0)*VLOOKUP('Données projet'!$B$10,Paramètres!$A$1:$I$89,5,0)</f>
        <v>328.62336000000022</v>
      </c>
      <c r="AK46" s="14">
        <f t="shared" si="35"/>
        <v>77.144825174157688</v>
      </c>
      <c r="AL46" s="22">
        <f t="shared" si="4"/>
        <v>706.71292251165823</v>
      </c>
      <c r="AM46" s="62">
        <f t="shared" si="5"/>
        <v>1000.0462558449915</v>
      </c>
      <c r="AN46" s="62">
        <f ca="1">AVERAGE(OFFSET($AM$3,0,0,'Données projet'!$E$10+1,1))-AVERAGE(OFFSET($H$3,0,0,'Données projet'!$E$10+1,1))</f>
        <v>436.23918637269577</v>
      </c>
      <c r="AO46" s="62">
        <f t="shared" si="36"/>
        <v>611.43967996341894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0.64948308835022783</v>
      </c>
      <c r="AV46" s="23">
        <f>EXP(-LN(2)/25)*AV45+(1-EXP(-LN(2)/25))/(LN(2)/25)*Calculateur!AQ46*Calculateur!AS46*VLOOKUP('Données projet'!$B$10,Paramètres!$A$1:$I$89,3,0)*0.475*44/12</f>
        <v>1.0213346853904874</v>
      </c>
      <c r="AW46" s="23">
        <f>EXP(-LN(2)/2)*AW45+(1-EXP(-LN(2)/2))/(LN(2)/2)*AQ46*AT46*VLOOKUP('Données projet'!$B$10,Paramètres!$A$1:$I$89,3,0)*0.475*44/12</f>
        <v>6.6025234639916469E-2</v>
      </c>
      <c r="AX46" s="23">
        <f t="shared" si="6"/>
        <v>1.7368430083806317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11.142857142857142</v>
      </c>
      <c r="BD46" s="13">
        <f>IF('Données projet'!$A$88&gt;35,BD45+BC46-BL45,IF(A46&lt;'Données projet'!$A$88,$BA$205^A46,IF(A46='Données projet'!$A$88,'Données projet'!$B$88,BD45+BC46-BL45)))</f>
        <v>218.85714285714278</v>
      </c>
      <c r="BE46" s="14">
        <f>BD46*VLOOKUP('Données projet'!$B$11,Paramètres!$A$1:$I$89,3,0)*VLOOKUP('Données projet'!$B$11,Paramètres!$A$1:$I$89,5,0)</f>
        <v>170.70857142857136</v>
      </c>
      <c r="BF46" s="14">
        <f t="shared" si="37"/>
        <v>43.248681576985376</v>
      </c>
      <c r="BG46" s="22">
        <f t="shared" si="7"/>
        <v>372.64221565134466</v>
      </c>
      <c r="BH46" s="62">
        <f t="shared" si="8"/>
        <v>665.97554898467797</v>
      </c>
      <c r="BI46" s="62">
        <f ca="1">AVERAGE(OFFSET($BH$3,0,0,'Données projet'!$E$11+1,1))-AVERAGE(OFFSET($H$3,0,0,'Données projet'!$E$11+1,1))</f>
        <v>288.82868507674738</v>
      </c>
      <c r="BJ46" s="62">
        <f t="shared" si="38"/>
        <v>283.48738729114024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8.1999999999999993</v>
      </c>
      <c r="BY46" s="13">
        <f>IF('Données projet'!$A$114&gt;35,BY45+BX46-CG45,IF(A46&lt;'Données projet'!$A$114,$BV$205^A46,IF(A46='Données projet'!$A$114,'Données projet'!$B$114,BY45+BX46-CG45)))</f>
        <v>188.60000000000002</v>
      </c>
      <c r="BZ46" s="14">
        <f>BY46*VLOOKUP('Données projet'!$B$12,Paramètres!$A$1:$I$89,3,0)*VLOOKUP('Données projet'!$B$12,Paramètres!$A$1:$I$89,5,0)</f>
        <v>150.05016000000001</v>
      </c>
      <c r="CA46" s="14">
        <f t="shared" si="39"/>
        <v>38.589984439024605</v>
      </c>
      <c r="CB46" s="22">
        <f t="shared" si="10"/>
        <v>328.54825156463448</v>
      </c>
      <c r="CC46" s="62">
        <f t="shared" si="11"/>
        <v>621.88158489796774</v>
      </c>
      <c r="CD46" s="62">
        <f ca="1">AVERAGE(OFFSET($CC$3,0,0,'Données projet'!$E$12+1,1))-AVERAGE(OFFSET($H$3,0,0,'Données projet'!$E$12+1,1))</f>
        <v>298.89893065707554</v>
      </c>
      <c r="CE46" s="62">
        <f t="shared" si="40"/>
        <v>294.28794439094878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257.19999999999993</v>
      </c>
      <c r="CU46" s="18">
        <f>CT46*VLOOKUP('Données projet'!$B$13,Paramètres!$A$1:$I$89,3,0)*VLOOKUP('Données projet'!$B$13,Paramètres!$A$1:$I$89,5,0)</f>
        <v>188.57903999999994</v>
      </c>
      <c r="CV46" s="14">
        <f t="shared" si="41"/>
        <v>47.22566164876563</v>
      </c>
      <c r="CW46" s="22">
        <f t="shared" si="13"/>
        <v>410.69318870493333</v>
      </c>
      <c r="CX46" s="62">
        <f t="shared" si="14"/>
        <v>704.02652203826665</v>
      </c>
      <c r="CY46" s="62">
        <f ca="1">AVERAGE(OFFSET($CX$3,0,0,'Données projet'!$E$13+1,1))-AVERAGE(OFFSET($H$3,0,0,'Données projet'!$E$13+1,1))</f>
        <v>376.5422416541544</v>
      </c>
      <c r="CZ46" s="62">
        <f t="shared" si="42"/>
        <v>365.76175372075869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13.362917320960374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13.362917320960374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439.06700232017681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7.4</v>
      </c>
      <c r="AI47" s="14">
        <f>IF('Données projet'!$A$62&gt;35,AI46+AH47-AQ46,IF(A47&lt;'Données projet'!$A$62,$AF$205^A47,IF(A47='Données projet'!$A$62,'Données projet'!$B$62,AI46+AH47-AQ46)))</f>
        <v>370.60000000000025</v>
      </c>
      <c r="AJ47" s="14">
        <f>AI47*VLOOKUP('Données projet'!$B$10,Paramètres!$A$1:$I$89,3,0)*VLOOKUP('Données projet'!$B$10,Paramètres!$A$1:$I$89,5,0)</f>
        <v>335.31888000000021</v>
      </c>
      <c r="AK47" s="14">
        <f t="shared" si="35"/>
        <v>78.532018418019703</v>
      </c>
      <c r="AL47" s="22">
        <f t="shared" si="4"/>
        <v>720.7903147447181</v>
      </c>
      <c r="AM47" s="62">
        <f t="shared" si="5"/>
        <v>1014.1236480780515</v>
      </c>
      <c r="AN47" s="62">
        <f ca="1">AVERAGE(OFFSET($AM$3,0,0,'Données projet'!$E$10+1,1))-AVERAGE(OFFSET($H$3,0,0,'Données projet'!$E$10+1,1))</f>
        <v>436.23918637269577</v>
      </c>
      <c r="AO47" s="62">
        <f t="shared" si="36"/>
        <v>611.43967996341894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0.63674712113324761</v>
      </c>
      <c r="AV47" s="23">
        <f>EXP(-LN(2)/25)*AV46+(1-EXP(-LN(2)/25))/(LN(2)/25)*Calculateur!AQ47*Calculateur!AS47*VLOOKUP('Données projet'!$B$10,Paramètres!$A$1:$I$89,3,0)*0.475*44/12</f>
        <v>0.99340623470882772</v>
      </c>
      <c r="AW47" s="23">
        <f>EXP(-LN(2)/2)*AW46+(1-EXP(-LN(2)/2))/(LN(2)/2)*AQ47*AT47*VLOOKUP('Données projet'!$B$10,Paramètres!$A$1:$I$89,3,0)*0.475*44/12</f>
        <v>4.6686891143317873E-2</v>
      </c>
      <c r="AX47" s="23">
        <f t="shared" si="6"/>
        <v>1.6768402469853931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230</v>
      </c>
      <c r="BB47" s="13">
        <f>VLOOKUP(A47,'Données projet'!$A$87:$I$107,9,0)</f>
        <v>11.142857142857142</v>
      </c>
      <c r="BC47" s="13">
        <f t="array" ref="BC47">INDEX(BB:BB,MIN(IF(ISNUMBER(BB47:BB243),ROW(BB47:BB243),"")))</f>
        <v>11.142857142857142</v>
      </c>
      <c r="BD47" s="13">
        <f>IF('Données projet'!$A$88&gt;35,BD46+BC47-BL46,IF(A47&lt;'Données projet'!$A$88,$BA$205^A47,IF(A47='Données projet'!$A$88,'Données projet'!$B$88,BD46+BC47-BL46)))</f>
        <v>229.99999999999991</v>
      </c>
      <c r="BE47" s="14">
        <f>BD47*VLOOKUP('Données projet'!$B$11,Paramètres!$A$1:$I$89,3,0)*VLOOKUP('Données projet'!$B$11,Paramètres!$A$1:$I$89,5,0)</f>
        <v>179.39999999999995</v>
      </c>
      <c r="BF47" s="14">
        <f t="shared" si="37"/>
        <v>45.188671291872232</v>
      </c>
      <c r="BG47" s="22">
        <f t="shared" si="7"/>
        <v>391.15860250001066</v>
      </c>
      <c r="BH47" s="62">
        <f t="shared" si="8"/>
        <v>684.49193583334397</v>
      </c>
      <c r="BI47" s="62">
        <f ca="1">AVERAGE(OFFSET($BH$3,0,0,'Données projet'!$E$11+1,1))-AVERAGE(OFFSET($H$3,0,0,'Données projet'!$E$11+1,1))</f>
        <v>288.82868507674738</v>
      </c>
      <c r="BJ47" s="62">
        <f t="shared" si="38"/>
        <v>283.48738729114024</v>
      </c>
      <c r="BK47" s="16">
        <f>IF(ISNA(VLOOKUP(A47,'Données projet'!$A$87:$I$107,3,0)),0,VLOOKUP(A47,'Données projet'!$A$87:$I$107,3,0))</f>
        <v>6</v>
      </c>
      <c r="BL47" s="16">
        <f>IF(ISNA(VLOOKUP(A47,'Données projet'!$A$87:$I$107,4,0)),0,VLOOKUP(A47,'Données projet'!$A$87:$I$107,4,0))</f>
        <v>43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8.1999999999999993</v>
      </c>
      <c r="BY47" s="13">
        <f>IF('Données projet'!$A$114&gt;35,BY46+BX47-CG46,IF(A47&lt;'Données projet'!$A$114,$BV$205^A47,IF(A47='Données projet'!$A$114,'Données projet'!$B$114,BY46+BX47-CG46)))</f>
        <v>196.8</v>
      </c>
      <c r="BZ47" s="14">
        <f>BY47*VLOOKUP('Données projet'!$B$12,Paramètres!$A$1:$I$89,3,0)*VLOOKUP('Données projet'!$B$12,Paramètres!$A$1:$I$89,5,0)</f>
        <v>156.57408000000001</v>
      </c>
      <c r="CA47" s="14">
        <f t="shared" si="39"/>
        <v>40.068818872547467</v>
      </c>
      <c r="CB47" s="22">
        <f t="shared" si="10"/>
        <v>342.48638220302018</v>
      </c>
      <c r="CC47" s="62">
        <f t="shared" si="11"/>
        <v>635.81971553635344</v>
      </c>
      <c r="CD47" s="62">
        <f ca="1">AVERAGE(OFFSET($CC$3,0,0,'Données projet'!$E$12+1,1))-AVERAGE(OFFSET($H$3,0,0,'Données projet'!$E$12+1,1))</f>
        <v>298.89893065707554</v>
      </c>
      <c r="CE47" s="62">
        <f t="shared" si="40"/>
        <v>294.28794439094878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268.59999999999991</v>
      </c>
      <c r="CU47" s="18">
        <f>CT47*VLOOKUP('Données projet'!$B$13,Paramètres!$A$1:$I$89,3,0)*VLOOKUP('Données projet'!$B$13,Paramètres!$A$1:$I$89,5,0)</f>
        <v>196.93751999999992</v>
      </c>
      <c r="CV47" s="14">
        <f t="shared" si="41"/>
        <v>49.070524066369494</v>
      </c>
      <c r="CW47" s="22">
        <f t="shared" si="13"/>
        <v>428.46401008226007</v>
      </c>
      <c r="CX47" s="62">
        <f t="shared" si="14"/>
        <v>721.79734341559333</v>
      </c>
      <c r="CY47" s="62">
        <f ca="1">AVERAGE(OFFSET($CX$3,0,0,'Données projet'!$E$13+1,1))-AVERAGE(OFFSET($H$3,0,0,'Données projet'!$E$13+1,1))</f>
        <v>376.5422416541544</v>
      </c>
      <c r="CZ47" s="62">
        <f t="shared" si="42"/>
        <v>365.76175372075869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12.997507644093432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12.997507644093432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439.06700232017681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378</v>
      </c>
      <c r="AG48" s="13">
        <f>VLOOKUP(A48,'Données projet'!$A$61:$I$81,9,0)</f>
        <v>7.4</v>
      </c>
      <c r="AH48" s="13">
        <f t="array" ref="AH48">INDEX(AG:AG,MIN(IF(ISNUMBER(AG48:AG244),ROW(AG48:AG244),"")))</f>
        <v>7.4</v>
      </c>
      <c r="AI48" s="14">
        <f>IF('Données projet'!$A$62&gt;35,AI47+AH48-AQ47,IF(A48&lt;'Données projet'!$A$62,$AF$205^A48,IF(A48='Données projet'!$A$62,'Données projet'!$B$62,AI47+AH48-AQ47)))</f>
        <v>378.00000000000023</v>
      </c>
      <c r="AJ48" s="14">
        <f>AI48*VLOOKUP('Données projet'!$B$10,Paramètres!$A$1:$I$89,3,0)*VLOOKUP('Données projet'!$B$10,Paramètres!$A$1:$I$89,5,0)</f>
        <v>342.01440000000019</v>
      </c>
      <c r="AK48" s="14">
        <f t="shared" si="35"/>
        <v>79.9159910220867</v>
      </c>
      <c r="AL48" s="22">
        <f t="shared" si="4"/>
        <v>734.86209769680136</v>
      </c>
      <c r="AM48" s="62">
        <f t="shared" si="5"/>
        <v>1028.1954310301346</v>
      </c>
      <c r="AN48" s="62">
        <f ca="1">AVERAGE(OFFSET($AM$3,0,0,'Données projet'!$E$10+1,1))-AVERAGE(OFFSET($H$3,0,0,'Données projet'!$E$10+1,1))</f>
        <v>436.23918637269577</v>
      </c>
      <c r="AO48" s="62">
        <f t="shared" si="36"/>
        <v>611.43967996341894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378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0.62426089846521948</v>
      </c>
      <c r="AV48" s="23">
        <f>EXP(-LN(2)/25)*AV47+(1-EXP(-LN(2)/25))/(LN(2)/25)*Calculateur!AQ48*Calculateur!AS48*VLOOKUP('Données projet'!$B$10,Paramètres!$A$1:$I$89,3,0)*0.475*44/12</f>
        <v>0.96624148897975137</v>
      </c>
      <c r="AW48" s="23">
        <f>EXP(-LN(2)/2)*AW47+(1-EXP(-LN(2)/2))/(LN(2)/2)*AQ48*AT48*VLOOKUP('Données projet'!$B$10,Paramètres!$A$1:$I$89,3,0)*0.475*44/12</f>
        <v>3.3012617319958235E-2</v>
      </c>
      <c r="AX48" s="23">
        <f t="shared" si="6"/>
        <v>1.6235150047649292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10.375</v>
      </c>
      <c r="BD48" s="13">
        <f>IF('Données projet'!$A$88&gt;35,BD47+BC48-BL47,IF(A48&lt;'Données projet'!$A$88,$BA$205^A48,IF(A48='Données projet'!$A$88,'Données projet'!$B$88,BD47+BC48-BL47)))</f>
        <v>197.37499999999991</v>
      </c>
      <c r="BE48" s="14">
        <f>BD48*VLOOKUP('Données projet'!$B$11,Paramètres!$A$1:$I$89,3,0)*VLOOKUP('Données projet'!$B$11,Paramètres!$A$1:$I$89,5,0)</f>
        <v>153.95249999999993</v>
      </c>
      <c r="BF48" s="14">
        <f t="shared" si="37"/>
        <v>39.475441267837361</v>
      </c>
      <c r="BG48" s="22">
        <f t="shared" si="7"/>
        <v>336.88699770814992</v>
      </c>
      <c r="BH48" s="62">
        <f t="shared" si="8"/>
        <v>630.22033104148318</v>
      </c>
      <c r="BI48" s="62">
        <f ca="1">AVERAGE(OFFSET($BH$3,0,0,'Données projet'!$E$11+1,1))-AVERAGE(OFFSET($H$3,0,0,'Données projet'!$E$11+1,1))</f>
        <v>288.82868507674738</v>
      </c>
      <c r="BJ48" s="62">
        <f t="shared" si="38"/>
        <v>283.48738729114024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205</v>
      </c>
      <c r="BW48" s="13">
        <f>VLOOKUP(A48,'Données projet'!$A$113:$I$133,9,0)</f>
        <v>8.1999999999999993</v>
      </c>
      <c r="BX48" s="13">
        <f t="array" ref="BX48">INDEX(BW:BW,MIN(IF(ISNUMBER(BW48:BW244),ROW(BW48:BW244),"")))</f>
        <v>8.1999999999999993</v>
      </c>
      <c r="BY48" s="13">
        <f>IF('Données projet'!$A$114&gt;35,BY47+BX48-CG47,IF(A48&lt;'Données projet'!$A$114,$BV$205^A48,IF(A48='Données projet'!$A$114,'Données projet'!$B$114,BY47+BX48-CG47)))</f>
        <v>205</v>
      </c>
      <c r="BZ48" s="14">
        <f>BY48*VLOOKUP('Données projet'!$B$12,Paramètres!$A$1:$I$89,3,0)*VLOOKUP('Données projet'!$B$12,Paramètres!$A$1:$I$89,5,0)</f>
        <v>163.09800000000001</v>
      </c>
      <c r="CA48" s="14">
        <f t="shared" si="39"/>
        <v>41.540496136845142</v>
      </c>
      <c r="CB48" s="22">
        <f t="shared" si="10"/>
        <v>356.41204743833867</v>
      </c>
      <c r="CC48" s="62">
        <f t="shared" si="11"/>
        <v>649.74538077167199</v>
      </c>
      <c r="CD48" s="62">
        <f ca="1">AVERAGE(OFFSET($CC$3,0,0,'Données projet'!$E$12+1,1))-AVERAGE(OFFSET($H$3,0,0,'Données projet'!$E$12+1,1))</f>
        <v>298.89893065707554</v>
      </c>
      <c r="CE48" s="62">
        <f t="shared" si="40"/>
        <v>294.28794439094878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22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280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279.99999999999989</v>
      </c>
      <c r="CU48" s="18">
        <f>CT48*VLOOKUP('Données projet'!$B$13,Paramètres!$A$1:$I$89,3,0)*VLOOKUP('Données projet'!$B$13,Paramètres!$A$1:$I$89,5,0)</f>
        <v>205.29599999999991</v>
      </c>
      <c r="CV48" s="14">
        <f t="shared" si="41"/>
        <v>50.906291934375353</v>
      </c>
      <c r="CW48" s="22">
        <f t="shared" si="13"/>
        <v>446.21899178570357</v>
      </c>
      <c r="CX48" s="62">
        <f t="shared" si="14"/>
        <v>739.55232511903682</v>
      </c>
      <c r="CY48" s="62">
        <f ca="1">AVERAGE(OFFSET($CX$3,0,0,'Données projet'!$E$13+1,1))-AVERAGE(OFFSET($H$3,0,0,'Données projet'!$E$13+1,1))</f>
        <v>376.5422416541544</v>
      </c>
      <c r="CZ48" s="62">
        <f t="shared" si="42"/>
        <v>365.76175372075869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26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12.642090114056476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12.642090114056476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439.06700232017681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2.2737367544323206E-13</v>
      </c>
      <c r="AJ49" s="14">
        <f>AI49*VLOOKUP('Données projet'!$B$10,Paramètres!$A$1:$I$89,3,0)*VLOOKUP('Données projet'!$B$10,Paramètres!$A$1:$I$89,5,0)</f>
        <v>2.0572770154103635E-13</v>
      </c>
      <c r="AK49" s="14">
        <f t="shared" si="35"/>
        <v>2.8416956338469711E-12</v>
      </c>
      <c r="AL49" s="22">
        <f t="shared" si="4"/>
        <v>5.3075956424674458E-12</v>
      </c>
      <c r="AM49" s="62">
        <f t="shared" si="5"/>
        <v>293.3333333333386</v>
      </c>
      <c r="AN49" s="62">
        <f ca="1">AVERAGE(OFFSET($AM$3,0,0,'Données projet'!$E$10+1,1))-AVERAGE(OFFSET($H$3,0,0,'Données projet'!$E$10+1,1))</f>
        <v>436.23918637269577</v>
      </c>
      <c r="AO49" s="62">
        <f t="shared" si="36"/>
        <v>611.43967996341894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0.61201952300786755</v>
      </c>
      <c r="AV49" s="23">
        <f>EXP(-LN(2)/25)*AV48+(1-EXP(-LN(2)/25))/(LN(2)/25)*Calculateur!AQ49*Calculateur!AS49*VLOOKUP('Données projet'!$B$10,Paramètres!$A$1:$I$89,3,0)*0.475*44/12</f>
        <v>0.93981956465116856</v>
      </c>
      <c r="AW49" s="23">
        <f>EXP(-LN(2)/2)*AW48+(1-EXP(-LN(2)/2))/(LN(2)/2)*AQ49*AT49*VLOOKUP('Données projet'!$B$10,Paramètres!$A$1:$I$89,3,0)*0.475*44/12</f>
        <v>2.3343445571658936E-2</v>
      </c>
      <c r="AX49" s="23">
        <f t="shared" si="6"/>
        <v>1.5751825332306952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10.375</v>
      </c>
      <c r="BD49" s="13">
        <f>IF('Données projet'!$A$88&gt;35,BD48+BC49-BL48,IF(A49&lt;'Données projet'!$A$88,$BA$205^A49,IF(A49='Données projet'!$A$88,'Données projet'!$B$88,BD48+BC49-BL48)))</f>
        <v>207.74999999999991</v>
      </c>
      <c r="BE49" s="14">
        <f>BD49*VLOOKUP('Données projet'!$B$11,Paramètres!$A$1:$I$89,3,0)*VLOOKUP('Données projet'!$B$11,Paramètres!$A$1:$I$89,5,0)</f>
        <v>162.04499999999993</v>
      </c>
      <c r="BF49" s="14">
        <f t="shared" si="37"/>
        <v>41.303429372463391</v>
      </c>
      <c r="BG49" s="22">
        <f t="shared" si="7"/>
        <v>354.16518115704025</v>
      </c>
      <c r="BH49" s="62">
        <f t="shared" si="8"/>
        <v>647.49851449037351</v>
      </c>
      <c r="BI49" s="62">
        <f ca="1">AVERAGE(OFFSET($BH$3,0,0,'Données projet'!$E$11+1,1))-AVERAGE(OFFSET($H$3,0,0,'Données projet'!$E$11+1,1))</f>
        <v>288.82868507674738</v>
      </c>
      <c r="BJ49" s="62">
        <f t="shared" si="38"/>
        <v>283.48738729114024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190</v>
      </c>
      <c r="BZ49" s="14">
        <f>BY49*VLOOKUP('Données projet'!$B$12,Paramètres!$A$1:$I$89,3,0)*VLOOKUP('Données projet'!$B$12,Paramètres!$A$1:$I$89,5,0)</f>
        <v>151.16400000000002</v>
      </c>
      <c r="CA49" s="14">
        <f t="shared" si="39"/>
        <v>38.84298967415998</v>
      </c>
      <c r="CB49" s="22">
        <f t="shared" si="10"/>
        <v>330.92884034916193</v>
      </c>
      <c r="CC49" s="62">
        <f t="shared" si="11"/>
        <v>624.26217368249524</v>
      </c>
      <c r="CD49" s="62">
        <f ca="1">AVERAGE(OFFSET($CC$3,0,0,'Données projet'!$E$12+1,1))-AVERAGE(OFFSET($H$3,0,0,'Données projet'!$E$12+1,1))</f>
        <v>298.89893065707554</v>
      </c>
      <c r="CE49" s="62">
        <f t="shared" si="40"/>
        <v>294.28794439094878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9.8000000000000007</v>
      </c>
      <c r="CT49" s="13">
        <f>IF('Données projet'!$A$140&gt;35,CT48+CS49-DB48,IF(A49&lt;'Données projet'!$A$140,$CQ$205^A49,IF(A49='Données projet'!$A$140,'Données projet'!$B$140,CT48+CS49-DB48)))</f>
        <v>263.7999999999999</v>
      </c>
      <c r="CU49" s="18">
        <f>CT49*VLOOKUP('Données projet'!$B$13,Paramètres!$A$1:$I$89,3,0)*VLOOKUP('Données projet'!$B$13,Paramètres!$A$1:$I$89,5,0)</f>
        <v>193.41815999999992</v>
      </c>
      <c r="CV49" s="14">
        <f t="shared" si="41"/>
        <v>48.294873490521283</v>
      </c>
      <c r="CW49" s="22">
        <f t="shared" si="13"/>
        <v>420.98353332932442</v>
      </c>
      <c r="CX49" s="62">
        <f t="shared" si="14"/>
        <v>714.31686666265773</v>
      </c>
      <c r="CY49" s="62">
        <f ca="1">AVERAGE(OFFSET($CX$3,0,0,'Données projet'!$E$13+1,1))-AVERAGE(OFFSET($H$3,0,0,'Données projet'!$E$13+1,1))</f>
        <v>376.5422416541544</v>
      </c>
      <c r="CZ49" s="62">
        <f t="shared" si="42"/>
        <v>365.76175372075869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12.296391495068976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12.296391495068976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439.06700232017681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2.2737367544323206E-13</v>
      </c>
      <c r="AJ50" s="14">
        <f>AI50*VLOOKUP('Données projet'!$B$10,Paramètres!$A$1:$I$89,3,0)*VLOOKUP('Données projet'!$B$10,Paramètres!$A$1:$I$89,5,0)</f>
        <v>2.0572770154103635E-13</v>
      </c>
      <c r="AK50" s="14">
        <f t="shared" si="35"/>
        <v>2.8416956338469711E-12</v>
      </c>
      <c r="AL50" s="22">
        <f t="shared" si="4"/>
        <v>5.3075956424674458E-12</v>
      </c>
      <c r="AM50" s="62">
        <f t="shared" si="5"/>
        <v>293.3333333333386</v>
      </c>
      <c r="AN50" s="62">
        <f ca="1">AVERAGE(OFFSET($AM$3,0,0,'Données projet'!$E$10+1,1))-AVERAGE(OFFSET($H$3,0,0,'Données projet'!$E$10+1,1))</f>
        <v>436.23918637269577</v>
      </c>
      <c r="AO50" s="62">
        <f t="shared" si="36"/>
        <v>611.43967996341894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0.60001819345673246</v>
      </c>
      <c r="AV50" s="23">
        <f>EXP(-LN(2)/25)*AV49+(1-EXP(-LN(2)/25))/(LN(2)/25)*Calculateur!AQ50*Calculateur!AS50*VLOOKUP('Données projet'!$B$10,Paramètres!$A$1:$I$89,3,0)*0.475*44/12</f>
        <v>0.91412014923281948</v>
      </c>
      <c r="AW50" s="23">
        <f>EXP(-LN(2)/2)*AW49+(1-EXP(-LN(2)/2))/(LN(2)/2)*AQ50*AT50*VLOOKUP('Données projet'!$B$10,Paramètres!$A$1:$I$89,3,0)*0.475*44/12</f>
        <v>1.6506308659979117E-2</v>
      </c>
      <c r="AX50" s="23">
        <f t="shared" si="6"/>
        <v>1.5306446513495309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10.375</v>
      </c>
      <c r="BD50" s="13">
        <f>IF('Données projet'!$A$88&gt;35,BD49+BC50-BL49,IF(A50&lt;'Données projet'!$A$88,$BA$205^A50,IF(A50='Données projet'!$A$88,'Données projet'!$B$88,BD49+BC50-BL49)))</f>
        <v>218.12499999999991</v>
      </c>
      <c r="BE50" s="14">
        <f>BD50*VLOOKUP('Données projet'!$B$11,Paramètres!$A$1:$I$89,3,0)*VLOOKUP('Données projet'!$B$11,Paramètres!$A$1:$I$89,5,0)</f>
        <v>170.13749999999993</v>
      </c>
      <c r="BF50" s="14">
        <f t="shared" si="37"/>
        <v>43.120817562072375</v>
      </c>
      <c r="BG50" s="22">
        <f t="shared" si="7"/>
        <v>371.42490308727588</v>
      </c>
      <c r="BH50" s="62">
        <f t="shared" si="8"/>
        <v>664.75823642060914</v>
      </c>
      <c r="BI50" s="62">
        <f ca="1">AVERAGE(OFFSET($BH$3,0,0,'Données projet'!$E$11+1,1))-AVERAGE(OFFSET($H$3,0,0,'Données projet'!$E$11+1,1))</f>
        <v>288.82868507674738</v>
      </c>
      <c r="BJ50" s="62">
        <f t="shared" si="38"/>
        <v>283.48738729114024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197</v>
      </c>
      <c r="BZ50" s="14">
        <f>BY50*VLOOKUP('Données projet'!$B$12,Paramètres!$A$1:$I$89,3,0)*VLOOKUP('Données projet'!$B$12,Paramètres!$A$1:$I$89,5,0)</f>
        <v>156.73320000000001</v>
      </c>
      <c r="CA50" s="14">
        <f t="shared" si="39"/>
        <v>40.104797241533682</v>
      </c>
      <c r="CB50" s="22">
        <f t="shared" si="10"/>
        <v>342.82617852900444</v>
      </c>
      <c r="CC50" s="62">
        <f t="shared" si="11"/>
        <v>636.15951186233769</v>
      </c>
      <c r="CD50" s="62">
        <f ca="1">AVERAGE(OFFSET($CC$3,0,0,'Données projet'!$E$12+1,1))-AVERAGE(OFFSET($H$3,0,0,'Données projet'!$E$12+1,1))</f>
        <v>298.89893065707554</v>
      </c>
      <c r="CE50" s="62">
        <f t="shared" si="40"/>
        <v>294.28794439094878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9.8000000000000007</v>
      </c>
      <c r="CT50" s="13">
        <f>IF('Données projet'!$A$140&gt;35,CT49+CS50-DB49,IF(A50&lt;'Données projet'!$A$140,$CQ$205^A50,IF(A50='Données projet'!$A$140,'Données projet'!$B$140,CT49+CS50-DB49)))</f>
        <v>273.59999999999991</v>
      </c>
      <c r="CU50" s="18">
        <f>CT50*VLOOKUP('Données projet'!$B$13,Paramètres!$A$1:$I$89,3,0)*VLOOKUP('Données projet'!$B$13,Paramètres!$A$1:$I$89,5,0)</f>
        <v>200.60351999999995</v>
      </c>
      <c r="CV50" s="14">
        <f t="shared" si="41"/>
        <v>49.87677988675906</v>
      </c>
      <c r="CW50" s="22">
        <f t="shared" si="13"/>
        <v>436.25318896943855</v>
      </c>
      <c r="CX50" s="62">
        <f t="shared" si="14"/>
        <v>729.58652230277187</v>
      </c>
      <c r="CY50" s="62">
        <f ca="1">AVERAGE(OFFSET($CX$3,0,0,'Données projet'!$E$13+1,1))-AVERAGE(OFFSET($H$3,0,0,'Données projet'!$E$13+1,1))</f>
        <v>376.5422416541544</v>
      </c>
      <c r="CZ50" s="62">
        <f t="shared" si="42"/>
        <v>365.76175372075869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11.96014602299719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11.96014602299719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439.06700232017681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2.2737367544323206E-13</v>
      </c>
      <c r="AJ51" s="14">
        <f>AI51*VLOOKUP('Données projet'!$B$10,Paramètres!$A$1:$I$89,3,0)*VLOOKUP('Données projet'!$B$10,Paramètres!$A$1:$I$89,5,0)</f>
        <v>2.0572770154103635E-13</v>
      </c>
      <c r="AK51" s="14">
        <f t="shared" si="35"/>
        <v>2.8416956338469711E-12</v>
      </c>
      <c r="AL51" s="22">
        <f t="shared" si="4"/>
        <v>5.3075956424674458E-12</v>
      </c>
      <c r="AM51" s="62">
        <f t="shared" si="5"/>
        <v>293.3333333333386</v>
      </c>
      <c r="AN51" s="62">
        <f ca="1">AVERAGE(OFFSET($AM$3,0,0,'Données projet'!$E$10+1,1))-AVERAGE(OFFSET($H$3,0,0,'Données projet'!$E$10+1,1))</f>
        <v>436.23918637269577</v>
      </c>
      <c r="AO51" s="62">
        <f t="shared" si="36"/>
        <v>611.43967996341894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0.58825220265800693</v>
      </c>
      <c r="AV51" s="23">
        <f>EXP(-LN(2)/25)*AV50+(1-EXP(-LN(2)/25))/(LN(2)/25)*Calculateur!AQ51*Calculateur!AS51*VLOOKUP('Données projet'!$B$10,Paramètres!$A$1:$I$89,3,0)*0.475*44/12</f>
        <v>0.88912348568055866</v>
      </c>
      <c r="AW51" s="23">
        <f>EXP(-LN(2)/2)*AW50+(1-EXP(-LN(2)/2))/(LN(2)/2)*AQ51*AT51*VLOOKUP('Données projet'!$B$10,Paramètres!$A$1:$I$89,3,0)*0.475*44/12</f>
        <v>1.1671722785829468E-2</v>
      </c>
      <c r="AX51" s="23">
        <f t="shared" si="6"/>
        <v>1.489047411124395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10.375</v>
      </c>
      <c r="BD51" s="13">
        <f>IF('Données projet'!$A$88&gt;35,BD50+BC51-BL50,IF(A51&lt;'Données projet'!$A$88,$BA$205^A51,IF(A51='Données projet'!$A$88,'Données projet'!$B$88,BD50+BC51-BL50)))</f>
        <v>228.49999999999991</v>
      </c>
      <c r="BE51" s="14">
        <f>BD51*VLOOKUP('Données projet'!$B$11,Paramètres!$A$1:$I$89,3,0)*VLOOKUP('Données projet'!$B$11,Paramètres!$A$1:$I$89,5,0)</f>
        <v>178.22999999999993</v>
      </c>
      <c r="BF51" s="14">
        <f t="shared" si="37"/>
        <v>44.928167580487852</v>
      </c>
      <c r="BG51" s="22">
        <f t="shared" si="7"/>
        <v>388.66714186934951</v>
      </c>
      <c r="BH51" s="62">
        <f t="shared" si="8"/>
        <v>682.00047520268276</v>
      </c>
      <c r="BI51" s="62">
        <f ca="1">AVERAGE(OFFSET($BH$3,0,0,'Données projet'!$E$11+1,1))-AVERAGE(OFFSET($H$3,0,0,'Données projet'!$E$11+1,1))</f>
        <v>288.82868507674738</v>
      </c>
      <c r="BJ51" s="62">
        <f t="shared" si="38"/>
        <v>283.48738729114024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204</v>
      </c>
      <c r="BZ51" s="14">
        <f>BY51*VLOOKUP('Données projet'!$B$12,Paramètres!$A$1:$I$89,3,0)*VLOOKUP('Données projet'!$B$12,Paramètres!$A$1:$I$89,5,0)</f>
        <v>162.30240000000001</v>
      </c>
      <c r="CA51" s="14">
        <f t="shared" si="39"/>
        <v>41.361395541514355</v>
      </c>
      <c r="CB51" s="22">
        <f t="shared" si="10"/>
        <v>354.71444390147082</v>
      </c>
      <c r="CC51" s="62">
        <f t="shared" si="11"/>
        <v>648.04777723480413</v>
      </c>
      <c r="CD51" s="62">
        <f ca="1">AVERAGE(OFFSET($CC$3,0,0,'Données projet'!$E$12+1,1))-AVERAGE(OFFSET($H$3,0,0,'Données projet'!$E$12+1,1))</f>
        <v>298.89893065707554</v>
      </c>
      <c r="CE51" s="62">
        <f t="shared" si="40"/>
        <v>294.28794439094878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9.8000000000000007</v>
      </c>
      <c r="CT51" s="13">
        <f>IF('Données projet'!$A$140&gt;35,CT50+CS51-DB50,IF(A51&lt;'Données projet'!$A$140,$CQ$205^A51,IF(A51='Données projet'!$A$140,'Données projet'!$B$140,CT50+CS51-DB50)))</f>
        <v>283.39999999999992</v>
      </c>
      <c r="CU51" s="18">
        <f>CT51*VLOOKUP('Données projet'!$B$13,Paramètres!$A$1:$I$89,3,0)*VLOOKUP('Données projet'!$B$13,Paramètres!$A$1:$I$89,5,0)</f>
        <v>207.78887999999992</v>
      </c>
      <c r="CV51" s="14">
        <f t="shared" si="41"/>
        <v>51.452103086551489</v>
      </c>
      <c r="CW51" s="22">
        <f t="shared" si="13"/>
        <v>451.51137887574367</v>
      </c>
      <c r="CX51" s="62">
        <f t="shared" si="14"/>
        <v>744.84471220907699</v>
      </c>
      <c r="CY51" s="62">
        <f ca="1">AVERAGE(OFFSET($CX$3,0,0,'Données projet'!$E$13+1,1))-AVERAGE(OFFSET($H$3,0,0,'Données projet'!$E$13+1,1))</f>
        <v>376.5422416541544</v>
      </c>
      <c r="CZ51" s="62">
        <f t="shared" si="42"/>
        <v>365.76175372075869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11.633095201041588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11.633095201041588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439.06700232017681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2.2737367544323206E-13</v>
      </c>
      <c r="AJ52" s="14">
        <f>AI52*VLOOKUP('Données projet'!$B$10,Paramètres!$A$1:$I$89,3,0)*VLOOKUP('Données projet'!$B$10,Paramètres!$A$1:$I$89,5,0)</f>
        <v>2.0572770154103635E-13</v>
      </c>
      <c r="AK52" s="14">
        <f t="shared" si="35"/>
        <v>2.8416956338469711E-12</v>
      </c>
      <c r="AL52" s="22">
        <f t="shared" si="4"/>
        <v>5.3075956424674458E-12</v>
      </c>
      <c r="AM52" s="62">
        <f t="shared" si="5"/>
        <v>293.3333333333386</v>
      </c>
      <c r="AN52" s="62">
        <f ca="1">AVERAGE(OFFSET($AM$3,0,0,'Données projet'!$E$10+1,1))-AVERAGE(OFFSET($H$3,0,0,'Données projet'!$E$10+1,1))</f>
        <v>436.23918637269577</v>
      </c>
      <c r="AO52" s="62">
        <f t="shared" si="36"/>
        <v>611.43967996341894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0.57671693576229865</v>
      </c>
      <c r="AV52" s="23">
        <f>EXP(-LN(2)/25)*AV51+(1-EXP(-LN(2)/25))/(LN(2)/25)*Calculateur!AQ52*Calculateur!AS52*VLOOKUP('Données projet'!$B$10,Paramètres!$A$1:$I$89,3,0)*0.475*44/12</f>
        <v>0.86481035720765176</v>
      </c>
      <c r="AW52" s="23">
        <f>EXP(-LN(2)/2)*AW51+(1-EXP(-LN(2)/2))/(LN(2)/2)*AQ52*AT52*VLOOKUP('Données projet'!$B$10,Paramètres!$A$1:$I$89,3,0)*0.475*44/12</f>
        <v>8.2531543299895586E-3</v>
      </c>
      <c r="AX52" s="23">
        <f t="shared" si="6"/>
        <v>1.4497804472999398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10.375</v>
      </c>
      <c r="BD52" s="13">
        <f>IF('Données projet'!$A$88&gt;35,BD51+BC52-BL51,IF(A52&lt;'Données projet'!$A$88,$BA$205^A52,IF(A52='Données projet'!$A$88,'Données projet'!$B$88,BD51+BC52-BL51)))</f>
        <v>238.87499999999991</v>
      </c>
      <c r="BE52" s="14">
        <f>BD52*VLOOKUP('Données projet'!$B$11,Paramètres!$A$1:$I$89,3,0)*VLOOKUP('Données projet'!$B$11,Paramètres!$A$1:$I$89,5,0)</f>
        <v>186.32249999999993</v>
      </c>
      <c r="BF52" s="14">
        <f t="shared" si="37"/>
        <v>46.725987276254116</v>
      </c>
      <c r="BG52" s="22">
        <f t="shared" si="7"/>
        <v>405.8927820061424</v>
      </c>
      <c r="BH52" s="62">
        <f t="shared" si="8"/>
        <v>699.22611533947565</v>
      </c>
      <c r="BI52" s="62">
        <f ca="1">AVERAGE(OFFSET($BH$3,0,0,'Données projet'!$E$11+1,1))-AVERAGE(OFFSET($H$3,0,0,'Données projet'!$E$11+1,1))</f>
        <v>288.82868507674738</v>
      </c>
      <c r="BJ52" s="62">
        <f t="shared" si="38"/>
        <v>283.48738729114024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211</v>
      </c>
      <c r="BZ52" s="14">
        <f>BY52*VLOOKUP('Données projet'!$B$12,Paramètres!$A$1:$I$89,3,0)*VLOOKUP('Données projet'!$B$12,Paramètres!$A$1:$I$89,5,0)</f>
        <v>167.8716</v>
      </c>
      <c r="CA52" s="14">
        <f t="shared" si="39"/>
        <v>42.612983811358006</v>
      </c>
      <c r="CB52" s="22">
        <f t="shared" si="10"/>
        <v>366.59398347144844</v>
      </c>
      <c r="CC52" s="62">
        <f t="shared" si="11"/>
        <v>659.92731680478175</v>
      </c>
      <c r="CD52" s="62">
        <f ca="1">AVERAGE(OFFSET($CC$3,0,0,'Données projet'!$E$12+1,1))-AVERAGE(OFFSET($H$3,0,0,'Données projet'!$E$12+1,1))</f>
        <v>298.89893065707554</v>
      </c>
      <c r="CE52" s="62">
        <f t="shared" si="40"/>
        <v>294.28794439094878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9.8000000000000007</v>
      </c>
      <c r="CT52" s="13">
        <f>IF('Données projet'!$A$140&gt;35,CT51+CS52-DB51,IF(A52&lt;'Données projet'!$A$140,$CQ$205^A52,IF(A52='Données projet'!$A$140,'Données projet'!$B$140,CT51+CS52-DB51)))</f>
        <v>293.19999999999993</v>
      </c>
      <c r="CU52" s="18">
        <f>CT52*VLOOKUP('Données projet'!$B$13,Paramètres!$A$1:$I$89,3,0)*VLOOKUP('Données projet'!$B$13,Paramètres!$A$1:$I$89,5,0)</f>
        <v>214.97423999999995</v>
      </c>
      <c r="CV52" s="14">
        <f t="shared" si="41"/>
        <v>53.021096827639134</v>
      </c>
      <c r="CW52" s="22">
        <f t="shared" si="13"/>
        <v>466.75854497480481</v>
      </c>
      <c r="CX52" s="62">
        <f t="shared" si="14"/>
        <v>760.09187830813812</v>
      </c>
      <c r="CY52" s="62">
        <f ca="1">AVERAGE(OFFSET($CX$3,0,0,'Données projet'!$E$13+1,1))-AVERAGE(OFFSET($H$3,0,0,'Données projet'!$E$13+1,1))</f>
        <v>376.5422416541544</v>
      </c>
      <c r="CZ52" s="62">
        <f t="shared" si="42"/>
        <v>365.76175372075869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11.314987601011216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11.314987601011216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439.06700232017681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2.2737367544323206E-13</v>
      </c>
      <c r="AJ53" s="14">
        <f>AI53*VLOOKUP('Données projet'!$B$10,Paramètres!$A$1:$I$89,3,0)*VLOOKUP('Données projet'!$B$10,Paramètres!$A$1:$I$89,5,0)</f>
        <v>2.0572770154103635E-13</v>
      </c>
      <c r="AK53" s="14">
        <f t="shared" si="35"/>
        <v>2.8416956338469711E-12</v>
      </c>
      <c r="AL53" s="22">
        <f t="shared" si="4"/>
        <v>5.3075956424674458E-12</v>
      </c>
      <c r="AM53" s="62">
        <f t="shared" si="5"/>
        <v>293.3333333333386</v>
      </c>
      <c r="AN53" s="62">
        <f ca="1">AVERAGE(OFFSET($AM$3,0,0,'Données projet'!$E$10+1,1))-AVERAGE(OFFSET($H$3,0,0,'Données projet'!$E$10+1,1))</f>
        <v>436.23918637269577</v>
      </c>
      <c r="AO53" s="62">
        <f t="shared" si="36"/>
        <v>611.43967996341894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0.56540786841459711</v>
      </c>
      <c r="AV53" s="23">
        <f>EXP(-LN(2)/25)*AV52+(1-EXP(-LN(2)/25))/(LN(2)/25)*Calculateur!AQ53*Calculateur!AS53*VLOOKUP('Données projet'!$B$10,Paramètres!$A$1:$I$89,3,0)*0.475*44/12</f>
        <v>0.8411620725114084</v>
      </c>
      <c r="AW53" s="23">
        <f>EXP(-LN(2)/2)*AW52+(1-EXP(-LN(2)/2))/(LN(2)/2)*AQ53*AT53*VLOOKUP('Données projet'!$B$10,Paramètres!$A$1:$I$89,3,0)*0.475*44/12</f>
        <v>5.8358613929147341E-3</v>
      </c>
      <c r="AX53" s="23">
        <f t="shared" si="6"/>
        <v>1.4124058023189203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10.375</v>
      </c>
      <c r="BD53" s="13">
        <f>IF('Données projet'!$A$88&gt;35,BD52+BC53-BL52,IF(A53&lt;'Données projet'!$A$88,$BA$205^A53,IF(A53='Données projet'!$A$88,'Données projet'!$B$88,BD52+BC53-BL52)))</f>
        <v>249.24999999999991</v>
      </c>
      <c r="BE53" s="14">
        <f>BD53*VLOOKUP('Données projet'!$B$11,Paramètres!$A$1:$I$89,3,0)*VLOOKUP('Données projet'!$B$11,Paramètres!$A$1:$I$89,5,0)</f>
        <v>194.41499999999994</v>
      </c>
      <c r="BF53" s="14">
        <f t="shared" si="37"/>
        <v>48.514737888684927</v>
      </c>
      <c r="BG53" s="22">
        <f t="shared" si="7"/>
        <v>423.10262682279273</v>
      </c>
      <c r="BH53" s="62">
        <f t="shared" si="8"/>
        <v>716.43596015612604</v>
      </c>
      <c r="BI53" s="62">
        <f ca="1">AVERAGE(OFFSET($BH$3,0,0,'Données projet'!$E$11+1,1))-AVERAGE(OFFSET($H$3,0,0,'Données projet'!$E$11+1,1))</f>
        <v>288.82868507674738</v>
      </c>
      <c r="BJ53" s="62">
        <f t="shared" si="38"/>
        <v>283.48738729114024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218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218</v>
      </c>
      <c r="BZ53" s="14">
        <f>BY53*VLOOKUP('Données projet'!$B$12,Paramètres!$A$1:$I$89,3,0)*VLOOKUP('Données projet'!$B$12,Paramètres!$A$1:$I$89,5,0)</f>
        <v>173.44080000000002</v>
      </c>
      <c r="CA53" s="14">
        <f t="shared" si="39"/>
        <v>43.859747318594479</v>
      </c>
      <c r="CB53" s="22">
        <f t="shared" si="10"/>
        <v>378.46511991321876</v>
      </c>
      <c r="CC53" s="62">
        <f t="shared" si="11"/>
        <v>671.79845324655207</v>
      </c>
      <c r="CD53" s="62">
        <f ca="1">AVERAGE(OFFSET($CC$3,0,0,'Données projet'!$E$12+1,1))-AVERAGE(OFFSET($H$3,0,0,'Données projet'!$E$12+1,1))</f>
        <v>298.89893065707554</v>
      </c>
      <c r="CE53" s="62">
        <f t="shared" si="40"/>
        <v>294.28794439094878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17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303</v>
      </c>
      <c r="CR53" s="13">
        <f>VLOOKUP(A53,'Données projet'!$A$139:$I$159,9,0)</f>
        <v>9.8000000000000007</v>
      </c>
      <c r="CS53" s="13">
        <f t="array" ref="CS53">INDEX(CR:CR,MIN(IF(ISNUMBER(CR53:CR249),ROW(CR53:CR249),"")))</f>
        <v>9.8000000000000007</v>
      </c>
      <c r="CT53" s="13">
        <f>IF('Données projet'!$A$140&gt;35,CT52+CS53-DB52,IF(A53&lt;'Données projet'!$A$140,$CQ$205^A53,IF(A53='Données projet'!$A$140,'Données projet'!$B$140,CT52+CS53-DB52)))</f>
        <v>302.99999999999994</v>
      </c>
      <c r="CU53" s="18">
        <f>CT53*VLOOKUP('Données projet'!$B$13,Paramètres!$A$1:$I$89,3,0)*VLOOKUP('Données projet'!$B$13,Paramètres!$A$1:$I$89,5,0)</f>
        <v>222.15959999999995</v>
      </c>
      <c r="CV53" s="14">
        <f t="shared" si="41"/>
        <v>54.583996923291004</v>
      </c>
      <c r="CW53" s="22">
        <f t="shared" si="13"/>
        <v>481.99509797473166</v>
      </c>
      <c r="CX53" s="62">
        <f t="shared" si="14"/>
        <v>775.32843130806498</v>
      </c>
      <c r="CY53" s="62">
        <f ca="1">AVERAGE(OFFSET($CX$3,0,0,'Données projet'!$E$13+1,1))-AVERAGE(OFFSET($H$3,0,0,'Données projet'!$E$13+1,1))</f>
        <v>376.5422416541544</v>
      </c>
      <c r="CZ53" s="62">
        <f t="shared" si="42"/>
        <v>365.76175372075869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11.005578670032227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11.005578670032227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439.06700232017681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2.2737367544323206E-13</v>
      </c>
      <c r="AJ54" s="14">
        <f>AI54*VLOOKUP('Données projet'!$B$10,Paramètres!$A$1:$I$89,3,0)*VLOOKUP('Données projet'!$B$10,Paramètres!$A$1:$I$89,5,0)</f>
        <v>2.0572770154103635E-13</v>
      </c>
      <c r="AK54" s="14">
        <f t="shared" si="35"/>
        <v>2.8416956338469711E-12</v>
      </c>
      <c r="AL54" s="22">
        <f t="shared" si="4"/>
        <v>5.3075956424674458E-12</v>
      </c>
      <c r="AM54" s="62">
        <f t="shared" si="5"/>
        <v>293.3333333333386</v>
      </c>
      <c r="AN54" s="62">
        <f ca="1">AVERAGE(OFFSET($AM$3,0,0,'Données projet'!$E$10+1,1))-AVERAGE(OFFSET($H$3,0,0,'Données projet'!$E$10+1,1))</f>
        <v>436.23918637269577</v>
      </c>
      <c r="AO54" s="62">
        <f t="shared" si="36"/>
        <v>611.43967996341894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0.55432056497973403</v>
      </c>
      <c r="AV54" s="23">
        <f>EXP(-LN(2)/25)*AV53+(1-EXP(-LN(2)/25))/(LN(2)/25)*Calculateur!AQ54*Calculateur!AS54*VLOOKUP('Données projet'!$B$10,Paramètres!$A$1:$I$89,3,0)*0.475*44/12</f>
        <v>0.81816045140379301</v>
      </c>
      <c r="AW54" s="23">
        <f>EXP(-LN(2)/2)*AW53+(1-EXP(-LN(2)/2))/(LN(2)/2)*AQ54*AT54*VLOOKUP('Données projet'!$B$10,Paramètres!$A$1:$I$89,3,0)*0.475*44/12</f>
        <v>4.1265771649947793E-3</v>
      </c>
      <c r="AX54" s="23">
        <f t="shared" si="6"/>
        <v>1.3766075935485218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10.375</v>
      </c>
      <c r="BD54" s="13">
        <f>IF('Données projet'!$A$88&gt;35,BD53+BC54-BL53,IF(A54&lt;'Données projet'!$A$88,$BA$205^A54,IF(A54='Données projet'!$A$88,'Données projet'!$B$88,BD53+BC54-BL53)))</f>
        <v>259.62499999999989</v>
      </c>
      <c r="BE54" s="14">
        <f>BD54*VLOOKUP('Données projet'!$B$11,Paramètres!$A$1:$I$89,3,0)*VLOOKUP('Données projet'!$B$11,Paramètres!$A$1:$I$89,5,0)</f>
        <v>202.50749999999991</v>
      </c>
      <c r="BF54" s="14">
        <f t="shared" si="37"/>
        <v>50.294840086606349</v>
      </c>
      <c r="BG54" s="22">
        <f t="shared" si="7"/>
        <v>440.29740898417253</v>
      </c>
      <c r="BH54" s="62">
        <f t="shared" si="8"/>
        <v>733.63074231750579</v>
      </c>
      <c r="BI54" s="62">
        <f ca="1">AVERAGE(OFFSET($BH$3,0,0,'Données projet'!$E$11+1,1))-AVERAGE(OFFSET($H$3,0,0,'Données projet'!$E$11+1,1))</f>
        <v>288.82868507674738</v>
      </c>
      <c r="BJ54" s="62">
        <f t="shared" si="38"/>
        <v>283.48738729114024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6.2</v>
      </c>
      <c r="BY54" s="13">
        <f>IF('Données projet'!$A$114&gt;35,BY53+BX54-CG53,IF(A54&lt;'Données projet'!$A$114,$BV$205^A54,IF(A54='Données projet'!$A$114,'Données projet'!$B$114,BY53+BX54-CG53)))</f>
        <v>207.2</v>
      </c>
      <c r="BZ54" s="14">
        <f>BY54*VLOOKUP('Données projet'!$B$12,Paramètres!$A$1:$I$89,3,0)*VLOOKUP('Données projet'!$B$12,Paramètres!$A$1:$I$89,5,0)</f>
        <v>164.84832</v>
      </c>
      <c r="CA54" s="14">
        <f t="shared" si="39"/>
        <v>41.934160358278433</v>
      </c>
      <c r="CB54" s="22">
        <f t="shared" si="10"/>
        <v>360.14615329066828</v>
      </c>
      <c r="CC54" s="62">
        <f t="shared" si="11"/>
        <v>653.47948662400154</v>
      </c>
      <c r="CD54" s="62">
        <f ca="1">AVERAGE(OFFSET($CC$3,0,0,'Données projet'!$E$12+1,1))-AVERAGE(OFFSET($H$3,0,0,'Données projet'!$E$12+1,1))</f>
        <v>298.89893065707554</v>
      </c>
      <c r="CE54" s="62">
        <f t="shared" si="40"/>
        <v>294.28794439094878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8.4</v>
      </c>
      <c r="CT54" s="13">
        <f>IF('Données projet'!$A$140&gt;35,CT53+CS54-DB53,IF(A54&lt;'Données projet'!$A$140,$CQ$205^A54,IF(A54='Données projet'!$A$140,'Données projet'!$B$140,CT53+CS54-DB53)))</f>
        <v>290.39999999999992</v>
      </c>
      <c r="CU54" s="18">
        <f>CT54*VLOOKUP('Données projet'!$B$13,Paramètres!$A$1:$I$89,3,0)*VLOOKUP('Données projet'!$B$13,Paramètres!$A$1:$I$89,5,0)</f>
        <v>212.92127999999991</v>
      </c>
      <c r="CV54" s="14">
        <f t="shared" si="41"/>
        <v>52.57344469809297</v>
      </c>
      <c r="CW54" s="22">
        <f t="shared" si="13"/>
        <v>462.4033121825118</v>
      </c>
      <c r="CX54" s="62">
        <f t="shared" si="14"/>
        <v>755.73664551584511</v>
      </c>
      <c r="CY54" s="62">
        <f ca="1">AVERAGE(OFFSET($CX$3,0,0,'Données projet'!$E$13+1,1))-AVERAGE(OFFSET($H$3,0,0,'Données projet'!$E$13+1,1))</f>
        <v>376.5422416541544</v>
      </c>
      <c r="CZ54" s="62">
        <f t="shared" si="42"/>
        <v>365.76175372075869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10.704630542541967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10.704630542541967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439.06700232017681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2.2737367544323206E-13</v>
      </c>
      <c r="AJ55" s="14">
        <f>AI55*VLOOKUP('Données projet'!$B$10,Paramètres!$A$1:$I$89,3,0)*VLOOKUP('Données projet'!$B$10,Paramètres!$A$1:$I$89,5,0)</f>
        <v>2.0572770154103635E-13</v>
      </c>
      <c r="AK55" s="14">
        <f t="shared" si="35"/>
        <v>2.8416956338469711E-12</v>
      </c>
      <c r="AL55" s="22">
        <f t="shared" si="4"/>
        <v>5.3075956424674458E-12</v>
      </c>
      <c r="AM55" s="62">
        <f t="shared" si="5"/>
        <v>293.3333333333386</v>
      </c>
      <c r="AN55" s="62">
        <f ca="1">AVERAGE(OFFSET($AM$3,0,0,'Données projet'!$E$10+1,1))-AVERAGE(OFFSET($H$3,0,0,'Données projet'!$E$10+1,1))</f>
        <v>436.23918637269577</v>
      </c>
      <c r="AO55" s="62">
        <f t="shared" si="36"/>
        <v>611.43967996341894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0.54345067680264125</v>
      </c>
      <c r="AV55" s="23">
        <f>EXP(-LN(2)/25)*AV54+(1-EXP(-LN(2)/25))/(LN(2)/25)*Calculateur!AQ55*Calculateur!AS55*VLOOKUP('Données projet'!$B$10,Paramètres!$A$1:$I$89,3,0)*0.475*44/12</f>
        <v>0.79578781083496808</v>
      </c>
      <c r="AW55" s="23">
        <f>EXP(-LN(2)/2)*AW54+(1-EXP(-LN(2)/2))/(LN(2)/2)*AQ55*AT55*VLOOKUP('Données projet'!$B$10,Paramètres!$A$1:$I$89,3,0)*0.475*44/12</f>
        <v>2.917930696457367E-3</v>
      </c>
      <c r="AX55" s="23">
        <f t="shared" si="6"/>
        <v>1.3421564183340666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270</v>
      </c>
      <c r="BB55" s="13">
        <f>VLOOKUP(A55,'Données projet'!$A$87:$I$107,9,0)</f>
        <v>10.375</v>
      </c>
      <c r="BC55" s="13">
        <f t="array" ref="BC55">INDEX(BB:BB,MIN(IF(ISNUMBER(BB55:BB251),ROW(BB55:BB251),"")))</f>
        <v>10.375</v>
      </c>
      <c r="BD55" s="13">
        <f>IF('Données projet'!$A$88&gt;35,BD54+BC55-BL54,IF(A55&lt;'Données projet'!$A$88,$BA$205^A55,IF(A55='Données projet'!$A$88,'Données projet'!$B$88,BD54+BC55-BL54)))</f>
        <v>269.99999999999989</v>
      </c>
      <c r="BE55" s="14">
        <f>BD55*VLOOKUP('Données projet'!$B$11,Paramètres!$A$1:$I$89,3,0)*VLOOKUP('Données projet'!$B$11,Paramètres!$A$1:$I$89,5,0)</f>
        <v>210.59999999999991</v>
      </c>
      <c r="BF55" s="14">
        <f t="shared" si="37"/>
        <v>52.066679014659961</v>
      </c>
      <c r="BG55" s="22">
        <f t="shared" si="7"/>
        <v>457.47779928386586</v>
      </c>
      <c r="BH55" s="62">
        <f t="shared" si="8"/>
        <v>750.81113261719918</v>
      </c>
      <c r="BI55" s="62">
        <f ca="1">AVERAGE(OFFSET($BH$3,0,0,'Données projet'!$E$11+1,1))-AVERAGE(OFFSET($H$3,0,0,'Données projet'!$E$11+1,1))</f>
        <v>288.82868507674738</v>
      </c>
      <c r="BJ55" s="62">
        <f t="shared" si="38"/>
        <v>283.48738729114024</v>
      </c>
      <c r="BK55" s="16">
        <f>IF(ISNA(VLOOKUP(A55,'Données projet'!$A$87:$I$107,3,0)),0,VLOOKUP(A55,'Données projet'!$A$87:$I$107,3,0))</f>
        <v>7</v>
      </c>
      <c r="BL55" s="16">
        <f>IF(ISNA(VLOOKUP(A55,'Données projet'!$A$87:$I$107,4,0)),0,VLOOKUP(A55,'Données projet'!$A$87:$I$107,4,0))</f>
        <v>48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6.2</v>
      </c>
      <c r="BY55" s="13">
        <f>IF('Données projet'!$A$114&gt;35,BY54+BX55-CG54,IF(A55&lt;'Données projet'!$A$114,$BV$205^A55,IF(A55='Données projet'!$A$114,'Données projet'!$B$114,BY54+BX55-CG54)))</f>
        <v>213.39999999999998</v>
      </c>
      <c r="BZ55" s="14">
        <f>BY55*VLOOKUP('Données projet'!$B$12,Paramètres!$A$1:$I$89,3,0)*VLOOKUP('Données projet'!$B$12,Paramètres!$A$1:$I$89,5,0)</f>
        <v>169.78103999999999</v>
      </c>
      <c r="CA55" s="14">
        <f t="shared" si="39"/>
        <v>43.040980151296445</v>
      </c>
      <c r="CB55" s="22">
        <f t="shared" si="10"/>
        <v>370.6650184301746</v>
      </c>
      <c r="CC55" s="62">
        <f t="shared" si="11"/>
        <v>663.99835176350791</v>
      </c>
      <c r="CD55" s="62">
        <f ca="1">AVERAGE(OFFSET($CC$3,0,0,'Données projet'!$E$12+1,1))-AVERAGE(OFFSET($H$3,0,0,'Données projet'!$E$12+1,1))</f>
        <v>298.89893065707554</v>
      </c>
      <c r="CE55" s="62">
        <f t="shared" si="40"/>
        <v>294.28794439094878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8.4</v>
      </c>
      <c r="CT55" s="13">
        <f>IF('Données projet'!$A$140&gt;35,CT54+CS55-DB54,IF(A55&lt;'Données projet'!$A$140,$CQ$205^A55,IF(A55='Données projet'!$A$140,'Données projet'!$B$140,CT54+CS55-DB54)))</f>
        <v>298.7999999999999</v>
      </c>
      <c r="CU55" s="18">
        <f>CT55*VLOOKUP('Données projet'!$B$13,Paramètres!$A$1:$I$89,3,0)*VLOOKUP('Données projet'!$B$13,Paramètres!$A$1:$I$89,5,0)</f>
        <v>219.08015999999992</v>
      </c>
      <c r="CV55" s="14">
        <f t="shared" si="41"/>
        <v>53.914914316401685</v>
      </c>
      <c r="CW55" s="22">
        <f t="shared" si="13"/>
        <v>475.46642110106609</v>
      </c>
      <c r="CX55" s="62">
        <f t="shared" si="14"/>
        <v>768.79975443439935</v>
      </c>
      <c r="CY55" s="62">
        <f ca="1">AVERAGE(OFFSET($CX$3,0,0,'Données projet'!$E$13+1,1))-AVERAGE(OFFSET($H$3,0,0,'Données projet'!$E$13+1,1))</f>
        <v>376.5422416541544</v>
      </c>
      <c r="CZ55" s="62">
        <f t="shared" si="42"/>
        <v>365.76175372075869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10.411911857424101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10.411911857424101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439.06700232017681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2.2737367544323206E-13</v>
      </c>
      <c r="AJ56" s="14">
        <f>AI56*VLOOKUP('Données projet'!$B$10,Paramètres!$A$1:$I$89,3,0)*VLOOKUP('Données projet'!$B$10,Paramètres!$A$1:$I$89,5,0)</f>
        <v>2.0572770154103635E-13</v>
      </c>
      <c r="AK56" s="14">
        <f t="shared" si="35"/>
        <v>2.8416956338469711E-12</v>
      </c>
      <c r="AL56" s="22">
        <f t="shared" si="4"/>
        <v>5.3075956424674458E-12</v>
      </c>
      <c r="AM56" s="62">
        <f t="shared" si="5"/>
        <v>293.3333333333386</v>
      </c>
      <c r="AN56" s="62">
        <f ca="1">AVERAGE(OFFSET($AM$3,0,0,'Données projet'!$E$10+1,1))-AVERAGE(OFFSET($H$3,0,0,'Données projet'!$E$10+1,1))</f>
        <v>436.23918637269577</v>
      </c>
      <c r="AO56" s="62">
        <f t="shared" si="36"/>
        <v>611.43967996341894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0.53279394050272411</v>
      </c>
      <c r="AV56" s="23">
        <f>EXP(-LN(2)/25)*AV55+(1-EXP(-LN(2)/25))/(LN(2)/25)*Calculateur!AQ56*Calculateur!AS56*VLOOKUP('Données projet'!$B$10,Paramètres!$A$1:$I$89,3,0)*0.475*44/12</f>
        <v>0.77402695129902366</v>
      </c>
      <c r="AW56" s="23">
        <f>EXP(-LN(2)/2)*AW55+(1-EXP(-LN(2)/2))/(LN(2)/2)*AQ56*AT56*VLOOKUP('Données projet'!$B$10,Paramètres!$A$1:$I$89,3,0)*0.475*44/12</f>
        <v>2.0632885824973897E-3</v>
      </c>
      <c r="AX56" s="23">
        <f t="shared" si="6"/>
        <v>1.308884180384245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231.37499999999989</v>
      </c>
      <c r="BE56" s="14">
        <f>BD56*VLOOKUP('Données projet'!$B$11,Paramètres!$A$1:$I$89,3,0)*VLOOKUP('Données projet'!$B$11,Paramètres!$A$1:$I$89,5,0)</f>
        <v>180.47249999999991</v>
      </c>
      <c r="BF56" s="14">
        <f t="shared" si="37"/>
        <v>45.427292666837829</v>
      </c>
      <c r="BG56" s="22">
        <f t="shared" si="7"/>
        <v>393.44213889474241</v>
      </c>
      <c r="BH56" s="62">
        <f t="shared" si="8"/>
        <v>686.77547222807573</v>
      </c>
      <c r="BI56" s="62">
        <f ca="1">AVERAGE(OFFSET($BH$3,0,0,'Données projet'!$E$11+1,1))-AVERAGE(OFFSET($H$3,0,0,'Données projet'!$E$11+1,1))</f>
        <v>288.82868507674738</v>
      </c>
      <c r="BJ56" s="62">
        <f t="shared" si="38"/>
        <v>283.48738729114024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6.2</v>
      </c>
      <c r="BY56" s="13">
        <f>IF('Données projet'!$A$114&gt;35,BY55+BX56-CG55,IF(A56&lt;'Données projet'!$A$114,$BV$205^A56,IF(A56='Données projet'!$A$114,'Données projet'!$B$114,BY55+BX56-CG55)))</f>
        <v>219.59999999999997</v>
      </c>
      <c r="BZ56" s="14">
        <f>BY56*VLOOKUP('Données projet'!$B$12,Paramètres!$A$1:$I$89,3,0)*VLOOKUP('Données projet'!$B$12,Paramètres!$A$1:$I$89,5,0)</f>
        <v>174.71375999999998</v>
      </c>
      <c r="CA56" s="14">
        <f t="shared" si="39"/>
        <v>44.144062647515817</v>
      </c>
      <c r="CB56" s="22">
        <f t="shared" si="10"/>
        <v>381.17737444442332</v>
      </c>
      <c r="CC56" s="62">
        <f t="shared" si="11"/>
        <v>674.51070777775658</v>
      </c>
      <c r="CD56" s="62">
        <f ca="1">AVERAGE(OFFSET($CC$3,0,0,'Données projet'!$E$12+1,1))-AVERAGE(OFFSET($H$3,0,0,'Données projet'!$E$12+1,1))</f>
        <v>298.89893065707554</v>
      </c>
      <c r="CE56" s="62">
        <f t="shared" si="40"/>
        <v>294.28794439094878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8.4</v>
      </c>
      <c r="CT56" s="13">
        <f>IF('Données projet'!$A$140&gt;35,CT55+CS56-DB55,IF(A56&lt;'Données projet'!$A$140,$CQ$205^A56,IF(A56='Données projet'!$A$140,'Données projet'!$B$140,CT55+CS56-DB55)))</f>
        <v>307.19999999999987</v>
      </c>
      <c r="CU56" s="18">
        <f>CT56*VLOOKUP('Données projet'!$B$13,Paramètres!$A$1:$I$89,3,0)*VLOOKUP('Données projet'!$B$13,Paramètres!$A$1:$I$89,5,0)</f>
        <v>225.2390399999999</v>
      </c>
      <c r="CV56" s="14">
        <f t="shared" si="41"/>
        <v>55.252000822487368</v>
      </c>
      <c r="CW56" s="22">
        <f t="shared" si="13"/>
        <v>488.5218960991653</v>
      </c>
      <c r="CX56" s="62">
        <f t="shared" si="14"/>
        <v>781.85522943249862</v>
      </c>
      <c r="CY56" s="62">
        <f ca="1">AVERAGE(OFFSET($CX$3,0,0,'Données projet'!$E$13+1,1))-AVERAGE(OFFSET($H$3,0,0,'Données projet'!$E$13+1,1))</f>
        <v>376.5422416541544</v>
      </c>
      <c r="CZ56" s="62">
        <f t="shared" si="42"/>
        <v>365.76175372075869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10.127197580144191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10.127197580144191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439.06700232017681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2.2737367544323206E-13</v>
      </c>
      <c r="AJ57" s="14">
        <f>AI57*VLOOKUP('Données projet'!$B$10,Paramètres!$A$1:$I$89,3,0)*VLOOKUP('Données projet'!$B$10,Paramètres!$A$1:$I$89,5,0)</f>
        <v>2.0572770154103635E-13</v>
      </c>
      <c r="AK57" s="14">
        <f t="shared" si="35"/>
        <v>2.8416956338469711E-12</v>
      </c>
      <c r="AL57" s="22">
        <f t="shared" si="4"/>
        <v>5.3075956424674458E-12</v>
      </c>
      <c r="AM57" s="62">
        <f t="shared" si="5"/>
        <v>293.3333333333386</v>
      </c>
      <c r="AN57" s="62">
        <f ca="1">AVERAGE(OFFSET($AM$3,0,0,'Données projet'!$E$10+1,1))-AVERAGE(OFFSET($H$3,0,0,'Données projet'!$E$10+1,1))</f>
        <v>436.23918637269577</v>
      </c>
      <c r="AO57" s="62">
        <f t="shared" si="36"/>
        <v>611.43967996341894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0.52234617630168101</v>
      </c>
      <c r="AV57" s="23">
        <f>EXP(-LN(2)/25)*AV56+(1-EXP(-LN(2)/25))/(LN(2)/25)*Calculateur!AQ57*Calculateur!AS57*VLOOKUP('Données projet'!$B$10,Paramètres!$A$1:$I$89,3,0)*0.475*44/12</f>
        <v>0.75286114361144352</v>
      </c>
      <c r="AW57" s="23">
        <f>EXP(-LN(2)/2)*AW56+(1-EXP(-LN(2)/2))/(LN(2)/2)*AQ57*AT57*VLOOKUP('Données projet'!$B$10,Paramètres!$A$1:$I$89,3,0)*0.475*44/12</f>
        <v>1.4589653482286835E-3</v>
      </c>
      <c r="AX57" s="23">
        <f t="shared" si="6"/>
        <v>1.2766662852613531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9.375</v>
      </c>
      <c r="BD57" s="13">
        <f>IF('Données projet'!$A$88&gt;35,BD56+BC57-BL56,IF(A57&lt;'Données projet'!$A$88,$BA$205^A57,IF(A57='Données projet'!$A$88,'Données projet'!$B$88,BD56+BC57-BL56)))</f>
        <v>240.74999999999989</v>
      </c>
      <c r="BE57" s="14">
        <f>BD57*VLOOKUP('Données projet'!$B$11,Paramètres!$A$1:$I$89,3,0)*VLOOKUP('Données projet'!$B$11,Paramètres!$A$1:$I$89,5,0)</f>
        <v>187.78499999999991</v>
      </c>
      <c r="BF57" s="14">
        <f t="shared" si="37"/>
        <v>47.049914090154054</v>
      </c>
      <c r="BG57" s="22">
        <f t="shared" si="7"/>
        <v>409.0041420403515</v>
      </c>
      <c r="BH57" s="62">
        <f t="shared" si="8"/>
        <v>702.33747537368481</v>
      </c>
      <c r="BI57" s="62">
        <f ca="1">AVERAGE(OFFSET($BH$3,0,0,'Données projet'!$E$11+1,1))-AVERAGE(OFFSET($H$3,0,0,'Données projet'!$E$11+1,1))</f>
        <v>288.82868507674738</v>
      </c>
      <c r="BJ57" s="62">
        <f t="shared" si="38"/>
        <v>283.48738729114024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6.2</v>
      </c>
      <c r="BY57" s="13">
        <f>IF('Données projet'!$A$114&gt;35,BY56+BX57-CG56,IF(A57&lt;'Données projet'!$A$114,$BV$205^A57,IF(A57='Données projet'!$A$114,'Données projet'!$B$114,BY56+BX57-CG56)))</f>
        <v>225.79999999999995</v>
      </c>
      <c r="BZ57" s="14">
        <f>BY57*VLOOKUP('Données projet'!$B$12,Paramètres!$A$1:$I$89,3,0)*VLOOKUP('Données projet'!$B$12,Paramètres!$A$1:$I$89,5,0)</f>
        <v>179.64647999999997</v>
      </c>
      <c r="CA57" s="14">
        <f t="shared" si="39"/>
        <v>45.24352548294069</v>
      </c>
      <c r="CB57" s="22">
        <f t="shared" si="10"/>
        <v>391.68342621612163</v>
      </c>
      <c r="CC57" s="62">
        <f t="shared" si="11"/>
        <v>685.01675954945495</v>
      </c>
      <c r="CD57" s="62">
        <f ca="1">AVERAGE(OFFSET($CC$3,0,0,'Données projet'!$E$12+1,1))-AVERAGE(OFFSET($H$3,0,0,'Données projet'!$E$12+1,1))</f>
        <v>298.89893065707554</v>
      </c>
      <c r="CE57" s="62">
        <f t="shared" si="40"/>
        <v>294.28794439094878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8.4</v>
      </c>
      <c r="CT57" s="13">
        <f>IF('Données projet'!$A$140&gt;35,CT56+CS57-DB56,IF(A57&lt;'Données projet'!$A$140,$CQ$205^A57,IF(A57='Données projet'!$A$140,'Données projet'!$B$140,CT56+CS57-DB56)))</f>
        <v>315.59999999999985</v>
      </c>
      <c r="CU57" s="18">
        <f>CT57*VLOOKUP('Données projet'!$B$13,Paramètres!$A$1:$I$89,3,0)*VLOOKUP('Données projet'!$B$13,Paramètres!$A$1:$I$89,5,0)</f>
        <v>231.39791999999986</v>
      </c>
      <c r="CV57" s="14">
        <f t="shared" si="41"/>
        <v>56.584837838715806</v>
      </c>
      <c r="CW57" s="22">
        <f t="shared" si="13"/>
        <v>501.5699699024297</v>
      </c>
      <c r="CX57" s="62">
        <f t="shared" si="14"/>
        <v>794.90330323576302</v>
      </c>
      <c r="CY57" s="62">
        <f ca="1">AVERAGE(OFFSET($CX$3,0,0,'Données projet'!$E$13+1,1))-AVERAGE(OFFSET($H$3,0,0,'Données projet'!$E$13+1,1))</f>
        <v>376.5422416541544</v>
      </c>
      <c r="CZ57" s="62">
        <f t="shared" si="42"/>
        <v>365.76175372075869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9.8502688297489733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9.8502688297489733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439.06700232017681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2.2737367544323206E-13</v>
      </c>
      <c r="AJ58" s="14">
        <f>AI58*VLOOKUP('Données projet'!$B$10,Paramètres!$A$1:$I$89,3,0)*VLOOKUP('Données projet'!$B$10,Paramètres!$A$1:$I$89,5,0)</f>
        <v>2.0572770154103635E-13</v>
      </c>
      <c r="AK58" s="14">
        <f t="shared" si="35"/>
        <v>2.8416956338469711E-12</v>
      </c>
      <c r="AL58" s="22">
        <f t="shared" si="4"/>
        <v>5.3075956424674458E-12</v>
      </c>
      <c r="AM58" s="62">
        <f t="shared" si="5"/>
        <v>293.3333333333386</v>
      </c>
      <c r="AN58" s="62">
        <f ca="1">AVERAGE(OFFSET($AM$3,0,0,'Données projet'!$E$10+1,1))-AVERAGE(OFFSET($H$3,0,0,'Données projet'!$E$10+1,1))</f>
        <v>436.23918637269577</v>
      </c>
      <c r="AO58" s="62">
        <f t="shared" si="36"/>
        <v>611.43967996341894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0.51210328638411351</v>
      </c>
      <c r="AV58" s="23">
        <f>EXP(-LN(2)/25)*AV57+(1-EXP(-LN(2)/25))/(LN(2)/25)*Calculateur!AQ58*Calculateur!AS58*VLOOKUP('Données projet'!$B$10,Paramètres!$A$1:$I$89,3,0)*0.475*44/12</f>
        <v>0.73227411604814174</v>
      </c>
      <c r="AW58" s="23">
        <f>EXP(-LN(2)/2)*AW57+(1-EXP(-LN(2)/2))/(LN(2)/2)*AQ58*AT58*VLOOKUP('Données projet'!$B$10,Paramètres!$A$1:$I$89,3,0)*0.475*44/12</f>
        <v>1.0316442912486948E-3</v>
      </c>
      <c r="AX58" s="23">
        <f t="shared" si="6"/>
        <v>1.2454090467235039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9.375</v>
      </c>
      <c r="BD58" s="13">
        <f>IF('Données projet'!$A$88&gt;35,BD57+BC58-BL57,IF(A58&lt;'Données projet'!$A$88,$BA$205^A58,IF(A58='Données projet'!$A$88,'Données projet'!$B$88,BD57+BC58-BL57)))</f>
        <v>250.12499999999989</v>
      </c>
      <c r="BE58" s="14">
        <f>BD58*VLOOKUP('Données projet'!$B$11,Paramètres!$A$1:$I$89,3,0)*VLOOKUP('Données projet'!$B$11,Paramètres!$A$1:$I$89,5,0)</f>
        <v>195.09749999999991</v>
      </c>
      <c r="BF58" s="14">
        <f t="shared" si="37"/>
        <v>48.66519532492579</v>
      </c>
      <c r="BG58" s="22">
        <f t="shared" si="7"/>
        <v>424.55336102424553</v>
      </c>
      <c r="BH58" s="62">
        <f t="shared" si="8"/>
        <v>717.88669435757879</v>
      </c>
      <c r="BI58" s="62">
        <f ca="1">AVERAGE(OFFSET($BH$3,0,0,'Données projet'!$E$11+1,1))-AVERAGE(OFFSET($H$3,0,0,'Données projet'!$E$11+1,1))</f>
        <v>288.82868507674738</v>
      </c>
      <c r="BJ58" s="62">
        <f t="shared" si="38"/>
        <v>283.48738729114024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232</v>
      </c>
      <c r="BW58" s="13">
        <f>VLOOKUP(A58,'Données projet'!$A$113:$I$133,9,0)</f>
        <v>6.2</v>
      </c>
      <c r="BX58" s="13">
        <f t="array" ref="BX58">INDEX(BW:BW,MIN(IF(ISNUMBER(BW58:BW254),ROW(BW58:BW254),"")))</f>
        <v>6.2</v>
      </c>
      <c r="BY58" s="13">
        <f>IF('Données projet'!$A$114&gt;35,BY57+BX58-CG57,IF(A58&lt;'Données projet'!$A$114,$BV$205^A58,IF(A58='Données projet'!$A$114,'Données projet'!$B$114,BY57+BX58-CG57)))</f>
        <v>231.99999999999994</v>
      </c>
      <c r="BZ58" s="14">
        <f>BY58*VLOOKUP('Données projet'!$B$12,Paramètres!$A$1:$I$89,3,0)*VLOOKUP('Données projet'!$B$12,Paramètres!$A$1:$I$89,5,0)</f>
        <v>184.57919999999999</v>
      </c>
      <c r="CA58" s="14">
        <f t="shared" si="39"/>
        <v>46.339479465836618</v>
      </c>
      <c r="CB58" s="22">
        <f t="shared" si="10"/>
        <v>402.18336673633206</v>
      </c>
      <c r="CC58" s="62">
        <f t="shared" si="11"/>
        <v>695.51670006966538</v>
      </c>
      <c r="CD58" s="62">
        <f ca="1">AVERAGE(OFFSET($CC$3,0,0,'Données projet'!$E$12+1,1))-AVERAGE(OFFSET($H$3,0,0,'Données projet'!$E$12+1,1))</f>
        <v>298.89893065707554</v>
      </c>
      <c r="CE58" s="62">
        <f t="shared" si="40"/>
        <v>294.28794439094878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13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324</v>
      </c>
      <c r="CR58" s="13">
        <f>VLOOKUP(A58,'Données projet'!$A$139:$I$159,9,0)</f>
        <v>8.4</v>
      </c>
      <c r="CS58" s="13">
        <f t="array" ref="CS58">INDEX(CR:CR,MIN(IF(ISNUMBER(CR58:CR254),ROW(CR58:CR254),"")))</f>
        <v>8.4</v>
      </c>
      <c r="CT58" s="13">
        <f>IF('Données projet'!$A$140&gt;35,CT57+CS58-DB57,IF(A58&lt;'Données projet'!$A$140,$CQ$205^A58,IF(A58='Données projet'!$A$140,'Données projet'!$B$140,CT57+CS58-DB57)))</f>
        <v>323.99999999999983</v>
      </c>
      <c r="CU58" s="18">
        <f>CT58*VLOOKUP('Données projet'!$B$13,Paramètres!$A$1:$I$89,3,0)*VLOOKUP('Données projet'!$B$13,Paramètres!$A$1:$I$89,5,0)</f>
        <v>237.55679999999987</v>
      </c>
      <c r="CV58" s="14">
        <f t="shared" si="41"/>
        <v>57.913551469467308</v>
      </c>
      <c r="CW58" s="22">
        <f t="shared" si="13"/>
        <v>514.61086214265526</v>
      </c>
      <c r="CX58" s="62">
        <f t="shared" si="14"/>
        <v>807.94419547598864</v>
      </c>
      <c r="CY58" s="62">
        <f ca="1">AVERAGE(OFFSET($CX$3,0,0,'Données projet'!$E$13+1,1))-AVERAGE(OFFSET($H$3,0,0,'Données projet'!$E$13+1,1))</f>
        <v>376.5422416541544</v>
      </c>
      <c r="CZ58" s="62">
        <f t="shared" si="42"/>
        <v>365.76175372075869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18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9.5809127105963636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9.5809127105963636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439.06700232017681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2.2737367544323206E-13</v>
      </c>
      <c r="AJ59" s="14">
        <f>AI59*VLOOKUP('Données projet'!$B$10,Paramètres!$A$1:$I$89,3,0)*VLOOKUP('Données projet'!$B$10,Paramètres!$A$1:$I$89,5,0)</f>
        <v>2.0572770154103635E-13</v>
      </c>
      <c r="AK59" s="14">
        <f t="shared" si="35"/>
        <v>2.8416956338469711E-12</v>
      </c>
      <c r="AL59" s="22">
        <f t="shared" si="4"/>
        <v>5.3075956424674458E-12</v>
      </c>
      <c r="AM59" s="62">
        <f t="shared" si="5"/>
        <v>293.3333333333386</v>
      </c>
      <c r="AN59" s="62">
        <f ca="1">AVERAGE(OFFSET($AM$3,0,0,'Données projet'!$E$10+1,1))-AVERAGE(OFFSET($H$3,0,0,'Données projet'!$E$10+1,1))</f>
        <v>436.23918637269577</v>
      </c>
      <c r="AO59" s="62">
        <f t="shared" si="36"/>
        <v>611.43967996341894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0.5020612532902835</v>
      </c>
      <c r="AV59" s="23">
        <f>EXP(-LN(2)/25)*AV58+(1-EXP(-LN(2)/25))/(LN(2)/25)*Calculateur!AQ59*Calculateur!AS59*VLOOKUP('Données projet'!$B$10,Paramètres!$A$1:$I$89,3,0)*0.475*44/12</f>
        <v>0.71225004183618323</v>
      </c>
      <c r="AW59" s="23">
        <f>EXP(-LN(2)/2)*AW58+(1-EXP(-LN(2)/2))/(LN(2)/2)*AQ59*AT59*VLOOKUP('Données projet'!$B$10,Paramètres!$A$1:$I$89,3,0)*0.475*44/12</f>
        <v>7.2948267411434176E-4</v>
      </c>
      <c r="AX59" s="23">
        <f t="shared" si="6"/>
        <v>1.2150407778005812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9.375</v>
      </c>
      <c r="BD59" s="13">
        <f>IF('Données projet'!$A$88&gt;35,BD58+BC59-BL58,IF(A59&lt;'Données projet'!$A$88,$BA$205^A59,IF(A59='Données projet'!$A$88,'Données projet'!$B$88,BD58+BC59-BL58)))</f>
        <v>259.49999999999989</v>
      </c>
      <c r="BE59" s="14">
        <f>BD59*VLOOKUP('Données projet'!$B$11,Paramètres!$A$1:$I$89,3,0)*VLOOKUP('Données projet'!$B$11,Paramètres!$A$1:$I$89,5,0)</f>
        <v>202.40999999999991</v>
      </c>
      <c r="BF59" s="14">
        <f t="shared" si="37"/>
        <v>50.273442991661817</v>
      </c>
      <c r="BG59" s="22">
        <f t="shared" si="7"/>
        <v>440.09032987714414</v>
      </c>
      <c r="BH59" s="62">
        <f t="shared" si="8"/>
        <v>733.42366321047746</v>
      </c>
      <c r="BI59" s="62">
        <f ca="1">AVERAGE(OFFSET($BH$3,0,0,'Données projet'!$E$11+1,1))-AVERAGE(OFFSET($H$3,0,0,'Données projet'!$E$11+1,1))</f>
        <v>288.82868507674738</v>
      </c>
      <c r="BJ59" s="62">
        <f t="shared" si="38"/>
        <v>283.48738729114024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5.2</v>
      </c>
      <c r="BY59" s="13">
        <f>IF('Données projet'!$A$114&gt;35,BY58+BX59-CG58,IF(A59&lt;'Données projet'!$A$114,$BV$205^A59,IF(A59='Données projet'!$A$114,'Données projet'!$B$114,BY58+BX59-CG58)))</f>
        <v>224.19999999999993</v>
      </c>
      <c r="BZ59" s="14">
        <f>BY59*VLOOKUP('Données projet'!$B$12,Paramètres!$A$1:$I$89,3,0)*VLOOKUP('Données projet'!$B$12,Paramètres!$A$1:$I$89,5,0)</f>
        <v>178.37351999999996</v>
      </c>
      <c r="CA59" s="14">
        <f t="shared" si="39"/>
        <v>44.960133388294842</v>
      </c>
      <c r="CB59" s="22">
        <f t="shared" si="10"/>
        <v>388.97277965128006</v>
      </c>
      <c r="CC59" s="62">
        <f t="shared" si="11"/>
        <v>682.30611298461338</v>
      </c>
      <c r="CD59" s="62">
        <f ca="1">AVERAGE(OFFSET($CC$3,0,0,'Données projet'!$E$12+1,1))-AVERAGE(OFFSET($H$3,0,0,'Données projet'!$E$12+1,1))</f>
        <v>298.89893065707554</v>
      </c>
      <c r="CE59" s="62">
        <f t="shared" si="40"/>
        <v>294.28794439094878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313.39999999999981</v>
      </c>
      <c r="CU59" s="18">
        <f>CT59*VLOOKUP('Données projet'!$B$13,Paramètres!$A$1:$I$89,3,0)*VLOOKUP('Données projet'!$B$13,Paramètres!$A$1:$I$89,5,0)</f>
        <v>229.78487999999984</v>
      </c>
      <c r="CV59" s="14">
        <f t="shared" si="41"/>
        <v>56.236165024777975</v>
      </c>
      <c r="CW59" s="22">
        <f t="shared" si="13"/>
        <v>498.15332008482136</v>
      </c>
      <c r="CX59" s="62">
        <f t="shared" si="14"/>
        <v>791.48665341815467</v>
      </c>
      <c r="CY59" s="62">
        <f ca="1">AVERAGE(OFFSET($CX$3,0,0,'Données projet'!$E$13+1,1))-AVERAGE(OFFSET($H$3,0,0,'Données projet'!$E$13+1,1))</f>
        <v>376.5422416541544</v>
      </c>
      <c r="CZ59" s="62">
        <f t="shared" si="42"/>
        <v>365.76175372075869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9.3189221486868039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9.3189221486868039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439.06700232017681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2.2737367544323206E-13</v>
      </c>
      <c r="AJ60" s="14">
        <f>AI60*VLOOKUP('Données projet'!$B$10,Paramètres!$A$1:$I$89,3,0)*VLOOKUP('Données projet'!$B$10,Paramètres!$A$1:$I$89,5,0)</f>
        <v>2.0572770154103635E-13</v>
      </c>
      <c r="AK60" s="14">
        <f t="shared" si="35"/>
        <v>2.8416956338469711E-12</v>
      </c>
      <c r="AL60" s="22">
        <f t="shared" si="4"/>
        <v>5.3075956424674458E-12</v>
      </c>
      <c r="AM60" s="62">
        <f t="shared" si="5"/>
        <v>293.3333333333386</v>
      </c>
      <c r="AN60" s="62">
        <f ca="1">AVERAGE(OFFSET($AM$3,0,0,'Données projet'!$E$10+1,1))-AVERAGE(OFFSET($H$3,0,0,'Données projet'!$E$10+1,1))</f>
        <v>436.23918637269577</v>
      </c>
      <c r="AO60" s="62">
        <f t="shared" si="36"/>
        <v>611.43967996341894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0.49221613834038813</v>
      </c>
      <c r="AV60" s="23">
        <f>EXP(-LN(2)/25)*AV59+(1-EXP(-LN(2)/25))/(LN(2)/25)*Calculateur!AQ60*Calculateur!AS60*VLOOKUP('Données projet'!$B$10,Paramètres!$A$1:$I$89,3,0)*0.475*44/12</f>
        <v>0.69277352698657102</v>
      </c>
      <c r="AW60" s="23">
        <f>EXP(-LN(2)/2)*AW59+(1-EXP(-LN(2)/2))/(LN(2)/2)*AQ60*AT60*VLOOKUP('Données projet'!$B$10,Paramètres!$A$1:$I$89,3,0)*0.475*44/12</f>
        <v>5.1582214562434742E-4</v>
      </c>
      <c r="AX60" s="23">
        <f t="shared" si="6"/>
        <v>1.1855054874725834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9.375</v>
      </c>
      <c r="BD60" s="13">
        <f>IF('Données projet'!$A$88&gt;35,BD59+BC60-BL59,IF(A60&lt;'Données projet'!$A$88,$BA$205^A60,IF(A60='Données projet'!$A$88,'Données projet'!$B$88,BD59+BC60-BL59)))</f>
        <v>268.87499999999989</v>
      </c>
      <c r="BE60" s="14">
        <f>BD60*VLOOKUP('Données projet'!$B$11,Paramètres!$A$1:$I$89,3,0)*VLOOKUP('Données projet'!$B$11,Paramètres!$A$1:$I$89,5,0)</f>
        <v>209.72249999999991</v>
      </c>
      <c r="BF60" s="14">
        <f t="shared" si="37"/>
        <v>51.874940300502246</v>
      </c>
      <c r="BG60" s="22">
        <f t="shared" si="7"/>
        <v>455.61554185670792</v>
      </c>
      <c r="BH60" s="62">
        <f t="shared" si="8"/>
        <v>748.94887519004124</v>
      </c>
      <c r="BI60" s="62">
        <f ca="1">AVERAGE(OFFSET($BH$3,0,0,'Données projet'!$E$11+1,1))-AVERAGE(OFFSET($H$3,0,0,'Données projet'!$E$11+1,1))</f>
        <v>288.82868507674738</v>
      </c>
      <c r="BJ60" s="62">
        <f t="shared" si="38"/>
        <v>283.48738729114024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5.2</v>
      </c>
      <c r="BY60" s="13">
        <f>IF('Données projet'!$A$114&gt;35,BY59+BX60-CG59,IF(A60&lt;'Données projet'!$A$114,$BV$205^A60,IF(A60='Données projet'!$A$114,'Données projet'!$B$114,BY59+BX60-CG59)))</f>
        <v>229.39999999999992</v>
      </c>
      <c r="BZ60" s="14">
        <f>BY60*VLOOKUP('Données projet'!$B$12,Paramètres!$A$1:$I$89,3,0)*VLOOKUP('Données projet'!$B$12,Paramètres!$A$1:$I$89,5,0)</f>
        <v>182.51063999999994</v>
      </c>
      <c r="CA60" s="14">
        <f t="shared" si="39"/>
        <v>45.880306213791414</v>
      </c>
      <c r="CB60" s="22">
        <f t="shared" si="10"/>
        <v>397.78089798901993</v>
      </c>
      <c r="CC60" s="62">
        <f t="shared" si="11"/>
        <v>691.11423132235325</v>
      </c>
      <c r="CD60" s="62">
        <f ca="1">AVERAGE(OFFSET($CC$3,0,0,'Données projet'!$E$12+1,1))-AVERAGE(OFFSET($H$3,0,0,'Données projet'!$E$12+1,1))</f>
        <v>298.89893065707554</v>
      </c>
      <c r="CE60" s="62">
        <f t="shared" si="40"/>
        <v>294.28794439094878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320.79999999999978</v>
      </c>
      <c r="CU60" s="18">
        <f>CT60*VLOOKUP('Données projet'!$B$13,Paramètres!$A$1:$I$89,3,0)*VLOOKUP('Données projet'!$B$13,Paramètres!$A$1:$I$89,5,0)</f>
        <v>235.21055999999984</v>
      </c>
      <c r="CV60" s="14">
        <f t="shared" si="41"/>
        <v>57.407853322119394</v>
      </c>
      <c r="CW60" s="22">
        <f t="shared" si="13"/>
        <v>509.64373653602433</v>
      </c>
      <c r="CX60" s="62">
        <f t="shared" si="14"/>
        <v>802.97706986935759</v>
      </c>
      <c r="CY60" s="62">
        <f ca="1">AVERAGE(OFFSET($CX$3,0,0,'Données projet'!$E$13+1,1))-AVERAGE(OFFSET($H$3,0,0,'Données projet'!$E$13+1,1))</f>
        <v>376.5422416541544</v>
      </c>
      <c r="CZ60" s="62">
        <f t="shared" si="42"/>
        <v>365.76175372075869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9.0640957324701468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9.0640957324701468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439.06700232017681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2.2737367544323206E-13</v>
      </c>
      <c r="AJ61" s="14">
        <f>AI61*VLOOKUP('Données projet'!$B$10,Paramètres!$A$1:$I$89,3,0)*VLOOKUP('Données projet'!$B$10,Paramètres!$A$1:$I$89,5,0)</f>
        <v>2.0572770154103635E-13</v>
      </c>
      <c r="AK61" s="14">
        <f t="shared" si="35"/>
        <v>2.8416956338469711E-12</v>
      </c>
      <c r="AL61" s="22">
        <f t="shared" si="4"/>
        <v>5.3075956424674458E-12</v>
      </c>
      <c r="AM61" s="62">
        <f t="shared" si="5"/>
        <v>293.3333333333386</v>
      </c>
      <c r="AN61" s="62">
        <f ca="1">AVERAGE(OFFSET($AM$3,0,0,'Données projet'!$E$10+1,1))-AVERAGE(OFFSET($H$3,0,0,'Données projet'!$E$10+1,1))</f>
        <v>436.23918637269577</v>
      </c>
      <c r="AO61" s="62">
        <f t="shared" si="36"/>
        <v>611.43967996341894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0.48256408008973301</v>
      </c>
      <c r="AV61" s="23">
        <f>EXP(-LN(2)/25)*AV60+(1-EXP(-LN(2)/25))/(LN(2)/25)*Calculateur!AQ61*Calculateur!AS61*VLOOKUP('Données projet'!$B$10,Paramètres!$A$1:$I$89,3,0)*0.475*44/12</f>
        <v>0.67382959845974677</v>
      </c>
      <c r="AW61" s="23">
        <f>EXP(-LN(2)/2)*AW60+(1-EXP(-LN(2)/2))/(LN(2)/2)*AQ61*AT61*VLOOKUP('Données projet'!$B$10,Paramètres!$A$1:$I$89,3,0)*0.475*44/12</f>
        <v>3.6474133705717088E-4</v>
      </c>
      <c r="AX61" s="23">
        <f t="shared" si="6"/>
        <v>1.1567584198865368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9.375</v>
      </c>
      <c r="BD61" s="13">
        <f>IF('Données projet'!$A$88&gt;35,BD60+BC61-BL60,IF(A61&lt;'Données projet'!$A$88,$BA$205^A61,IF(A61='Données projet'!$A$88,'Données projet'!$B$88,BD60+BC61-BL60)))</f>
        <v>278.24999999999989</v>
      </c>
      <c r="BE61" s="14">
        <f>BD61*VLOOKUP('Données projet'!$B$11,Paramètres!$A$1:$I$89,3,0)*VLOOKUP('Données projet'!$B$11,Paramètres!$A$1:$I$89,5,0)</f>
        <v>217.03499999999991</v>
      </c>
      <c r="BF61" s="14">
        <f t="shared" si="37"/>
        <v>53.469949591969474</v>
      </c>
      <c r="BG61" s="22">
        <f t="shared" si="7"/>
        <v>471.12945387267996</v>
      </c>
      <c r="BH61" s="62">
        <f t="shared" si="8"/>
        <v>764.46278720601322</v>
      </c>
      <c r="BI61" s="62">
        <f ca="1">AVERAGE(OFFSET($BH$3,0,0,'Données projet'!$E$11+1,1))-AVERAGE(OFFSET($H$3,0,0,'Données projet'!$E$11+1,1))</f>
        <v>288.82868507674738</v>
      </c>
      <c r="BJ61" s="62">
        <f t="shared" si="38"/>
        <v>283.48738729114024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5.2</v>
      </c>
      <c r="BY61" s="13">
        <f>IF('Données projet'!$A$114&gt;35,BY60+BX61-CG60,IF(A61&lt;'Données projet'!$A$114,$BV$205^A61,IF(A61='Données projet'!$A$114,'Données projet'!$B$114,BY60+BX61-CG60)))</f>
        <v>234.59999999999991</v>
      </c>
      <c r="BZ61" s="14">
        <f>BY61*VLOOKUP('Données projet'!$B$12,Paramètres!$A$1:$I$89,3,0)*VLOOKUP('Données projet'!$B$12,Paramètres!$A$1:$I$89,5,0)</f>
        <v>186.64775999999995</v>
      </c>
      <c r="CA61" s="14">
        <f t="shared" si="39"/>
        <v>46.79805411155214</v>
      </c>
      <c r="CB61" s="22">
        <f t="shared" si="10"/>
        <v>406.58479291095324</v>
      </c>
      <c r="CC61" s="62">
        <f t="shared" si="11"/>
        <v>699.91812624428655</v>
      </c>
      <c r="CD61" s="62">
        <f ca="1">AVERAGE(OFFSET($CC$3,0,0,'Données projet'!$E$12+1,1))-AVERAGE(OFFSET($H$3,0,0,'Données projet'!$E$12+1,1))</f>
        <v>298.89893065707554</v>
      </c>
      <c r="CE61" s="62">
        <f t="shared" si="40"/>
        <v>294.28794439094878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328.19999999999976</v>
      </c>
      <c r="CU61" s="18">
        <f>CT61*VLOOKUP('Données projet'!$B$13,Paramètres!$A$1:$I$89,3,0)*VLOOKUP('Données projet'!$B$13,Paramètres!$A$1:$I$89,5,0)</f>
        <v>240.63623999999982</v>
      </c>
      <c r="CV61" s="14">
        <f t="shared" si="41"/>
        <v>58.576399517863109</v>
      </c>
      <c r="CW61" s="22">
        <f t="shared" si="13"/>
        <v>521.12868049361134</v>
      </c>
      <c r="CX61" s="62">
        <f t="shared" si="14"/>
        <v>814.46201382694471</v>
      </c>
      <c r="CY61" s="62">
        <f ca="1">AVERAGE(OFFSET($CX$3,0,0,'Données projet'!$E$13+1,1))-AVERAGE(OFFSET($H$3,0,0,'Données projet'!$E$13+1,1))</f>
        <v>376.5422416541544</v>
      </c>
      <c r="CZ61" s="62">
        <f t="shared" si="42"/>
        <v>365.76175372075869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8.8162375580056729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8.8162375580056729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439.06700232017681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2.2737367544323206E-13</v>
      </c>
      <c r="AJ62" s="14">
        <f>AI62*VLOOKUP('Données projet'!$B$10,Paramètres!$A$1:$I$89,3,0)*VLOOKUP('Données projet'!$B$10,Paramètres!$A$1:$I$89,5,0)</f>
        <v>2.0572770154103635E-13</v>
      </c>
      <c r="AK62" s="14">
        <f t="shared" si="35"/>
        <v>2.8416956338469711E-12</v>
      </c>
      <c r="AL62" s="22">
        <f t="shared" si="4"/>
        <v>5.3075956424674458E-12</v>
      </c>
      <c r="AM62" s="62">
        <f t="shared" si="5"/>
        <v>293.3333333333386</v>
      </c>
      <c r="AN62" s="62">
        <f ca="1">AVERAGE(OFFSET($AM$3,0,0,'Données projet'!$E$10+1,1))-AVERAGE(OFFSET($H$3,0,0,'Données projet'!$E$10+1,1))</f>
        <v>436.23918637269577</v>
      </c>
      <c r="AO62" s="62">
        <f t="shared" si="36"/>
        <v>611.43967996341894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0.47310129281419905</v>
      </c>
      <c r="AV62" s="23">
        <f>EXP(-LN(2)/25)*AV61+(1-EXP(-LN(2)/25))/(LN(2)/25)*Calculateur!AQ62*Calculateur!AS62*VLOOKUP('Données projet'!$B$10,Paramètres!$A$1:$I$89,3,0)*0.475*44/12</f>
        <v>0.65540369265470644</v>
      </c>
      <c r="AW62" s="23">
        <f>EXP(-LN(2)/2)*AW61+(1-EXP(-LN(2)/2))/(LN(2)/2)*AQ62*AT62*VLOOKUP('Données projet'!$B$10,Paramètres!$A$1:$I$89,3,0)*0.475*44/12</f>
        <v>2.5791107281217371E-4</v>
      </c>
      <c r="AX62" s="23">
        <f t="shared" si="6"/>
        <v>1.1287628965417178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9.375</v>
      </c>
      <c r="BD62" s="13">
        <f>IF('Données projet'!$A$88&gt;35,BD61+BC62-BL61,IF(A62&lt;'Données projet'!$A$88,$BA$205^A62,IF(A62='Données projet'!$A$88,'Données projet'!$B$88,BD61+BC62-BL61)))</f>
        <v>287.62499999999989</v>
      </c>
      <c r="BE62" s="14">
        <f>BD62*VLOOKUP('Données projet'!$B$11,Paramètres!$A$1:$I$89,3,0)*VLOOKUP('Données projet'!$B$11,Paramètres!$A$1:$I$89,5,0)</f>
        <v>224.34749999999991</v>
      </c>
      <c r="BF62" s="14">
        <f t="shared" si="37"/>
        <v>55.058714525680429</v>
      </c>
      <c r="BG62" s="22">
        <f t="shared" si="7"/>
        <v>486.63249029889329</v>
      </c>
      <c r="BH62" s="62">
        <f t="shared" si="8"/>
        <v>779.9658236322266</v>
      </c>
      <c r="BI62" s="62">
        <f ca="1">AVERAGE(OFFSET($BH$3,0,0,'Données projet'!$E$11+1,1))-AVERAGE(OFFSET($H$3,0,0,'Données projet'!$E$11+1,1))</f>
        <v>288.82868507674738</v>
      </c>
      <c r="BJ62" s="62">
        <f t="shared" si="38"/>
        <v>283.48738729114024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5.2</v>
      </c>
      <c r="BY62" s="13">
        <f>IF('Données projet'!$A$114&gt;35,BY61+BX62-CG61,IF(A62&lt;'Données projet'!$A$114,$BV$205^A62,IF(A62='Données projet'!$A$114,'Données projet'!$B$114,BY61+BX62-CG61)))</f>
        <v>239.7999999999999</v>
      </c>
      <c r="BZ62" s="14">
        <f>BY62*VLOOKUP('Données projet'!$B$12,Paramètres!$A$1:$I$89,3,0)*VLOOKUP('Données projet'!$B$12,Paramètres!$A$1:$I$89,5,0)</f>
        <v>190.78487999999993</v>
      </c>
      <c r="CA62" s="14">
        <f t="shared" si="39"/>
        <v>47.713437020051622</v>
      </c>
      <c r="CB62" s="22">
        <f t="shared" si="10"/>
        <v>415.38456880992311</v>
      </c>
      <c r="CC62" s="62">
        <f t="shared" si="11"/>
        <v>708.71790214325642</v>
      </c>
      <c r="CD62" s="62">
        <f ca="1">AVERAGE(OFFSET($CC$3,0,0,'Données projet'!$E$12+1,1))-AVERAGE(OFFSET($H$3,0,0,'Données projet'!$E$12+1,1))</f>
        <v>298.89893065707554</v>
      </c>
      <c r="CE62" s="62">
        <f t="shared" si="40"/>
        <v>294.28794439094878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335.59999999999974</v>
      </c>
      <c r="CU62" s="18">
        <f>CT62*VLOOKUP('Données projet'!$B$13,Paramètres!$A$1:$I$89,3,0)*VLOOKUP('Données projet'!$B$13,Paramètres!$A$1:$I$89,5,0)</f>
        <v>246.06191999999979</v>
      </c>
      <c r="CV62" s="14">
        <f t="shared" si="41"/>
        <v>59.741882613953308</v>
      </c>
      <c r="CW62" s="22">
        <f t="shared" si="13"/>
        <v>532.60828955263503</v>
      </c>
      <c r="CX62" s="62">
        <f t="shared" si="14"/>
        <v>825.9416228859684</v>
      </c>
      <c r="CY62" s="62">
        <f ca="1">AVERAGE(OFFSET($CX$3,0,0,'Données projet'!$E$13+1,1))-AVERAGE(OFFSET($H$3,0,0,'Données projet'!$E$13+1,1))</f>
        <v>376.5422416541544</v>
      </c>
      <c r="CZ62" s="62">
        <f t="shared" si="42"/>
        <v>365.76175372075869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8.5751570783562236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8.5751570783562236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439.06700232017681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2.2737367544323206E-13</v>
      </c>
      <c r="AJ63" s="14">
        <f>AI63*VLOOKUP('Données projet'!$B$10,Paramètres!$A$1:$I$89,3,0)*VLOOKUP('Données projet'!$B$10,Paramètres!$A$1:$I$89,5,0)</f>
        <v>2.0572770154103635E-13</v>
      </c>
      <c r="AK63" s="14">
        <f t="shared" si="35"/>
        <v>2.8416956338469711E-12</v>
      </c>
      <c r="AL63" s="22">
        <f t="shared" si="4"/>
        <v>5.3075956424674458E-12</v>
      </c>
      <c r="AM63" s="62">
        <f t="shared" si="5"/>
        <v>293.3333333333386</v>
      </c>
      <c r="AN63" s="62">
        <f ca="1">AVERAGE(OFFSET($AM$3,0,0,'Données projet'!$E$10+1,1))-AVERAGE(OFFSET($H$3,0,0,'Données projet'!$E$10+1,1))</f>
        <v>436.23918637269577</v>
      </c>
      <c r="AO63" s="62">
        <f t="shared" si="36"/>
        <v>611.43967996341894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0.46382406502540796</v>
      </c>
      <c r="AV63" s="23">
        <f>EXP(-LN(2)/25)*AV62+(1-EXP(-LN(2)/25))/(LN(2)/25)*Calculateur!AQ63*Calculateur!AS63*VLOOKUP('Données projet'!$B$10,Paramètres!$A$1:$I$89,3,0)*0.475*44/12</f>
        <v>0.63748164421288123</v>
      </c>
      <c r="AW63" s="23">
        <f>EXP(-LN(2)/2)*AW62+(1-EXP(-LN(2)/2))/(LN(2)/2)*AQ63*AT63*VLOOKUP('Données projet'!$B$10,Paramètres!$A$1:$I$89,3,0)*0.475*44/12</f>
        <v>1.8237066852858544E-4</v>
      </c>
      <c r="AX63" s="23">
        <f t="shared" si="6"/>
        <v>1.1014880799068179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297</v>
      </c>
      <c r="BB63" s="13">
        <f>VLOOKUP(A63,'Données projet'!$A$87:$I$107,9,0)</f>
        <v>9.375</v>
      </c>
      <c r="BC63" s="13">
        <f t="array" ref="BC63">INDEX(BB:BB,MIN(IF(ISNUMBER(BB63:BB259),ROW(BB63:BB259),"")))</f>
        <v>9.375</v>
      </c>
      <c r="BD63" s="13">
        <f>IF('Données projet'!$A$88&gt;35,BD62+BC63-BL62,IF(A63&lt;'Données projet'!$A$88,$BA$205^A63,IF(A63='Données projet'!$A$88,'Données projet'!$B$88,BD62+BC63-BL62)))</f>
        <v>296.99999999999989</v>
      </c>
      <c r="BE63" s="14">
        <f>BD63*VLOOKUP('Données projet'!$B$11,Paramètres!$A$1:$I$89,3,0)*VLOOKUP('Données projet'!$B$11,Paramètres!$A$1:$I$89,5,0)</f>
        <v>231.65999999999991</v>
      </c>
      <c r="BF63" s="14">
        <f t="shared" si="37"/>
        <v>56.641461975682766</v>
      </c>
      <c r="BG63" s="22">
        <f t="shared" si="7"/>
        <v>502.125046274314</v>
      </c>
      <c r="BH63" s="62">
        <f t="shared" si="8"/>
        <v>795.45837960764732</v>
      </c>
      <c r="BI63" s="62">
        <f ca="1">AVERAGE(OFFSET($BH$3,0,0,'Données projet'!$E$11+1,1))-AVERAGE(OFFSET($H$3,0,0,'Données projet'!$E$11+1,1))</f>
        <v>288.82868507674738</v>
      </c>
      <c r="BJ63" s="62">
        <f t="shared" si="38"/>
        <v>283.48738729114024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47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245</v>
      </c>
      <c r="BW63" s="13">
        <f>VLOOKUP(A63,'Données projet'!$A$113:$I$133,9,0)</f>
        <v>5.2</v>
      </c>
      <c r="BX63" s="13">
        <f t="array" ref="BX63">INDEX(BW:BW,MIN(IF(ISNUMBER(BW63:BW259),ROW(BW63:BW259),"")))</f>
        <v>5.2</v>
      </c>
      <c r="BY63" s="13">
        <f>IF('Données projet'!$A$114&gt;35,BY62+BX63-CG62,IF(A63&lt;'Données projet'!$A$114,$BV$205^A63,IF(A63='Données projet'!$A$114,'Données projet'!$B$114,BY62+BX63-CG62)))</f>
        <v>244.99999999999989</v>
      </c>
      <c r="BZ63" s="14">
        <f>BY63*VLOOKUP('Données projet'!$B$12,Paramètres!$A$1:$I$89,3,0)*VLOOKUP('Données projet'!$B$12,Paramètres!$A$1:$I$89,5,0)</f>
        <v>194.92199999999991</v>
      </c>
      <c r="CA63" s="14">
        <f t="shared" si="39"/>
        <v>48.626512129794925</v>
      </c>
      <c r="CB63" s="22">
        <f t="shared" si="10"/>
        <v>424.18032529272597</v>
      </c>
      <c r="CC63" s="62">
        <f t="shared" si="11"/>
        <v>717.51365862605928</v>
      </c>
      <c r="CD63" s="62">
        <f ca="1">AVERAGE(OFFSET($CC$3,0,0,'Données projet'!$E$12+1,1))-AVERAGE(OFFSET($H$3,0,0,'Données projet'!$E$12+1,1))</f>
        <v>298.89893065707554</v>
      </c>
      <c r="CE63" s="62">
        <f t="shared" si="40"/>
        <v>294.28794439094878</v>
      </c>
      <c r="CF63" s="16">
        <f>IF(ISNA(VLOOKUP(A63,'Données projet'!$A$113:$I$133,3,0)),0,VLOOKUP(A63,'Données projet'!$A$113:$I$133,3,0))</f>
        <v>10</v>
      </c>
      <c r="CG63" s="16">
        <f>IF(ISNA(VLOOKUP(A63,'Données projet'!$A$113:$I$133,4,0)),0,VLOOKUP(A63,'Données projet'!$A$113:$I$133,4,0))</f>
        <v>12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343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342.99999999999972</v>
      </c>
      <c r="CU63" s="18">
        <f>CT63*VLOOKUP('Données projet'!$B$13,Paramètres!$A$1:$I$89,3,0)*VLOOKUP('Données projet'!$B$13,Paramètres!$A$1:$I$89,5,0)</f>
        <v>251.48759999999979</v>
      </c>
      <c r="CV63" s="14">
        <f t="shared" si="41"/>
        <v>60.904377929400603</v>
      </c>
      <c r="CW63" s="22">
        <f t="shared" si="13"/>
        <v>544.08269489370571</v>
      </c>
      <c r="CX63" s="62">
        <f t="shared" si="14"/>
        <v>837.41602822703908</v>
      </c>
      <c r="CY63" s="62">
        <f ca="1">AVERAGE(OFFSET($CX$3,0,0,'Données projet'!$E$13+1,1))-AVERAGE(OFFSET($H$3,0,0,'Données projet'!$E$13+1,1))</f>
        <v>376.5422416541544</v>
      </c>
      <c r="CZ63" s="62">
        <f t="shared" si="42"/>
        <v>365.76175372075869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17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8.3406689571006609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8.3406689571006609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439.06700232017681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2.2737367544323206E-13</v>
      </c>
      <c r="AJ64" s="14">
        <f>AI64*VLOOKUP('Données projet'!$B$10,Paramètres!$A$1:$I$89,3,0)*VLOOKUP('Données projet'!$B$10,Paramètres!$A$1:$I$89,5,0)</f>
        <v>2.0572770154103635E-13</v>
      </c>
      <c r="AK64" s="14">
        <f t="shared" si="35"/>
        <v>2.8416956338469711E-12</v>
      </c>
      <c r="AL64" s="22">
        <f t="shared" si="4"/>
        <v>5.3075956424674458E-12</v>
      </c>
      <c r="AM64" s="62">
        <f t="shared" si="5"/>
        <v>293.3333333333386</v>
      </c>
      <c r="AN64" s="62">
        <f ca="1">AVERAGE(OFFSET($AM$3,0,0,'Données projet'!$E$10+1,1))-AVERAGE(OFFSET($H$3,0,0,'Données projet'!$E$10+1,1))</f>
        <v>436.23918637269577</v>
      </c>
      <c r="AO64" s="62">
        <f t="shared" si="36"/>
        <v>611.43967996341894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0.45472875801500484</v>
      </c>
      <c r="AV64" s="23">
        <f>EXP(-LN(2)/25)*AV63+(1-EXP(-LN(2)/25))/(LN(2)/25)*Calculateur!AQ64*Calculateur!AS64*VLOOKUP('Données projet'!$B$10,Paramètres!$A$1:$I$89,3,0)*0.475*44/12</f>
        <v>0.62004967512817732</v>
      </c>
      <c r="AW64" s="23">
        <f>EXP(-LN(2)/2)*AW63+(1-EXP(-LN(2)/2))/(LN(2)/2)*AQ64*AT64*VLOOKUP('Données projet'!$B$10,Paramètres!$A$1:$I$89,3,0)*0.475*44/12</f>
        <v>1.2895553640608685E-4</v>
      </c>
      <c r="AX64" s="23">
        <f t="shared" si="6"/>
        <v>1.0749073886795883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8.6666666666666661</v>
      </c>
      <c r="BD64" s="13">
        <f>IF('Données projet'!$A$88&gt;35,BD63+BC64-BL63,IF(A64&lt;'Données projet'!$A$88,$BA$205^A64,IF(A64='Données projet'!$A$88,'Données projet'!$B$88,BD63+BC64-BL63)))</f>
        <v>258.66666666666657</v>
      </c>
      <c r="BE64" s="14">
        <f>BD64*VLOOKUP('Données projet'!$B$11,Paramètres!$A$1:$I$89,3,0)*VLOOKUP('Données projet'!$B$11,Paramètres!$A$1:$I$89,5,0)</f>
        <v>201.75999999999993</v>
      </c>
      <c r="BF64" s="14">
        <f t="shared" si="37"/>
        <v>50.130765000424169</v>
      </c>
      <c r="BG64" s="22">
        <f t="shared" si="7"/>
        <v>438.70974904240529</v>
      </c>
      <c r="BH64" s="62">
        <f t="shared" si="8"/>
        <v>732.04308237573855</v>
      </c>
      <c r="BI64" s="62">
        <f ca="1">AVERAGE(OFFSET($BH$3,0,0,'Données projet'!$E$11+1,1))-AVERAGE(OFFSET($H$3,0,0,'Données projet'!$E$11+1,1))</f>
        <v>288.82868507674738</v>
      </c>
      <c r="BJ64" s="62">
        <f t="shared" si="38"/>
        <v>283.48738729114024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4.2</v>
      </c>
      <c r="BY64" s="13">
        <f>IF('Données projet'!$A$114&gt;35,BY63+BX64-CG63,IF(A64&lt;'Données projet'!$A$114,$BV$205^A64,IF(A64='Données projet'!$A$114,'Données projet'!$B$114,BY63+BX64-CG63)))</f>
        <v>237.19999999999987</v>
      </c>
      <c r="BZ64" s="14">
        <f>BY64*VLOOKUP('Données projet'!$B$12,Paramètres!$A$1:$I$89,3,0)*VLOOKUP('Données projet'!$B$12,Paramètres!$A$1:$I$89,5,0)</f>
        <v>188.71631999999991</v>
      </c>
      <c r="CA64" s="14">
        <f t="shared" si="39"/>
        <v>47.256037552855531</v>
      </c>
      <c r="CB64" s="22">
        <f t="shared" si="10"/>
        <v>410.98518940455659</v>
      </c>
      <c r="CC64" s="62">
        <f t="shared" si="11"/>
        <v>704.31852273788991</v>
      </c>
      <c r="CD64" s="62">
        <f ca="1">AVERAGE(OFFSET($CC$3,0,0,'Données projet'!$E$12+1,1))-AVERAGE(OFFSET($H$3,0,0,'Données projet'!$E$12+1,1))</f>
        <v>298.89893065707554</v>
      </c>
      <c r="CE64" s="62">
        <f t="shared" si="40"/>
        <v>294.28794439094878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6</v>
      </c>
      <c r="CT64" s="13">
        <f>IF('Données projet'!$A$140&gt;35,CT63+CS64-DB63,IF(A64&lt;'Données projet'!$A$140,$CQ$205^A64,IF(A64='Données projet'!$A$140,'Données projet'!$B$140,CT63+CS64-DB63)))</f>
        <v>331.99999999999972</v>
      </c>
      <c r="CU64" s="18">
        <f>CT64*VLOOKUP('Données projet'!$B$13,Paramètres!$A$1:$I$89,3,0)*VLOOKUP('Données projet'!$B$13,Paramètres!$A$1:$I$89,5,0)</f>
        <v>243.42239999999978</v>
      </c>
      <c r="CV64" s="14">
        <f t="shared" si="41"/>
        <v>59.175268615646175</v>
      </c>
      <c r="CW64" s="22">
        <f t="shared" si="13"/>
        <v>527.02427283891677</v>
      </c>
      <c r="CX64" s="62">
        <f t="shared" si="14"/>
        <v>820.35760617225014</v>
      </c>
      <c r="CY64" s="62">
        <f ca="1">AVERAGE(OFFSET($CX$3,0,0,'Données projet'!$E$13+1,1))-AVERAGE(OFFSET($H$3,0,0,'Données projet'!$E$13+1,1))</f>
        <v>376.5422416541544</v>
      </c>
      <c r="CZ64" s="62">
        <f t="shared" si="42"/>
        <v>365.76175372075869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8.1125929258520255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8.1125929258520255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439.06700232017681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2.2737367544323206E-13</v>
      </c>
      <c r="AJ65" s="14">
        <f>AI65*VLOOKUP('Données projet'!$B$10,Paramètres!$A$1:$I$89,3,0)*VLOOKUP('Données projet'!$B$10,Paramètres!$A$1:$I$89,5,0)</f>
        <v>2.0572770154103635E-13</v>
      </c>
      <c r="AK65" s="14">
        <f t="shared" si="35"/>
        <v>2.8416956338469711E-12</v>
      </c>
      <c r="AL65" s="22">
        <f t="shared" si="4"/>
        <v>5.3075956424674458E-12</v>
      </c>
      <c r="AM65" s="62">
        <f t="shared" si="5"/>
        <v>293.3333333333386</v>
      </c>
      <c r="AN65" s="62">
        <f ca="1">AVERAGE(OFFSET($AM$3,0,0,'Données projet'!$E$10+1,1))-AVERAGE(OFFSET($H$3,0,0,'Données projet'!$E$10+1,1))</f>
        <v>436.23918637269577</v>
      </c>
      <c r="AO65" s="62">
        <f t="shared" si="36"/>
        <v>611.43967996341894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0.44581180442748625</v>
      </c>
      <c r="AV65" s="23">
        <f>EXP(-LN(2)/25)*AV64+(1-EXP(-LN(2)/25))/(LN(2)/25)*Calculateur!AQ65*Calculateur!AS65*VLOOKUP('Données projet'!$B$10,Paramètres!$A$1:$I$89,3,0)*0.475*44/12</f>
        <v>0.60309438415480199</v>
      </c>
      <c r="AW65" s="23">
        <f>EXP(-LN(2)/2)*AW64+(1-EXP(-LN(2)/2))/(LN(2)/2)*AQ65*AT65*VLOOKUP('Données projet'!$B$10,Paramètres!$A$1:$I$89,3,0)*0.475*44/12</f>
        <v>9.118533426429272E-5</v>
      </c>
      <c r="AX65" s="23">
        <f t="shared" si="6"/>
        <v>1.0489973739165523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8.6666666666666661</v>
      </c>
      <c r="BD65" s="13">
        <f>IF('Données projet'!$A$88&gt;35,BD64+BC65-BL64,IF(A65&lt;'Données projet'!$A$88,$BA$205^A65,IF(A65='Données projet'!$A$88,'Données projet'!$B$88,BD64+BC65-BL64)))</f>
        <v>267.33333333333326</v>
      </c>
      <c r="BE65" s="14">
        <f>BD65*VLOOKUP('Données projet'!$B$11,Paramètres!$A$1:$I$89,3,0)*VLOOKUP('Données projet'!$B$11,Paramètres!$A$1:$I$89,5,0)</f>
        <v>208.51999999999995</v>
      </c>
      <c r="BF65" s="14">
        <f t="shared" si="37"/>
        <v>51.612035456318459</v>
      </c>
      <c r="BG65" s="22">
        <f t="shared" si="7"/>
        <v>453.06329508642119</v>
      </c>
      <c r="BH65" s="62">
        <f t="shared" si="8"/>
        <v>746.39662841975451</v>
      </c>
      <c r="BI65" s="62">
        <f ca="1">AVERAGE(OFFSET($BH$3,0,0,'Données projet'!$E$11+1,1))-AVERAGE(OFFSET($H$3,0,0,'Données projet'!$E$11+1,1))</f>
        <v>288.82868507674738</v>
      </c>
      <c r="BJ65" s="62">
        <f t="shared" si="38"/>
        <v>283.48738729114024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4.2</v>
      </c>
      <c r="BY65" s="13">
        <f>IF('Données projet'!$A$114&gt;35,BY64+BX65-CG64,IF(A65&lt;'Données projet'!$A$114,$BV$205^A65,IF(A65='Données projet'!$A$114,'Données projet'!$B$114,BY64+BX65-CG64)))</f>
        <v>241.39999999999986</v>
      </c>
      <c r="BZ65" s="14">
        <f>BY65*VLOOKUP('Données projet'!$B$12,Paramètres!$A$1:$I$89,3,0)*VLOOKUP('Données projet'!$B$12,Paramètres!$A$1:$I$89,5,0)</f>
        <v>192.05783999999991</v>
      </c>
      <c r="CA65" s="14">
        <f t="shared" si="39"/>
        <v>47.994626423840657</v>
      </c>
      <c r="CB65" s="22">
        <f t="shared" si="10"/>
        <v>418.0913790215223</v>
      </c>
      <c r="CC65" s="62">
        <f t="shared" si="11"/>
        <v>711.42471235485561</v>
      </c>
      <c r="CD65" s="62">
        <f ca="1">AVERAGE(OFFSET($CC$3,0,0,'Données projet'!$E$12+1,1))-AVERAGE(OFFSET($H$3,0,0,'Données projet'!$E$12+1,1))</f>
        <v>298.89893065707554</v>
      </c>
      <c r="CE65" s="62">
        <f t="shared" si="40"/>
        <v>294.28794439094878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6</v>
      </c>
      <c r="CT65" s="13">
        <f>IF('Données projet'!$A$140&gt;35,CT64+CS65-DB64,IF(A65&lt;'Données projet'!$A$140,$CQ$205^A65,IF(A65='Données projet'!$A$140,'Données projet'!$B$140,CT64+CS65-DB64)))</f>
        <v>337.99999999999972</v>
      </c>
      <c r="CU65" s="18">
        <f>CT65*VLOOKUP('Données projet'!$B$13,Paramètres!$A$1:$I$89,3,0)*VLOOKUP('Données projet'!$B$13,Paramètres!$A$1:$I$89,5,0)</f>
        <v>247.82159999999982</v>
      </c>
      <c r="CV65" s="14">
        <f t="shared" si="41"/>
        <v>60.119231945607517</v>
      </c>
      <c r="CW65" s="22">
        <f t="shared" si="13"/>
        <v>536.330282305266</v>
      </c>
      <c r="CX65" s="62">
        <f t="shared" si="14"/>
        <v>829.66361563859937</v>
      </c>
      <c r="CY65" s="62">
        <f ca="1">AVERAGE(OFFSET($CX$3,0,0,'Données projet'!$E$13+1,1))-AVERAGE(OFFSET($H$3,0,0,'Données projet'!$E$13+1,1))</f>
        <v>376.5422416541544</v>
      </c>
      <c r="CZ65" s="62">
        <f t="shared" si="42"/>
        <v>365.76175372075869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7.8907536456718814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7.8907536456718814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439.06700232017681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2.2737367544323206E-13</v>
      </c>
      <c r="AJ66" s="14">
        <f>AI66*VLOOKUP('Données projet'!$B$10,Paramètres!$A$1:$I$89,3,0)*VLOOKUP('Données projet'!$B$10,Paramètres!$A$1:$I$89,5,0)</f>
        <v>2.0572770154103635E-13</v>
      </c>
      <c r="AK66" s="14">
        <f t="shared" si="35"/>
        <v>2.8416956338469711E-12</v>
      </c>
      <c r="AL66" s="22">
        <f t="shared" si="4"/>
        <v>5.3075956424674458E-12</v>
      </c>
      <c r="AM66" s="62">
        <f t="shared" si="5"/>
        <v>293.3333333333386</v>
      </c>
      <c r="AN66" s="62">
        <f ca="1">AVERAGE(OFFSET($AM$3,0,0,'Données projet'!$E$10+1,1))-AVERAGE(OFFSET($H$3,0,0,'Données projet'!$E$10+1,1))</f>
        <v>436.23918637269577</v>
      </c>
      <c r="AO66" s="62">
        <f t="shared" si="36"/>
        <v>611.43967996341894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0.43706970686101426</v>
      </c>
      <c r="AV66" s="23">
        <f>EXP(-LN(2)/25)*AV65+(1-EXP(-LN(2)/25))/(LN(2)/25)*Calculateur!AQ66*Calculateur!AS66*VLOOKUP('Données projet'!$B$10,Paramètres!$A$1:$I$89,3,0)*0.475*44/12</f>
        <v>0.5866027365047336</v>
      </c>
      <c r="AW66" s="23">
        <f>EXP(-LN(2)/2)*AW65+(1-EXP(-LN(2)/2))/(LN(2)/2)*AQ66*AT66*VLOOKUP('Données projet'!$B$10,Paramètres!$A$1:$I$89,3,0)*0.475*44/12</f>
        <v>6.4477768203043427E-5</v>
      </c>
      <c r="AX66" s="23">
        <f t="shared" si="6"/>
        <v>1.0237369211339509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8.6666666666666661</v>
      </c>
      <c r="BD66" s="13">
        <f>IF('Données projet'!$A$88&gt;35,BD65+BC66-BL65,IF(A66&lt;'Données projet'!$A$88,$BA$205^A66,IF(A66='Données projet'!$A$88,'Données projet'!$B$88,BD65+BC66-BL65)))</f>
        <v>275.99999999999994</v>
      </c>
      <c r="BE66" s="14">
        <f>BD66*VLOOKUP('Données projet'!$B$11,Paramètres!$A$1:$I$89,3,0)*VLOOKUP('Données projet'!$B$11,Paramètres!$A$1:$I$89,5,0)</f>
        <v>215.27999999999997</v>
      </c>
      <c r="BF66" s="14">
        <f t="shared" si="37"/>
        <v>53.087725740853138</v>
      </c>
      <c r="BG66" s="22">
        <f t="shared" si="7"/>
        <v>467.40712233198587</v>
      </c>
      <c r="BH66" s="62">
        <f t="shared" si="8"/>
        <v>760.74045566531913</v>
      </c>
      <c r="BI66" s="62">
        <f ca="1">AVERAGE(OFFSET($BH$3,0,0,'Données projet'!$E$11+1,1))-AVERAGE(OFFSET($H$3,0,0,'Données projet'!$E$11+1,1))</f>
        <v>288.82868507674738</v>
      </c>
      <c r="BJ66" s="62">
        <f t="shared" si="38"/>
        <v>283.48738729114024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4.2</v>
      </c>
      <c r="BY66" s="13">
        <f>IF('Données projet'!$A$114&gt;35,BY65+BX66-CG65,IF(A66&lt;'Données projet'!$A$114,$BV$205^A66,IF(A66='Données projet'!$A$114,'Données projet'!$B$114,BY65+BX66-CG65)))</f>
        <v>245.59999999999985</v>
      </c>
      <c r="BZ66" s="14">
        <f>BY66*VLOOKUP('Données projet'!$B$12,Paramètres!$A$1:$I$89,3,0)*VLOOKUP('Données projet'!$B$12,Paramètres!$A$1:$I$89,5,0)</f>
        <v>195.39935999999989</v>
      </c>
      <c r="CA66" s="14">
        <f t="shared" si="39"/>
        <v>48.731720948569951</v>
      </c>
      <c r="CB66" s="22">
        <f t="shared" si="10"/>
        <v>425.19496598542577</v>
      </c>
      <c r="CC66" s="62">
        <f t="shared" si="11"/>
        <v>718.52829931875908</v>
      </c>
      <c r="CD66" s="62">
        <f ca="1">AVERAGE(OFFSET($CC$3,0,0,'Données projet'!$E$12+1,1))-AVERAGE(OFFSET($H$3,0,0,'Données projet'!$E$12+1,1))</f>
        <v>298.89893065707554</v>
      </c>
      <c r="CE66" s="62">
        <f t="shared" si="40"/>
        <v>294.28794439094878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6</v>
      </c>
      <c r="CT66" s="13">
        <f>IF('Données projet'!$A$140&gt;35,CT65+CS66-DB65,IF(A66&lt;'Données projet'!$A$140,$CQ$205^A66,IF(A66='Données projet'!$A$140,'Données projet'!$B$140,CT65+CS66-DB65)))</f>
        <v>343.99999999999972</v>
      </c>
      <c r="CU66" s="18">
        <f>CT66*VLOOKUP('Données projet'!$B$13,Paramètres!$A$1:$I$89,3,0)*VLOOKUP('Données projet'!$B$13,Paramètres!$A$1:$I$89,5,0)</f>
        <v>252.2207999999998</v>
      </c>
      <c r="CV66" s="14">
        <f t="shared" si="41"/>
        <v>61.061246695931573</v>
      </c>
      <c r="CW66" s="22">
        <f t="shared" si="13"/>
        <v>545.63289799541383</v>
      </c>
      <c r="CX66" s="62">
        <f t="shared" si="14"/>
        <v>838.9662313287472</v>
      </c>
      <c r="CY66" s="62">
        <f ca="1">AVERAGE(OFFSET($CX$3,0,0,'Données projet'!$E$13+1,1))-AVERAGE(OFFSET($H$3,0,0,'Données projet'!$E$13+1,1))</f>
        <v>376.5422416541544</v>
      </c>
      <c r="CZ66" s="62">
        <f t="shared" si="42"/>
        <v>365.76175372075869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7.6749805722742845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7.6749805722742845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439.06700232017681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2.2737367544323206E-13</v>
      </c>
      <c r="AJ67" s="14">
        <f>AI67*VLOOKUP('Données projet'!$B$10,Paramètres!$A$1:$I$89,3,0)*VLOOKUP('Données projet'!$B$10,Paramètres!$A$1:$I$89,5,0)</f>
        <v>2.0572770154103635E-13</v>
      </c>
      <c r="AK67" s="14">
        <f t="shared" si="35"/>
        <v>2.8416956338469711E-12</v>
      </c>
      <c r="AL67" s="22">
        <f t="shared" si="4"/>
        <v>5.3075956424674458E-12</v>
      </c>
      <c r="AM67" s="62">
        <f t="shared" si="5"/>
        <v>293.3333333333386</v>
      </c>
      <c r="AN67" s="62">
        <f ca="1">AVERAGE(OFFSET($AM$3,0,0,'Données projet'!$E$10+1,1))-AVERAGE(OFFSET($H$3,0,0,'Données projet'!$E$10+1,1))</f>
        <v>436.23918637269577</v>
      </c>
      <c r="AO67" s="62">
        <f t="shared" si="36"/>
        <v>611.43967996341894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0.42849903649566778</v>
      </c>
      <c r="AV67" s="23">
        <f>EXP(-LN(2)/25)*AV66+(1-EXP(-LN(2)/25))/(LN(2)/25)*Calculateur!AQ67*Calculateur!AS67*VLOOKUP('Données projet'!$B$10,Paramètres!$A$1:$I$89,3,0)*0.475*44/12</f>
        <v>0.57056205382691449</v>
      </c>
      <c r="AW67" s="23">
        <f>EXP(-LN(2)/2)*AW66+(1-EXP(-LN(2)/2))/(LN(2)/2)*AQ67*AT67*VLOOKUP('Données projet'!$B$10,Paramètres!$A$1:$I$89,3,0)*0.475*44/12</f>
        <v>4.559266713214636E-5</v>
      </c>
      <c r="AX67" s="23">
        <f t="shared" si="6"/>
        <v>0.99910668298971439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8.6666666666666661</v>
      </c>
      <c r="BD67" s="13">
        <f>IF('Données projet'!$A$88&gt;35,BD66+BC67-BL66,IF(A67&lt;'Données projet'!$A$88,$BA$205^A67,IF(A67='Données projet'!$A$88,'Données projet'!$B$88,BD66+BC67-BL66)))</f>
        <v>284.66666666666663</v>
      </c>
      <c r="BE67" s="14">
        <f>BD67*VLOOKUP('Données projet'!$B$11,Paramètres!$A$1:$I$89,3,0)*VLOOKUP('Données projet'!$B$11,Paramètres!$A$1:$I$89,5,0)</f>
        <v>222.04</v>
      </c>
      <c r="BF67" s="14">
        <f t="shared" si="37"/>
        <v>54.558031180803546</v>
      </c>
      <c r="BG67" s="22">
        <f t="shared" si="7"/>
        <v>481.74157097323285</v>
      </c>
      <c r="BH67" s="62">
        <f t="shared" si="8"/>
        <v>775.07490430656617</v>
      </c>
      <c r="BI67" s="62">
        <f ca="1">AVERAGE(OFFSET($BH$3,0,0,'Données projet'!$E$11+1,1))-AVERAGE(OFFSET($H$3,0,0,'Données projet'!$E$11+1,1))</f>
        <v>288.82868507674738</v>
      </c>
      <c r="BJ67" s="62">
        <f t="shared" si="38"/>
        <v>283.48738729114024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4.2</v>
      </c>
      <c r="BY67" s="13">
        <f>IF('Données projet'!$A$114&gt;35,BY66+BX67-CG66,IF(A67&lt;'Données projet'!$A$114,$BV$205^A67,IF(A67='Données projet'!$A$114,'Données projet'!$B$114,BY66+BX67-CG66)))</f>
        <v>249.79999999999984</v>
      </c>
      <c r="BZ67" s="14">
        <f>BY67*VLOOKUP('Données projet'!$B$12,Paramètres!$A$1:$I$89,3,0)*VLOOKUP('Données projet'!$B$12,Paramètres!$A$1:$I$89,5,0)</f>
        <v>198.74087999999989</v>
      </c>
      <c r="CA67" s="14">
        <f t="shared" si="39"/>
        <v>49.467349630825595</v>
      </c>
      <c r="CB67" s="22">
        <f t="shared" si="10"/>
        <v>432.29599994035442</v>
      </c>
      <c r="CC67" s="62">
        <f t="shared" si="11"/>
        <v>725.62933327368773</v>
      </c>
      <c r="CD67" s="62">
        <f ca="1">AVERAGE(OFFSET($CC$3,0,0,'Données projet'!$E$12+1,1))-AVERAGE(OFFSET($H$3,0,0,'Données projet'!$E$12+1,1))</f>
        <v>298.89893065707554</v>
      </c>
      <c r="CE67" s="62">
        <f t="shared" si="40"/>
        <v>294.28794439094878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6</v>
      </c>
      <c r="CT67" s="13">
        <f>IF('Données projet'!$A$140&gt;35,CT66+CS67-DB66,IF(A67&lt;'Données projet'!$A$140,$CQ$205^A67,IF(A67='Données projet'!$A$140,'Données projet'!$B$140,CT66+CS67-DB66)))</f>
        <v>349.99999999999972</v>
      </c>
      <c r="CU67" s="18">
        <f>CT67*VLOOKUP('Données projet'!$B$13,Paramètres!$A$1:$I$89,3,0)*VLOOKUP('Données projet'!$B$13,Paramètres!$A$1:$I$89,5,0)</f>
        <v>256.61999999999978</v>
      </c>
      <c r="CV67" s="14">
        <f t="shared" si="41"/>
        <v>62.001350774926514</v>
      </c>
      <c r="CW67" s="22">
        <f t="shared" si="13"/>
        <v>554.9321859329965</v>
      </c>
      <c r="CX67" s="62">
        <f t="shared" si="14"/>
        <v>848.26551926632987</v>
      </c>
      <c r="CY67" s="62">
        <f ca="1">AVERAGE(OFFSET($CX$3,0,0,'Données projet'!$E$13+1,1))-AVERAGE(OFFSET($H$3,0,0,'Données projet'!$E$13+1,1))</f>
        <v>376.5422416541544</v>
      </c>
      <c r="CZ67" s="62">
        <f t="shared" si="42"/>
        <v>365.76175372075869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7.4651078249157576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7.4651078249157576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439.06700232017681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2.2737367544323206E-13</v>
      </c>
      <c r="AJ68" s="14">
        <f>AI68*VLOOKUP('Données projet'!$B$10,Paramètres!$A$1:$I$89,3,0)*VLOOKUP('Données projet'!$B$10,Paramètres!$A$1:$I$89,5,0)</f>
        <v>2.0572770154103635E-13</v>
      </c>
      <c r="AK68" s="14">
        <f t="shared" si="35"/>
        <v>2.8416956338469711E-12</v>
      </c>
      <c r="AL68" s="22">
        <f t="shared" ref="AL68:AL131" si="58">(AJ68+AK68)*0.475*44/12</f>
        <v>5.3075956424674458E-12</v>
      </c>
      <c r="AM68" s="62">
        <f t="shared" ref="AM68:AM131" si="59">AL68+(AD68+AE68)*44/12</f>
        <v>293.3333333333386</v>
      </c>
      <c r="AN68" s="62">
        <f ca="1">AVERAGE(OFFSET($AM$3,0,0,'Données projet'!$E$10+1,1))-AVERAGE(OFFSET($H$3,0,0,'Données projet'!$E$10+1,1))</f>
        <v>436.23918637269577</v>
      </c>
      <c r="AO68" s="62">
        <f t="shared" si="36"/>
        <v>611.43967996341894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0.42009643174859296</v>
      </c>
      <c r="AV68" s="23">
        <f>EXP(-LN(2)/25)*AV67+(1-EXP(-LN(2)/25))/(LN(2)/25)*Calculateur!AQ68*Calculateur!AS68*VLOOKUP('Données projet'!$B$10,Paramètres!$A$1:$I$89,3,0)*0.475*44/12</f>
        <v>0.55496000446046312</v>
      </c>
      <c r="AW68" s="23">
        <f>EXP(-LN(2)/2)*AW67+(1-EXP(-LN(2)/2))/(LN(2)/2)*AQ68*AT68*VLOOKUP('Données projet'!$B$10,Paramètres!$A$1:$I$89,3,0)*0.475*44/12</f>
        <v>3.2238884101521713E-5</v>
      </c>
      <c r="AX68" s="23">
        <f t="shared" ref="AX68:AX131" si="60">SUM(AU68:AW68)</f>
        <v>0.97508867509315766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8.6666666666666661</v>
      </c>
      <c r="BD68" s="13">
        <f>IF('Données projet'!$A$88&gt;35,BD67+BC68-BL67,IF(A68&lt;'Données projet'!$A$88,$BA$205^A68,IF(A68='Données projet'!$A$88,'Données projet'!$B$88,BD67+BC68-BL67)))</f>
        <v>293.33333333333331</v>
      </c>
      <c r="BE68" s="14">
        <f>BD68*VLOOKUP('Données projet'!$B$11,Paramètres!$A$1:$I$89,3,0)*VLOOKUP('Données projet'!$B$11,Paramètres!$A$1:$I$89,5,0)</f>
        <v>228.79999999999998</v>
      </c>
      <c r="BF68" s="14">
        <f t="shared" si="37"/>
        <v>56.023134533701196</v>
      </c>
      <c r="BG68" s="22">
        <f t="shared" ref="BG68:BG131" si="61">(BE68+BF68)*0.475*44/12</f>
        <v>496.06695931286293</v>
      </c>
      <c r="BH68" s="62">
        <f t="shared" ref="BH68:BH131" si="62">BG68+(AY68+AZ68)*44/12</f>
        <v>789.40029264619625</v>
      </c>
      <c r="BI68" s="62">
        <f ca="1">AVERAGE(OFFSET($BH$3,0,0,'Données projet'!$E$11+1,1))-AVERAGE(OFFSET($H$3,0,0,'Données projet'!$E$11+1,1))</f>
        <v>288.82868507674738</v>
      </c>
      <c r="BJ68" s="62">
        <f t="shared" si="38"/>
        <v>283.48738729114024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254</v>
      </c>
      <c r="BW68" s="13">
        <f>VLOOKUP(A68,'Données projet'!$A$113:$I$133,9,0)</f>
        <v>4.2</v>
      </c>
      <c r="BX68" s="13">
        <f t="array" ref="BX68">INDEX(BW:BW,MIN(IF(ISNUMBER(BW68:BW264),ROW(BW68:BW264),"")))</f>
        <v>4.2</v>
      </c>
      <c r="BY68" s="13">
        <f>IF('Données projet'!$A$114&gt;35,BY67+BX68-CG67,IF(A68&lt;'Données projet'!$A$114,$BV$205^A68,IF(A68='Données projet'!$A$114,'Données projet'!$B$114,BY67+BX68-CG67)))</f>
        <v>253.99999999999983</v>
      </c>
      <c r="BZ68" s="14">
        <f>BY68*VLOOKUP('Données projet'!$B$12,Paramètres!$A$1:$I$89,3,0)*VLOOKUP('Données projet'!$B$12,Paramètres!$A$1:$I$89,5,0)</f>
        <v>202.08239999999986</v>
      </c>
      <c r="CA68" s="14">
        <f t="shared" si="39"/>
        <v>50.201539960960616</v>
      </c>
      <c r="CB68" s="22">
        <f t="shared" ref="CB68:CB131" si="64">(BZ68+CA68)*0.475*44/12</f>
        <v>439.39452876533943</v>
      </c>
      <c r="CC68" s="62">
        <f t="shared" ref="CC68:CC131" si="65">CB68+(BT68+BU68)*44/12</f>
        <v>732.72786209867274</v>
      </c>
      <c r="CD68" s="62">
        <f ca="1">AVERAGE(OFFSET($CC$3,0,0,'Données projet'!$E$12+1,1))-AVERAGE(OFFSET($H$3,0,0,'Données projet'!$E$12+1,1))</f>
        <v>298.89893065707554</v>
      </c>
      <c r="CE68" s="62">
        <f t="shared" si="40"/>
        <v>294.28794439094878</v>
      </c>
      <c r="CF68" s="16">
        <f>IF(ISNA(VLOOKUP(A68,'Données projet'!$A$113:$I$133,3,0)),0,VLOOKUP(A68,'Données projet'!$A$113:$I$133,3,0))</f>
        <v>11</v>
      </c>
      <c r="CG68" s="16">
        <f>IF(ISNA(VLOOKUP(A68,'Données projet'!$A$113:$I$133,4,0)),0,VLOOKUP(A68,'Données projet'!$A$113:$I$133,4,0))</f>
        <v>11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356</v>
      </c>
      <c r="CR68" s="13">
        <f>VLOOKUP(A68,'Données projet'!$A$139:$I$159,9,0)</f>
        <v>6</v>
      </c>
      <c r="CS68" s="13">
        <f t="array" ref="CS68">INDEX(CR:CR,MIN(IF(ISNUMBER(CR68:CR264),ROW(CR68:CR264),"")))</f>
        <v>6</v>
      </c>
      <c r="CT68" s="13">
        <f>IF('Données projet'!$A$140&gt;35,CT67+CS68-DB67,IF(A68&lt;'Données projet'!$A$140,$CQ$205^A68,IF(A68='Données projet'!$A$140,'Données projet'!$B$140,CT67+CS68-DB67)))</f>
        <v>355.99999999999972</v>
      </c>
      <c r="CU68" s="18">
        <f>CT68*VLOOKUP('Données projet'!$B$13,Paramètres!$A$1:$I$89,3,0)*VLOOKUP('Données projet'!$B$13,Paramètres!$A$1:$I$89,5,0)</f>
        <v>261.01919999999978</v>
      </c>
      <c r="CV68" s="14">
        <f t="shared" si="41"/>
        <v>62.939580716713571</v>
      </c>
      <c r="CW68" s="22">
        <f t="shared" ref="CW68:CW131" si="67">(CU68+CV68)*0.475*44/12</f>
        <v>564.22820974827573</v>
      </c>
      <c r="CX68" s="62">
        <f t="shared" ref="CX68:CX131" si="68">CW68+(CO68+CP68)*44/12</f>
        <v>857.56154308160899</v>
      </c>
      <c r="CY68" s="62">
        <f ca="1">AVERAGE(OFFSET($CX$3,0,0,'Données projet'!$E$13+1,1))-AVERAGE(OFFSET($H$3,0,0,'Données projet'!$E$13+1,1))</f>
        <v>376.5422416541544</v>
      </c>
      <c r="CZ68" s="62">
        <f t="shared" si="42"/>
        <v>365.76175372075869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16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7.2609740588704774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7.2609740588704774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439.06700232017681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2.2737367544323206E-13</v>
      </c>
      <c r="AJ69" s="14">
        <f>AI69*VLOOKUP('Données projet'!$B$10,Paramètres!$A$1:$I$89,3,0)*VLOOKUP('Données projet'!$B$10,Paramètres!$A$1:$I$89,5,0)</f>
        <v>2.0572770154103635E-13</v>
      </c>
      <c r="AK69" s="14">
        <f t="shared" ref="AK69:AK132" si="89">EXP(-1.0587+0.8836*LN(AJ69)+0.284)</f>
        <v>2.8416956338469711E-12</v>
      </c>
      <c r="AL69" s="22">
        <f t="shared" si="58"/>
        <v>5.3075956424674458E-12</v>
      </c>
      <c r="AM69" s="62">
        <f t="shared" si="59"/>
        <v>293.3333333333386</v>
      </c>
      <c r="AN69" s="62">
        <f ca="1">AVERAGE(OFFSET($AM$3,0,0,'Données projet'!$E$10+1,1))-AVERAGE(OFFSET($H$3,0,0,'Données projet'!$E$10+1,1))</f>
        <v>436.23918637269577</v>
      </c>
      <c r="AO69" s="62">
        <f t="shared" ref="AO69:AO132" si="90">$AO$3</f>
        <v>611.43967996341894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0.41185859695552546</v>
      </c>
      <c r="AV69" s="23">
        <f>EXP(-LN(2)/25)*AV68+(1-EXP(-LN(2)/25))/(LN(2)/25)*Calculateur!AQ69*Calculateur!AS69*VLOOKUP('Données projet'!$B$10,Paramètres!$A$1:$I$89,3,0)*0.475*44/12</f>
        <v>0.53978459395441347</v>
      </c>
      <c r="AW69" s="23">
        <f>EXP(-LN(2)/2)*AW68+(1-EXP(-LN(2)/2))/(LN(2)/2)*AQ69*AT69*VLOOKUP('Données projet'!$B$10,Paramètres!$A$1:$I$89,3,0)*0.475*44/12</f>
        <v>2.279633356607318E-5</v>
      </c>
      <c r="AX69" s="23">
        <f t="shared" si="60"/>
        <v>0.95166598724350504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8.6666666666666661</v>
      </c>
      <c r="BD69" s="13">
        <f>IF('Données projet'!$A$88&gt;35,BD68+BC69-BL68,IF(A69&lt;'Données projet'!$A$88,$BA$205^A69,IF(A69='Données projet'!$A$88,'Données projet'!$B$88,BD68+BC69-BL68)))</f>
        <v>302</v>
      </c>
      <c r="BE69" s="14">
        <f>BD69*VLOOKUP('Données projet'!$B$11,Paramètres!$A$1:$I$89,3,0)*VLOOKUP('Données projet'!$B$11,Paramètres!$A$1:$I$89,5,0)</f>
        <v>235.56</v>
      </c>
      <c r="BF69" s="14">
        <f t="shared" ref="BF69:BF132" si="91">EXP(-1.0587+0.8836*LN(BE69)+0.284)</f>
        <v>57.483207143847721</v>
      </c>
      <c r="BG69" s="22">
        <f t="shared" si="61"/>
        <v>510.38358577553481</v>
      </c>
      <c r="BH69" s="62">
        <f t="shared" si="62"/>
        <v>803.71691910886807</v>
      </c>
      <c r="BI69" s="62">
        <f ca="1">AVERAGE(OFFSET($BH$3,0,0,'Données projet'!$E$11+1,1))-AVERAGE(OFFSET($H$3,0,0,'Données projet'!$E$11+1,1))</f>
        <v>288.82868507674738</v>
      </c>
      <c r="BJ69" s="62">
        <f t="shared" ref="BJ69:BJ132" si="92">$BJ$3</f>
        <v>283.48738729114024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</v>
      </c>
      <c r="BY69" s="13">
        <f>IF('Données projet'!$A$114&gt;35,BY68+BX69-CG68,IF(A69&lt;'Données projet'!$A$114,$BV$205^A69,IF(A69='Données projet'!$A$114,'Données projet'!$B$114,BY68+BX69-CG68)))</f>
        <v>246.79999999999984</v>
      </c>
      <c r="BZ69" s="14">
        <f>BY69*VLOOKUP('Données projet'!$B$12,Paramètres!$A$1:$I$89,3,0)*VLOOKUP('Données projet'!$B$12,Paramètres!$A$1:$I$89,5,0)</f>
        <v>196.3540799999999</v>
      </c>
      <c r="CA69" s="14">
        <f t="shared" ref="CA69:CA132" si="93">EXP(-1.0587+0.8836*LN(BZ69)+0.284)</f>
        <v>48.942048927099528</v>
      </c>
      <c r="CB69" s="22">
        <f t="shared" si="64"/>
        <v>427.22409121469815</v>
      </c>
      <c r="CC69" s="62">
        <f t="shared" si="65"/>
        <v>720.55742454803146</v>
      </c>
      <c r="CD69" s="62">
        <f ca="1">AVERAGE(OFFSET($CC$3,0,0,'Données projet'!$E$12+1,1))-AVERAGE(OFFSET($H$3,0,0,'Données projet'!$E$12+1,1))</f>
        <v>298.89893065707554</v>
      </c>
      <c r="CE69" s="62">
        <f t="shared" ref="CE69:CE132" si="94">$CE$3</f>
        <v>294.28794439094878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5.2</v>
      </c>
      <c r="CT69" s="13">
        <f>IF('Données projet'!$A$140&gt;35,CT68+CS69-DB68,IF(A69&lt;'Données projet'!$A$140,$CQ$205^A69,IF(A69='Données projet'!$A$140,'Données projet'!$B$140,CT68+CS69-DB68)))</f>
        <v>345.1999999999997</v>
      </c>
      <c r="CU69" s="18">
        <f>CT69*VLOOKUP('Données projet'!$B$13,Paramètres!$A$1:$I$89,3,0)*VLOOKUP('Données projet'!$B$13,Paramètres!$A$1:$I$89,5,0)</f>
        <v>253.1006399999998</v>
      </c>
      <c r="CV69" s="14">
        <f t="shared" ref="CV69:CV132" si="95">EXP(-1.0587+0.8836*LN(CU69)+0.284)</f>
        <v>61.249419177028884</v>
      </c>
      <c r="CW69" s="22">
        <f t="shared" si="67"/>
        <v>547.4930197333249</v>
      </c>
      <c r="CX69" s="62">
        <f t="shared" si="68"/>
        <v>840.82635306665816</v>
      </c>
      <c r="CY69" s="62">
        <f ca="1">AVERAGE(OFFSET($CX$3,0,0,'Données projet'!$E$13+1,1))-AVERAGE(OFFSET($H$3,0,0,'Données projet'!$E$13+1,1))</f>
        <v>376.5422416541544</v>
      </c>
      <c r="CZ69" s="62">
        <f t="shared" ref="CZ69:CZ132" si="96">$CZ$3</f>
        <v>365.76175372075869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7.0624223413926339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7.0624223413926339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439.06700232017681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2.2737367544323206E-13</v>
      </c>
      <c r="AJ70" s="14">
        <f>AI70*VLOOKUP('Données projet'!$B$10,Paramètres!$A$1:$I$89,3,0)*VLOOKUP('Données projet'!$B$10,Paramètres!$A$1:$I$89,5,0)</f>
        <v>2.0572770154103635E-13</v>
      </c>
      <c r="AK70" s="14">
        <f t="shared" si="89"/>
        <v>2.8416956338469711E-12</v>
      </c>
      <c r="AL70" s="22">
        <f t="shared" si="58"/>
        <v>5.3075956424674458E-12</v>
      </c>
      <c r="AM70" s="62">
        <f t="shared" si="59"/>
        <v>293.3333333333386</v>
      </c>
      <c r="AN70" s="62">
        <f ca="1">AVERAGE(OFFSET($AM$3,0,0,'Données projet'!$E$10+1,1))-AVERAGE(OFFSET($H$3,0,0,'Données projet'!$E$10+1,1))</f>
        <v>436.23918637269577</v>
      </c>
      <c r="AO70" s="62">
        <f t="shared" si="90"/>
        <v>611.43967996341894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0.40378230107816693</v>
      </c>
      <c r="AV70" s="23">
        <f>EXP(-LN(2)/25)*AV69+(1-EXP(-LN(2)/25))/(LN(2)/25)*Calculateur!AQ70*Calculateur!AS70*VLOOKUP('Données projet'!$B$10,Paramètres!$A$1:$I$89,3,0)*0.475*44/12</f>
        <v>0.52502415584669193</v>
      </c>
      <c r="AW70" s="23">
        <f>EXP(-LN(2)/2)*AW69+(1-EXP(-LN(2)/2))/(LN(2)/2)*AQ70*AT70*VLOOKUP('Données projet'!$B$10,Paramètres!$A$1:$I$89,3,0)*0.475*44/12</f>
        <v>1.6119442050760857E-5</v>
      </c>
      <c r="AX70" s="23">
        <f t="shared" si="60"/>
        <v>0.92882257636690957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8.6666666666666661</v>
      </c>
      <c r="BD70" s="13">
        <f>IF('Données projet'!$A$88&gt;35,BD69+BC70-BL69,IF(A70&lt;'Données projet'!$A$88,$BA$205^A70,IF(A70='Données projet'!$A$88,'Données projet'!$B$88,BD69+BC70-BL69)))</f>
        <v>310.66666666666669</v>
      </c>
      <c r="BE70" s="14">
        <f>BD70*VLOOKUP('Données projet'!$B$11,Paramètres!$A$1:$I$89,3,0)*VLOOKUP('Données projet'!$B$11,Paramètres!$A$1:$I$89,5,0)</f>
        <v>242.32000000000002</v>
      </c>
      <c r="BF70" s="14">
        <f t="shared" si="91"/>
        <v>58.938409961900859</v>
      </c>
      <c r="BG70" s="22">
        <f t="shared" si="61"/>
        <v>524.69173068364398</v>
      </c>
      <c r="BH70" s="62">
        <f t="shared" si="62"/>
        <v>818.02506401697724</v>
      </c>
      <c r="BI70" s="62">
        <f ca="1">AVERAGE(OFFSET($BH$3,0,0,'Données projet'!$E$11+1,1))-AVERAGE(OFFSET($H$3,0,0,'Données projet'!$E$11+1,1))</f>
        <v>288.82868507674738</v>
      </c>
      <c r="BJ70" s="62">
        <f t="shared" si="92"/>
        <v>283.48738729114024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</v>
      </c>
      <c r="BY70" s="13">
        <f>IF('Données projet'!$A$114&gt;35,BY69+BX70-CG69,IF(A70&lt;'Données projet'!$A$114,$BV$205^A70,IF(A70='Données projet'!$A$114,'Données projet'!$B$114,BY69+BX70-CG69)))</f>
        <v>250.59999999999985</v>
      </c>
      <c r="BZ70" s="14">
        <f>BY70*VLOOKUP('Données projet'!$B$12,Paramètres!$A$1:$I$89,3,0)*VLOOKUP('Données projet'!$B$12,Paramètres!$A$1:$I$89,5,0)</f>
        <v>199.3773599999999</v>
      </c>
      <c r="CA70" s="14">
        <f t="shared" si="93"/>
        <v>49.607305476717762</v>
      </c>
      <c r="CB70" s="22">
        <f t="shared" si="64"/>
        <v>433.64829237194994</v>
      </c>
      <c r="CC70" s="62">
        <f t="shared" si="65"/>
        <v>726.98162570528325</v>
      </c>
      <c r="CD70" s="62">
        <f ca="1">AVERAGE(OFFSET($CC$3,0,0,'Données projet'!$E$12+1,1))-AVERAGE(OFFSET($H$3,0,0,'Données projet'!$E$12+1,1))</f>
        <v>298.89893065707554</v>
      </c>
      <c r="CE70" s="62">
        <f t="shared" si="94"/>
        <v>294.28794439094878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5.2</v>
      </c>
      <c r="CT70" s="13">
        <f>IF('Données projet'!$A$140&gt;35,CT69+CS70-DB69,IF(A70&lt;'Données projet'!$A$140,$CQ$205^A70,IF(A70='Données projet'!$A$140,'Données projet'!$B$140,CT69+CS70-DB69)))</f>
        <v>350.39999999999969</v>
      </c>
      <c r="CU70" s="18">
        <f>CT70*VLOOKUP('Données projet'!$B$13,Paramètres!$A$1:$I$89,3,0)*VLOOKUP('Données projet'!$B$13,Paramètres!$A$1:$I$89,5,0)</f>
        <v>256.91327999999976</v>
      </c>
      <c r="CV70" s="14">
        <f t="shared" si="95"/>
        <v>62.063957347667916</v>
      </c>
      <c r="CW70" s="22">
        <f t="shared" si="67"/>
        <v>555.55202171385451</v>
      </c>
      <c r="CX70" s="62">
        <f t="shared" si="68"/>
        <v>848.88535504718789</v>
      </c>
      <c r="CY70" s="62">
        <f ca="1">AVERAGE(OFFSET($CX$3,0,0,'Données projet'!$E$13+1,1))-AVERAGE(OFFSET($H$3,0,0,'Données projet'!$E$13+1,1))</f>
        <v>376.5422416541544</v>
      </c>
      <c r="CZ70" s="62">
        <f t="shared" si="96"/>
        <v>365.76175372075869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6.8693000310706029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6.8693000310706029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439.06700232017681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2.2737367544323206E-13</v>
      </c>
      <c r="AJ71" s="14">
        <f>AI71*VLOOKUP('Données projet'!$B$10,Paramètres!$A$1:$I$89,3,0)*VLOOKUP('Données projet'!$B$10,Paramètres!$A$1:$I$89,5,0)</f>
        <v>2.0572770154103635E-13</v>
      </c>
      <c r="AK71" s="14">
        <f t="shared" si="89"/>
        <v>2.8416956338469711E-12</v>
      </c>
      <c r="AL71" s="22">
        <f t="shared" si="58"/>
        <v>5.3075956424674458E-12</v>
      </c>
      <c r="AM71" s="62">
        <f t="shared" si="59"/>
        <v>293.3333333333386</v>
      </c>
      <c r="AN71" s="62">
        <f ca="1">AVERAGE(OFFSET($AM$3,0,0,'Données projet'!$E$10+1,1))-AVERAGE(OFFSET($H$3,0,0,'Données projet'!$E$10+1,1))</f>
        <v>436.23918637269577</v>
      </c>
      <c r="AO71" s="62">
        <f t="shared" si="90"/>
        <v>611.43967996341894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0.3958643764369093</v>
      </c>
      <c r="AV71" s="23">
        <f>EXP(-LN(2)/25)*AV70+(1-EXP(-LN(2)/25))/(LN(2)/25)*Calculateur!AQ71*Calculateur!AS71*VLOOKUP('Données projet'!$B$10,Paramètres!$A$1:$I$89,3,0)*0.475*44/12</f>
        <v>0.51066734269524372</v>
      </c>
      <c r="AW71" s="23">
        <f>EXP(-LN(2)/2)*AW70+(1-EXP(-LN(2)/2))/(LN(2)/2)*AQ71*AT71*VLOOKUP('Données projet'!$B$10,Paramètres!$A$1:$I$89,3,0)*0.475*44/12</f>
        <v>1.139816678303659E-5</v>
      </c>
      <c r="AX71" s="23">
        <f t="shared" si="60"/>
        <v>0.90654311729893611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8.6666666666666661</v>
      </c>
      <c r="BD71" s="13">
        <f>IF('Données projet'!$A$88&gt;35,BD70+BC71-BL70,IF(A71&lt;'Données projet'!$A$88,$BA$205^A71,IF(A71='Données projet'!$A$88,'Données projet'!$B$88,BD70+BC71-BL70)))</f>
        <v>319.33333333333337</v>
      </c>
      <c r="BE71" s="14">
        <f>BD71*VLOOKUP('Données projet'!$B$11,Paramètres!$A$1:$I$89,3,0)*VLOOKUP('Données projet'!$B$11,Paramètres!$A$1:$I$89,5,0)</f>
        <v>249.08000000000004</v>
      </c>
      <c r="BF71" s="14">
        <f t="shared" si="91"/>
        <v>60.388894447487807</v>
      </c>
      <c r="BG71" s="22">
        <f t="shared" si="61"/>
        <v>538.99165782937473</v>
      </c>
      <c r="BH71" s="62">
        <f t="shared" si="62"/>
        <v>832.3249911627081</v>
      </c>
      <c r="BI71" s="62">
        <f ca="1">AVERAGE(OFFSET($BH$3,0,0,'Données projet'!$E$11+1,1))-AVERAGE(OFFSET($H$3,0,0,'Données projet'!$E$11+1,1))</f>
        <v>288.82868507674738</v>
      </c>
      <c r="BJ71" s="62">
        <f t="shared" si="92"/>
        <v>283.48738729114024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</v>
      </c>
      <c r="BY71" s="13">
        <f>IF('Données projet'!$A$114&gt;35,BY70+BX71-CG70,IF(A71&lt;'Données projet'!$A$114,$BV$205^A71,IF(A71='Données projet'!$A$114,'Données projet'!$B$114,BY70+BX71-CG70)))</f>
        <v>254.39999999999986</v>
      </c>
      <c r="BZ71" s="14">
        <f>BY71*VLOOKUP('Données projet'!$B$12,Paramètres!$A$1:$I$89,3,0)*VLOOKUP('Données projet'!$B$12,Paramètres!$A$1:$I$89,5,0)</f>
        <v>202.40063999999992</v>
      </c>
      <c r="CA71" s="14">
        <f t="shared" si="93"/>
        <v>50.271388807440687</v>
      </c>
      <c r="CB71" s="22">
        <f t="shared" si="64"/>
        <v>440.070450172959</v>
      </c>
      <c r="CC71" s="62">
        <f t="shared" si="65"/>
        <v>733.40378350629226</v>
      </c>
      <c r="CD71" s="62">
        <f ca="1">AVERAGE(OFFSET($CC$3,0,0,'Données projet'!$E$12+1,1))-AVERAGE(OFFSET($H$3,0,0,'Données projet'!$E$12+1,1))</f>
        <v>298.89893065707554</v>
      </c>
      <c r="CE71" s="62">
        <f t="shared" si="94"/>
        <v>294.28794439094878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5.2</v>
      </c>
      <c r="CT71" s="13">
        <f>IF('Données projet'!$A$140&gt;35,CT70+CS71-DB70,IF(A71&lt;'Données projet'!$A$140,$CQ$205^A71,IF(A71='Données projet'!$A$140,'Données projet'!$B$140,CT70+CS71-DB70)))</f>
        <v>355.59999999999968</v>
      </c>
      <c r="CU71" s="18">
        <f>CT71*VLOOKUP('Données projet'!$B$13,Paramètres!$A$1:$I$89,3,0)*VLOOKUP('Données projet'!$B$13,Paramètres!$A$1:$I$89,5,0)</f>
        <v>260.72591999999975</v>
      </c>
      <c r="CV71" s="14">
        <f t="shared" si="95"/>
        <v>62.877089647292053</v>
      </c>
      <c r="CW71" s="22">
        <f t="shared" si="67"/>
        <v>563.60857513569988</v>
      </c>
      <c r="CX71" s="62">
        <f t="shared" si="68"/>
        <v>856.94190846903325</v>
      </c>
      <c r="CY71" s="62">
        <f ca="1">AVERAGE(OFFSET($CX$3,0,0,'Données projet'!$E$13+1,1))-AVERAGE(OFFSET($H$3,0,0,'Données projet'!$E$13+1,1))</f>
        <v>376.5422416541544</v>
      </c>
      <c r="CZ71" s="62">
        <f t="shared" si="96"/>
        <v>365.76175372075869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6.6814586604801889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6.6814586604801889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439.06700232017681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2.2737367544323206E-13</v>
      </c>
      <c r="AJ72" s="14">
        <f>AI72*VLOOKUP('Données projet'!$B$10,Paramètres!$A$1:$I$89,3,0)*VLOOKUP('Données projet'!$B$10,Paramètres!$A$1:$I$89,5,0)</f>
        <v>2.0572770154103635E-13</v>
      </c>
      <c r="AK72" s="14">
        <f t="shared" si="89"/>
        <v>2.8416956338469711E-12</v>
      </c>
      <c r="AL72" s="22">
        <f t="shared" si="58"/>
        <v>5.3075956424674458E-12</v>
      </c>
      <c r="AM72" s="62">
        <f t="shared" si="59"/>
        <v>293.3333333333386</v>
      </c>
      <c r="AN72" s="62">
        <f ca="1">AVERAGE(OFFSET($AM$3,0,0,'Données projet'!$E$10+1,1))-AVERAGE(OFFSET($H$3,0,0,'Données projet'!$E$10+1,1))</f>
        <v>436.23918637269577</v>
      </c>
      <c r="AO72" s="62">
        <f t="shared" si="90"/>
        <v>611.43967996341894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0.3881017174684096</v>
      </c>
      <c r="AV72" s="23">
        <f>EXP(-LN(2)/25)*AV71+(1-EXP(-LN(2)/25))/(LN(2)/25)*Calculateur!AQ72*Calculateur!AS72*VLOOKUP('Données projet'!$B$10,Paramètres!$A$1:$I$89,3,0)*0.475*44/12</f>
        <v>0.49670311735441386</v>
      </c>
      <c r="AW72" s="23">
        <f>EXP(-LN(2)/2)*AW71+(1-EXP(-LN(2)/2))/(LN(2)/2)*AQ72*AT72*VLOOKUP('Données projet'!$B$10,Paramètres!$A$1:$I$89,3,0)*0.475*44/12</f>
        <v>8.0597210253804284E-6</v>
      </c>
      <c r="AX72" s="23">
        <f t="shared" si="60"/>
        <v>0.88481289454384882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328</v>
      </c>
      <c r="BB72" s="13">
        <f>VLOOKUP(A72,'Données projet'!$A$87:$I$107,9,0)</f>
        <v>8.6666666666666661</v>
      </c>
      <c r="BC72" s="13">
        <f t="array" ref="BC72">INDEX(BB:BB,MIN(IF(ISNUMBER(BB72:BB268),ROW(BB72:BB268),"")))</f>
        <v>8.6666666666666661</v>
      </c>
      <c r="BD72" s="13">
        <f>IF('Données projet'!$A$88&gt;35,BD71+BC72-BL71,IF(A72&lt;'Données projet'!$A$88,$BA$205^A72,IF(A72='Données projet'!$A$88,'Données projet'!$B$88,BD71+BC72-BL71)))</f>
        <v>328.00000000000006</v>
      </c>
      <c r="BE72" s="14">
        <f>BD72*VLOOKUP('Données projet'!$B$11,Paramètres!$A$1:$I$89,3,0)*VLOOKUP('Données projet'!$B$11,Paramètres!$A$1:$I$89,5,0)</f>
        <v>255.84000000000006</v>
      </c>
      <c r="BF72" s="14">
        <f t="shared" si="91"/>
        <v>61.834803371075836</v>
      </c>
      <c r="BG72" s="22">
        <f t="shared" si="61"/>
        <v>553.28361587129041</v>
      </c>
      <c r="BH72" s="62">
        <f t="shared" si="62"/>
        <v>846.61694920462378</v>
      </c>
      <c r="BI72" s="62">
        <f ca="1">AVERAGE(OFFSET($BH$3,0,0,'Données projet'!$E$11+1,1))-AVERAGE(OFFSET($H$3,0,0,'Données projet'!$E$11+1,1))</f>
        <v>288.82868507674738</v>
      </c>
      <c r="BJ72" s="62">
        <f t="shared" si="92"/>
        <v>283.48738729114024</v>
      </c>
      <c r="BK72" s="16">
        <f>IF(ISNA(VLOOKUP(A72,'Données projet'!$A$87:$I$107,3,0)),0,VLOOKUP(A72,'Données projet'!$A$87:$I$107,3,0))</f>
        <v>9</v>
      </c>
      <c r="BL72" s="16">
        <f>IF(ISNA(VLOOKUP(A72,'Données projet'!$A$87:$I$107,4,0)),0,VLOOKUP(A72,'Données projet'!$A$87:$I$107,4,0))</f>
        <v>328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</v>
      </c>
      <c r="BY72" s="13">
        <f>IF('Données projet'!$A$114&gt;35,BY71+BX72-CG71,IF(A72&lt;'Données projet'!$A$114,$BV$205^A72,IF(A72='Données projet'!$A$114,'Données projet'!$B$114,BY71+BX72-CG71)))</f>
        <v>258.19999999999987</v>
      </c>
      <c r="BZ72" s="14">
        <f>BY72*VLOOKUP('Données projet'!$B$12,Paramètres!$A$1:$I$89,3,0)*VLOOKUP('Données projet'!$B$12,Paramètres!$A$1:$I$89,5,0)</f>
        <v>205.4239199999999</v>
      </c>
      <c r="CA72" s="14">
        <f t="shared" si="93"/>
        <v>50.934318468081216</v>
      </c>
      <c r="CB72" s="22">
        <f t="shared" si="64"/>
        <v>446.49059866524129</v>
      </c>
      <c r="CC72" s="62">
        <f t="shared" si="65"/>
        <v>739.82393199857461</v>
      </c>
      <c r="CD72" s="62">
        <f ca="1">AVERAGE(OFFSET($CC$3,0,0,'Données projet'!$E$12+1,1))-AVERAGE(OFFSET($H$3,0,0,'Données projet'!$E$12+1,1))</f>
        <v>298.89893065707554</v>
      </c>
      <c r="CE72" s="62">
        <f t="shared" si="94"/>
        <v>294.28794439094878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5.2</v>
      </c>
      <c r="CT72" s="13">
        <f>IF('Données projet'!$A$140&gt;35,CT71+CS72-DB71,IF(A72&lt;'Données projet'!$A$140,$CQ$205^A72,IF(A72='Données projet'!$A$140,'Données projet'!$B$140,CT71+CS72-DB71)))</f>
        <v>360.79999999999967</v>
      </c>
      <c r="CU72" s="18">
        <f>CT72*VLOOKUP('Données projet'!$B$13,Paramètres!$A$1:$I$89,3,0)*VLOOKUP('Données projet'!$B$13,Paramètres!$A$1:$I$89,5,0)</f>
        <v>264.53855999999973</v>
      </c>
      <c r="CV72" s="14">
        <f t="shared" si="95"/>
        <v>63.688839009304033</v>
      </c>
      <c r="CW72" s="22">
        <f t="shared" si="67"/>
        <v>571.66271994120405</v>
      </c>
      <c r="CX72" s="62">
        <f t="shared" si="68"/>
        <v>864.99605327453742</v>
      </c>
      <c r="CY72" s="62">
        <f ca="1">AVERAGE(OFFSET($CX$3,0,0,'Données projet'!$E$13+1,1))-AVERAGE(OFFSET($H$3,0,0,'Données projet'!$E$13+1,1))</f>
        <v>376.5422416541544</v>
      </c>
      <c r="CZ72" s="62">
        <f t="shared" si="96"/>
        <v>365.76175372075869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6.4987538220467176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6.4987538220467176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439.06700232017681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2.2737367544323206E-13</v>
      </c>
      <c r="AJ73" s="14">
        <f>AI73*VLOOKUP('Données projet'!$B$10,Paramètres!$A$1:$I$89,3,0)*VLOOKUP('Données projet'!$B$10,Paramètres!$A$1:$I$89,5,0)</f>
        <v>2.0572770154103635E-13</v>
      </c>
      <c r="AK73" s="14">
        <f t="shared" si="89"/>
        <v>2.8416956338469711E-12</v>
      </c>
      <c r="AL73" s="22">
        <f t="shared" si="58"/>
        <v>5.3075956424674458E-12</v>
      </c>
      <c r="AM73" s="62">
        <f t="shared" si="59"/>
        <v>293.3333333333386</v>
      </c>
      <c r="AN73" s="62">
        <f ca="1">AVERAGE(OFFSET($AM$3,0,0,'Données projet'!$E$10+1,1))-AVERAGE(OFFSET($H$3,0,0,'Données projet'!$E$10+1,1))</f>
        <v>436.23918637269577</v>
      </c>
      <c r="AO73" s="62">
        <f t="shared" si="90"/>
        <v>611.43967996341894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0.3804912795075277</v>
      </c>
      <c r="AV73" s="23">
        <f>EXP(-LN(2)/25)*AV72+(1-EXP(-LN(2)/25))/(LN(2)/25)*Calculateur!AQ73*Calculateur!AS73*VLOOKUP('Données projet'!$B$10,Paramètres!$A$1:$I$89,3,0)*0.475*44/12</f>
        <v>0.48312074448987569</v>
      </c>
      <c r="AW73" s="23">
        <f>EXP(-LN(2)/2)*AW72+(1-EXP(-LN(2)/2))/(LN(2)/2)*AQ73*AT73*VLOOKUP('Données projet'!$B$10,Paramètres!$A$1:$I$89,3,0)*0.475*44/12</f>
        <v>5.699083391518295E-6</v>
      </c>
      <c r="AX73" s="23">
        <f t="shared" si="60"/>
        <v>0.86361772308079499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4.4337866711430253E-14</v>
      </c>
      <c r="BF73" s="14">
        <f t="shared" si="91"/>
        <v>7.3222115536967035E-13</v>
      </c>
      <c r="BG73" s="22">
        <f t="shared" si="61"/>
        <v>1.3525069634579169E-12</v>
      </c>
      <c r="BH73" s="62">
        <f t="shared" si="62"/>
        <v>293.33333333333468</v>
      </c>
      <c r="BI73" s="62">
        <f ca="1">AVERAGE(OFFSET($BH$3,0,0,'Données projet'!$E$11+1,1))-AVERAGE(OFFSET($H$3,0,0,'Données projet'!$E$11+1,1))</f>
        <v>288.82868507674738</v>
      </c>
      <c r="BJ73" s="62">
        <f t="shared" si="92"/>
        <v>283.48738729114024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262</v>
      </c>
      <c r="BW73" s="13">
        <f>VLOOKUP(A73,'Données projet'!$A$113:$I$133,9,0)</f>
        <v>3.8</v>
      </c>
      <c r="BX73" s="13">
        <f t="array" ref="BX73">INDEX(BW:BW,MIN(IF(ISNUMBER(BW73:BW269),ROW(BW73:BW269),"")))</f>
        <v>3.8</v>
      </c>
      <c r="BY73" s="13">
        <f>IF('Données projet'!$A$114&gt;35,BY72+BX73-CG72,IF(A73&lt;'Données projet'!$A$114,$BV$205^A73,IF(A73='Données projet'!$A$114,'Données projet'!$B$114,BY72+BX73-CG72)))</f>
        <v>261.99999999999989</v>
      </c>
      <c r="BZ73" s="14">
        <f>BY73*VLOOKUP('Données projet'!$B$12,Paramètres!$A$1:$I$89,3,0)*VLOOKUP('Données projet'!$B$12,Paramètres!$A$1:$I$89,5,0)</f>
        <v>208.44719999999992</v>
      </c>
      <c r="CA73" s="14">
        <f t="shared" si="93"/>
        <v>51.596113399008644</v>
      </c>
      <c r="CB73" s="22">
        <f t="shared" si="64"/>
        <v>452.90877083660661</v>
      </c>
      <c r="CC73" s="62">
        <f t="shared" si="65"/>
        <v>746.24210416993992</v>
      </c>
      <c r="CD73" s="62">
        <f ca="1">AVERAGE(OFFSET($CC$3,0,0,'Données projet'!$E$12+1,1))-AVERAGE(OFFSET($H$3,0,0,'Données projet'!$E$12+1,1))</f>
        <v>298.89893065707554</v>
      </c>
      <c r="CE73" s="62">
        <f t="shared" si="94"/>
        <v>294.28794439094878</v>
      </c>
      <c r="CF73" s="16">
        <f>IF(ISNA(VLOOKUP(A73,'Données projet'!$A$113:$I$133,3,0)),0,VLOOKUP(A73,'Données projet'!$A$113:$I$133,3,0))</f>
        <v>12</v>
      </c>
      <c r="CG73" s="16">
        <f>IF(ISNA(VLOOKUP(A73,'Données projet'!$A$113:$I$133,4,0)),0,VLOOKUP(A73,'Données projet'!$A$113:$I$133,4,0))</f>
        <v>10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366</v>
      </c>
      <c r="CR73" s="13">
        <f>VLOOKUP(A73,'Données projet'!$A$139:$I$159,9,0)</f>
        <v>5.2</v>
      </c>
      <c r="CS73" s="13">
        <f t="array" ref="CS73">INDEX(CR:CR,MIN(IF(ISNUMBER(CR73:CR269),ROW(CR73:CR269),"")))</f>
        <v>5.2</v>
      </c>
      <c r="CT73" s="13">
        <f>IF('Données projet'!$A$140&gt;35,CT72+CS73-DB72,IF(A73&lt;'Données projet'!$A$140,$CQ$205^A73,IF(A73='Données projet'!$A$140,'Données projet'!$B$140,CT72+CS73-DB72)))</f>
        <v>365.99999999999966</v>
      </c>
      <c r="CU73" s="18">
        <f>CT73*VLOOKUP('Données projet'!$B$13,Paramètres!$A$1:$I$89,3,0)*VLOOKUP('Données projet'!$B$13,Paramètres!$A$1:$I$89,5,0)</f>
        <v>268.35119999999978</v>
      </c>
      <c r="CV73" s="14">
        <f t="shared" si="95"/>
        <v>64.499227668096069</v>
      </c>
      <c r="CW73" s="22">
        <f t="shared" si="67"/>
        <v>579.71449485526693</v>
      </c>
      <c r="CX73" s="62">
        <f t="shared" si="68"/>
        <v>873.04782818860031</v>
      </c>
      <c r="CY73" s="62">
        <f ca="1">AVERAGE(OFFSET($CX$3,0,0,'Données projet'!$E$13+1,1))-AVERAGE(OFFSET($H$3,0,0,'Données projet'!$E$13+1,1))</f>
        <v>376.5422416541544</v>
      </c>
      <c r="CZ73" s="62">
        <f t="shared" si="96"/>
        <v>365.76175372075869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15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6.3210450570282397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6.3210450570282397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439.06700232017681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2.2737367544323206E-13</v>
      </c>
      <c r="AJ74" s="14">
        <f>AI74*VLOOKUP('Données projet'!$B$10,Paramètres!$A$1:$I$89,3,0)*VLOOKUP('Données projet'!$B$10,Paramètres!$A$1:$I$89,5,0)</f>
        <v>2.0572770154103635E-13</v>
      </c>
      <c r="AK74" s="14">
        <f t="shared" si="89"/>
        <v>2.8416956338469711E-12</v>
      </c>
      <c r="AL74" s="22">
        <f t="shared" si="58"/>
        <v>5.3075956424674458E-12</v>
      </c>
      <c r="AM74" s="62">
        <f t="shared" si="59"/>
        <v>293.3333333333386</v>
      </c>
      <c r="AN74" s="62">
        <f ca="1">AVERAGE(OFFSET($AM$3,0,0,'Données projet'!$E$10+1,1))-AVERAGE(OFFSET($H$3,0,0,'Données projet'!$E$10+1,1))</f>
        <v>436.23918637269577</v>
      </c>
      <c r="AO74" s="62">
        <f t="shared" si="90"/>
        <v>611.43967996341894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0.37303007759314993</v>
      </c>
      <c r="AV74" s="23">
        <f>EXP(-LN(2)/25)*AV73+(1-EXP(-LN(2)/25))/(LN(2)/25)*Calculateur!AQ74*Calculateur!AS74*VLOOKUP('Données projet'!$B$10,Paramètres!$A$1:$I$89,3,0)*0.475*44/12</f>
        <v>0.46990978232558428</v>
      </c>
      <c r="AW74" s="23">
        <f>EXP(-LN(2)/2)*AW73+(1-EXP(-LN(2)/2))/(LN(2)/2)*AQ74*AT74*VLOOKUP('Données projet'!$B$10,Paramètres!$A$1:$I$89,3,0)*0.475*44/12</f>
        <v>4.0298605126902142E-6</v>
      </c>
      <c r="AX74" s="23">
        <f t="shared" si="60"/>
        <v>0.84294388977924695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4.4337866711430253E-14</v>
      </c>
      <c r="BF74" s="14">
        <f t="shared" si="91"/>
        <v>7.3222115536967035E-13</v>
      </c>
      <c r="BG74" s="22">
        <f t="shared" si="61"/>
        <v>1.3525069634579169E-12</v>
      </c>
      <c r="BH74" s="62">
        <f t="shared" si="62"/>
        <v>293.33333333333468</v>
      </c>
      <c r="BI74" s="62">
        <f ca="1">AVERAGE(OFFSET($BH$3,0,0,'Données projet'!$E$11+1,1))-AVERAGE(OFFSET($H$3,0,0,'Données projet'!$E$11+1,1))</f>
        <v>288.82868507674738</v>
      </c>
      <c r="BJ74" s="62">
        <f t="shared" si="92"/>
        <v>283.48738729114024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255.39999999999986</v>
      </c>
      <c r="BZ74" s="14">
        <f>BY74*VLOOKUP('Données projet'!$B$12,Paramètres!$A$1:$I$89,3,0)*VLOOKUP('Données projet'!$B$12,Paramètres!$A$1:$I$89,5,0)</f>
        <v>203.1962399999999</v>
      </c>
      <c r="CA74" s="14">
        <f t="shared" si="93"/>
        <v>50.445955049216174</v>
      </c>
      <c r="CB74" s="22">
        <f t="shared" si="64"/>
        <v>441.76015637738465</v>
      </c>
      <c r="CC74" s="62">
        <f t="shared" si="65"/>
        <v>735.0934897107179</v>
      </c>
      <c r="CD74" s="62">
        <f ca="1">AVERAGE(OFFSET($CC$3,0,0,'Données projet'!$E$12+1,1))-AVERAGE(OFFSET($H$3,0,0,'Données projet'!$E$12+1,1))</f>
        <v>298.89893065707554</v>
      </c>
      <c r="CE74" s="62">
        <f t="shared" si="94"/>
        <v>294.28794439094878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4.8</v>
      </c>
      <c r="CT74" s="13">
        <f>IF('Données projet'!$A$140&gt;35,CT73+CS74-DB73,IF(A74&lt;'Données projet'!$A$140,$CQ$205^A74,IF(A74='Données projet'!$A$140,'Données projet'!$B$140,CT73+CS74-DB73)))</f>
        <v>355.79999999999967</v>
      </c>
      <c r="CU74" s="18">
        <f>CT74*VLOOKUP('Données projet'!$B$13,Paramètres!$A$1:$I$89,3,0)*VLOOKUP('Données projet'!$B$13,Paramètres!$A$1:$I$89,5,0)</f>
        <v>260.87255999999974</v>
      </c>
      <c r="CV74" s="14">
        <f t="shared" si="95"/>
        <v>62.908336204200786</v>
      </c>
      <c r="CW74" s="22">
        <f t="shared" si="67"/>
        <v>563.9183942223159</v>
      </c>
      <c r="CX74" s="62">
        <f t="shared" si="68"/>
        <v>857.25172755564927</v>
      </c>
      <c r="CY74" s="62">
        <f ca="1">AVERAGE(OFFSET($CX$3,0,0,'Données projet'!$E$13+1,1))-AVERAGE(OFFSET($H$3,0,0,'Données projet'!$E$13+1,1))</f>
        <v>376.5422416541544</v>
      </c>
      <c r="CZ74" s="62">
        <f t="shared" si="96"/>
        <v>365.76175372075869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6.1481957475344897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6.1481957475344897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439.06700232017681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2.2737367544323206E-13</v>
      </c>
      <c r="AJ75" s="14">
        <f>AI75*VLOOKUP('Données projet'!$B$10,Paramètres!$A$1:$I$89,3,0)*VLOOKUP('Données projet'!$B$10,Paramètres!$A$1:$I$89,5,0)</f>
        <v>2.0572770154103635E-13</v>
      </c>
      <c r="AK75" s="14">
        <f t="shared" si="89"/>
        <v>2.8416956338469711E-12</v>
      </c>
      <c r="AL75" s="22">
        <f t="shared" si="58"/>
        <v>5.3075956424674458E-12</v>
      </c>
      <c r="AM75" s="62">
        <f t="shared" si="59"/>
        <v>293.3333333333386</v>
      </c>
      <c r="AN75" s="62">
        <f ca="1">AVERAGE(OFFSET($AM$3,0,0,'Données projet'!$E$10+1,1))-AVERAGE(OFFSET($H$3,0,0,'Données projet'!$E$10+1,1))</f>
        <v>436.23918637269577</v>
      </c>
      <c r="AO75" s="62">
        <f t="shared" si="90"/>
        <v>611.43967996341894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0.3657151852974293</v>
      </c>
      <c r="AV75" s="23">
        <f>EXP(-LN(2)/25)*AV74+(1-EXP(-LN(2)/25))/(LN(2)/25)*Calculateur!AQ75*Calculateur!AS75*VLOOKUP('Données projet'!$B$10,Paramètres!$A$1:$I$89,3,0)*0.475*44/12</f>
        <v>0.45706007461640974</v>
      </c>
      <c r="AW75" s="23">
        <f>EXP(-LN(2)/2)*AW74+(1-EXP(-LN(2)/2))/(LN(2)/2)*AQ75*AT75*VLOOKUP('Données projet'!$B$10,Paramètres!$A$1:$I$89,3,0)*0.475*44/12</f>
        <v>2.8495416957591475E-6</v>
      </c>
      <c r="AX75" s="23">
        <f t="shared" si="60"/>
        <v>0.82277810945553476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4.4337866711430253E-14</v>
      </c>
      <c r="BF75" s="14">
        <f t="shared" si="91"/>
        <v>7.3222115536967035E-13</v>
      </c>
      <c r="BG75" s="22">
        <f t="shared" si="61"/>
        <v>1.3525069634579169E-12</v>
      </c>
      <c r="BH75" s="62">
        <f t="shared" si="62"/>
        <v>293.33333333333468</v>
      </c>
      <c r="BI75" s="62">
        <f ca="1">AVERAGE(OFFSET($BH$3,0,0,'Données projet'!$E$11+1,1))-AVERAGE(OFFSET($H$3,0,0,'Données projet'!$E$11+1,1))</f>
        <v>288.82868507674738</v>
      </c>
      <c r="BJ75" s="62">
        <f t="shared" si="92"/>
        <v>283.48738729114024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258.79999999999984</v>
      </c>
      <c r="BZ75" s="14">
        <f>BY75*VLOOKUP('Données projet'!$B$12,Paramètres!$A$1:$I$89,3,0)*VLOOKUP('Données projet'!$B$12,Paramètres!$A$1:$I$89,5,0)</f>
        <v>205.90127999999987</v>
      </c>
      <c r="CA75" s="14">
        <f t="shared" si="93"/>
        <v>51.038887365811171</v>
      </c>
      <c r="CB75" s="22">
        <f t="shared" si="64"/>
        <v>447.5041248287875</v>
      </c>
      <c r="CC75" s="62">
        <f t="shared" si="65"/>
        <v>740.83745816212081</v>
      </c>
      <c r="CD75" s="62">
        <f ca="1">AVERAGE(OFFSET($CC$3,0,0,'Données projet'!$E$12+1,1))-AVERAGE(OFFSET($H$3,0,0,'Données projet'!$E$12+1,1))</f>
        <v>298.89893065707554</v>
      </c>
      <c r="CE75" s="62">
        <f t="shared" si="94"/>
        <v>294.28794439094878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4.8</v>
      </c>
      <c r="CT75" s="13">
        <f>IF('Données projet'!$A$140&gt;35,CT74+CS75-DB74,IF(A75&lt;'Données projet'!$A$140,$CQ$205^A75,IF(A75='Données projet'!$A$140,'Données projet'!$B$140,CT74+CS75-DB74)))</f>
        <v>360.59999999999968</v>
      </c>
      <c r="CU75" s="18">
        <f>CT75*VLOOKUP('Données projet'!$B$13,Paramètres!$A$1:$I$89,3,0)*VLOOKUP('Données projet'!$B$13,Paramètres!$A$1:$I$89,5,0)</f>
        <v>264.39191999999974</v>
      </c>
      <c r="CV75" s="14">
        <f t="shared" si="95"/>
        <v>63.657643181110089</v>
      </c>
      <c r="CW75" s="22">
        <f t="shared" si="67"/>
        <v>571.35298920709954</v>
      </c>
      <c r="CX75" s="62">
        <f t="shared" si="68"/>
        <v>864.68632254043291</v>
      </c>
      <c r="CY75" s="62">
        <f ca="1">AVERAGE(OFFSET($CX$3,0,0,'Données projet'!$E$13+1,1))-AVERAGE(OFFSET($H$3,0,0,'Données projet'!$E$13+1,1))</f>
        <v>376.5422416541544</v>
      </c>
      <c r="CZ75" s="62">
        <f t="shared" si="96"/>
        <v>365.76175372075869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5.9800730114985967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5.9800730114985967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439.06700232017681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2.2737367544323206E-13</v>
      </c>
      <c r="AJ76" s="14">
        <f>AI76*VLOOKUP('Données projet'!$B$10,Paramètres!$A$1:$I$89,3,0)*VLOOKUP('Données projet'!$B$10,Paramètres!$A$1:$I$89,5,0)</f>
        <v>2.0572770154103635E-13</v>
      </c>
      <c r="AK76" s="14">
        <f t="shared" si="89"/>
        <v>2.8416956338469711E-12</v>
      </c>
      <c r="AL76" s="22">
        <f t="shared" si="58"/>
        <v>5.3075956424674458E-12</v>
      </c>
      <c r="AM76" s="62">
        <f t="shared" si="59"/>
        <v>293.3333333333386</v>
      </c>
      <c r="AN76" s="62">
        <f ca="1">AVERAGE(OFFSET($AM$3,0,0,'Données projet'!$E$10+1,1))-AVERAGE(OFFSET($H$3,0,0,'Données projet'!$E$10+1,1))</f>
        <v>436.23918637269577</v>
      </c>
      <c r="AO76" s="62">
        <f t="shared" si="90"/>
        <v>611.43967996341894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0.35854373357798397</v>
      </c>
      <c r="AV76" s="23">
        <f>EXP(-LN(2)/25)*AV75+(1-EXP(-LN(2)/25))/(LN(2)/25)*Calculateur!AQ76*Calculateur!AS76*VLOOKUP('Données projet'!$B$10,Paramètres!$A$1:$I$89,3,0)*0.475*44/12</f>
        <v>0.44456174284027933</v>
      </c>
      <c r="AW76" s="23">
        <f>EXP(-LN(2)/2)*AW75+(1-EXP(-LN(2)/2))/(LN(2)/2)*AQ76*AT76*VLOOKUP('Données projet'!$B$10,Paramètres!$A$1:$I$89,3,0)*0.475*44/12</f>
        <v>2.0149302563451071E-6</v>
      </c>
      <c r="AX76" s="23">
        <f t="shared" si="60"/>
        <v>0.80310749134851955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4.4337866711430253E-14</v>
      </c>
      <c r="BF76" s="14">
        <f t="shared" si="91"/>
        <v>7.3222115536967035E-13</v>
      </c>
      <c r="BG76" s="22">
        <f t="shared" si="61"/>
        <v>1.3525069634579169E-12</v>
      </c>
      <c r="BH76" s="62">
        <f t="shared" si="62"/>
        <v>293.33333333333468</v>
      </c>
      <c r="BI76" s="62">
        <f ca="1">AVERAGE(OFFSET($BH$3,0,0,'Données projet'!$E$11+1,1))-AVERAGE(OFFSET($H$3,0,0,'Données projet'!$E$11+1,1))</f>
        <v>288.82868507674738</v>
      </c>
      <c r="BJ76" s="62">
        <f t="shared" si="92"/>
        <v>283.48738729114024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262.19999999999982</v>
      </c>
      <c r="BZ76" s="14">
        <f>BY76*VLOOKUP('Données projet'!$B$12,Paramètres!$A$1:$I$89,3,0)*VLOOKUP('Données projet'!$B$12,Paramètres!$A$1:$I$89,5,0)</f>
        <v>208.6063199999999</v>
      </c>
      <c r="CA76" s="14">
        <f t="shared" si="93"/>
        <v>51.630913628711831</v>
      </c>
      <c r="CB76" s="22">
        <f t="shared" si="64"/>
        <v>453.24651523667291</v>
      </c>
      <c r="CC76" s="62">
        <f t="shared" si="65"/>
        <v>746.57984857000622</v>
      </c>
      <c r="CD76" s="62">
        <f ca="1">AVERAGE(OFFSET($CC$3,0,0,'Données projet'!$E$12+1,1))-AVERAGE(OFFSET($H$3,0,0,'Données projet'!$E$12+1,1))</f>
        <v>298.89893065707554</v>
      </c>
      <c r="CE76" s="62">
        <f t="shared" si="94"/>
        <v>294.28794439094878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</v>
      </c>
      <c r="CT76" s="13">
        <f>IF('Données projet'!$A$140&gt;35,CT75+CS76-DB75,IF(A76&lt;'Données projet'!$A$140,$CQ$205^A76,IF(A76='Données projet'!$A$140,'Données projet'!$B$140,CT75+CS76-DB75)))</f>
        <v>365.39999999999969</v>
      </c>
      <c r="CU76" s="18">
        <f>CT76*VLOOKUP('Données projet'!$B$13,Paramètres!$A$1:$I$89,3,0)*VLOOKUP('Données projet'!$B$13,Paramètres!$A$1:$I$89,5,0)</f>
        <v>267.91127999999981</v>
      </c>
      <c r="CV76" s="14">
        <f t="shared" si="95"/>
        <v>64.405790031310872</v>
      </c>
      <c r="CW76" s="22">
        <f t="shared" si="67"/>
        <v>578.78556363786606</v>
      </c>
      <c r="CX76" s="62">
        <f t="shared" si="68"/>
        <v>872.11889697119932</v>
      </c>
      <c r="CY76" s="62">
        <f ca="1">AVERAGE(OFFSET($CX$3,0,0,'Données projet'!$E$13+1,1))-AVERAGE(OFFSET($H$3,0,0,'Données projet'!$E$13+1,1))</f>
        <v>376.5422416541544</v>
      </c>
      <c r="CZ76" s="62">
        <f t="shared" si="96"/>
        <v>365.76175372075869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5.8165476005207957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5.8165476005207957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439.06700232017681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2.2737367544323206E-13</v>
      </c>
      <c r="AJ77" s="14">
        <f>AI77*VLOOKUP('Données projet'!$B$10,Paramètres!$A$1:$I$89,3,0)*VLOOKUP('Données projet'!$B$10,Paramètres!$A$1:$I$89,5,0)</f>
        <v>2.0572770154103635E-13</v>
      </c>
      <c r="AK77" s="14">
        <f t="shared" si="89"/>
        <v>2.8416956338469711E-12</v>
      </c>
      <c r="AL77" s="22">
        <f t="shared" si="58"/>
        <v>5.3075956424674458E-12</v>
      </c>
      <c r="AM77" s="62">
        <f t="shared" si="59"/>
        <v>293.3333333333386</v>
      </c>
      <c r="AN77" s="62">
        <f ca="1">AVERAGE(OFFSET($AM$3,0,0,'Données projet'!$E$10+1,1))-AVERAGE(OFFSET($H$3,0,0,'Données projet'!$E$10+1,1))</f>
        <v>436.23918637269577</v>
      </c>
      <c r="AO77" s="62">
        <f t="shared" si="90"/>
        <v>611.43967996341894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0.35151290965260334</v>
      </c>
      <c r="AV77" s="23">
        <f>EXP(-LN(2)/25)*AV76+(1-EXP(-LN(2)/25))/(LN(2)/25)*Calculateur!AQ77*Calculateur!AS77*VLOOKUP('Données projet'!$B$10,Paramètres!$A$1:$I$89,3,0)*0.475*44/12</f>
        <v>0.43240517860382588</v>
      </c>
      <c r="AW77" s="23">
        <f>EXP(-LN(2)/2)*AW76+(1-EXP(-LN(2)/2))/(LN(2)/2)*AQ77*AT77*VLOOKUP('Données projet'!$B$10,Paramètres!$A$1:$I$89,3,0)*0.475*44/12</f>
        <v>1.4247708478795738E-6</v>
      </c>
      <c r="AX77" s="23">
        <f t="shared" si="60"/>
        <v>0.78391951302727703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4.4337866711430253E-14</v>
      </c>
      <c r="BF77" s="14">
        <f t="shared" si="91"/>
        <v>7.3222115536967035E-13</v>
      </c>
      <c r="BG77" s="22">
        <f t="shared" si="61"/>
        <v>1.3525069634579169E-12</v>
      </c>
      <c r="BH77" s="62">
        <f t="shared" si="62"/>
        <v>293.33333333333468</v>
      </c>
      <c r="BI77" s="62">
        <f ca="1">AVERAGE(OFFSET($BH$3,0,0,'Données projet'!$E$11+1,1))-AVERAGE(OFFSET($H$3,0,0,'Données projet'!$E$11+1,1))</f>
        <v>288.82868507674738</v>
      </c>
      <c r="BJ77" s="62">
        <f t="shared" si="92"/>
        <v>283.48738729114024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265.5999999999998</v>
      </c>
      <c r="BZ77" s="14">
        <f>BY77*VLOOKUP('Données projet'!$B$12,Paramètres!$A$1:$I$89,3,0)*VLOOKUP('Données projet'!$B$12,Paramètres!$A$1:$I$89,5,0)</f>
        <v>211.31135999999987</v>
      </c>
      <c r="CA77" s="14">
        <f t="shared" si="93"/>
        <v>52.222046945324379</v>
      </c>
      <c r="CB77" s="22">
        <f t="shared" si="64"/>
        <v>458.98735042977302</v>
      </c>
      <c r="CC77" s="62">
        <f t="shared" si="65"/>
        <v>752.32068376310633</v>
      </c>
      <c r="CD77" s="62">
        <f ca="1">AVERAGE(OFFSET($CC$3,0,0,'Données projet'!$E$12+1,1))-AVERAGE(OFFSET($H$3,0,0,'Données projet'!$E$12+1,1))</f>
        <v>298.89893065707554</v>
      </c>
      <c r="CE77" s="62">
        <f t="shared" si="94"/>
        <v>294.28794439094878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</v>
      </c>
      <c r="CT77" s="13">
        <f>IF('Données projet'!$A$140&gt;35,CT76+CS77-DB76,IF(A77&lt;'Données projet'!$A$140,$CQ$205^A77,IF(A77='Données projet'!$A$140,'Données projet'!$B$140,CT76+CS77-DB76)))</f>
        <v>370.1999999999997</v>
      </c>
      <c r="CU77" s="18">
        <f>CT77*VLOOKUP('Données projet'!$B$13,Paramètres!$A$1:$I$89,3,0)*VLOOKUP('Données projet'!$B$13,Paramètres!$A$1:$I$89,5,0)</f>
        <v>271.43063999999981</v>
      </c>
      <c r="CV77" s="14">
        <f t="shared" si="95"/>
        <v>65.152793756453633</v>
      </c>
      <c r="CW77" s="22">
        <f t="shared" si="67"/>
        <v>586.21614712582311</v>
      </c>
      <c r="CX77" s="62">
        <f t="shared" si="68"/>
        <v>879.54948045915648</v>
      </c>
      <c r="CY77" s="62">
        <f ca="1">AVERAGE(OFFSET($CX$3,0,0,'Données projet'!$E$13+1,1))-AVERAGE(OFFSET($H$3,0,0,'Données projet'!$E$13+1,1))</f>
        <v>376.5422416541544</v>
      </c>
      <c r="CZ77" s="62">
        <f t="shared" si="96"/>
        <v>365.76175372075869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5.6574938005056099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5.6574938005056099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439.06700232017681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2.2737367544323206E-13</v>
      </c>
      <c r="AJ78" s="14">
        <f>AI78*VLOOKUP('Données projet'!$B$10,Paramètres!$A$1:$I$89,3,0)*VLOOKUP('Données projet'!$B$10,Paramètres!$A$1:$I$89,5,0)</f>
        <v>2.0572770154103635E-13</v>
      </c>
      <c r="AK78" s="14">
        <f t="shared" si="89"/>
        <v>2.8416956338469711E-12</v>
      </c>
      <c r="AL78" s="22">
        <f t="shared" si="58"/>
        <v>5.3075956424674458E-12</v>
      </c>
      <c r="AM78" s="62">
        <f t="shared" si="59"/>
        <v>293.3333333333386</v>
      </c>
      <c r="AN78" s="62">
        <f ca="1">AVERAGE(OFFSET($AM$3,0,0,'Données projet'!$E$10+1,1))-AVERAGE(OFFSET($H$3,0,0,'Données projet'!$E$10+1,1))</f>
        <v>436.23918637269577</v>
      </c>
      <c r="AO78" s="62">
        <f t="shared" si="90"/>
        <v>611.43967996341894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0.34461995589602029</v>
      </c>
      <c r="AV78" s="23">
        <f>EXP(-LN(2)/25)*AV77+(1-EXP(-LN(2)/25))/(LN(2)/25)*Calculateur!AQ78*Calculateur!AS78*VLOOKUP('Données projet'!$B$10,Paramètres!$A$1:$I$89,3,0)*0.475*44/12</f>
        <v>0.4205810362557042</v>
      </c>
      <c r="AW78" s="23">
        <f>EXP(-LN(2)/2)*AW77+(1-EXP(-LN(2)/2))/(LN(2)/2)*AQ78*AT78*VLOOKUP('Données projet'!$B$10,Paramètres!$A$1:$I$89,3,0)*0.475*44/12</f>
        <v>1.0074651281725535E-6</v>
      </c>
      <c r="AX78" s="23">
        <f t="shared" si="60"/>
        <v>0.76520199961685265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4.4337866711430253E-14</v>
      </c>
      <c r="BF78" s="14">
        <f t="shared" si="91"/>
        <v>7.3222115536967035E-13</v>
      </c>
      <c r="BG78" s="22">
        <f t="shared" si="61"/>
        <v>1.3525069634579169E-12</v>
      </c>
      <c r="BH78" s="62">
        <f t="shared" si="62"/>
        <v>293.33333333333468</v>
      </c>
      <c r="BI78" s="62">
        <f ca="1">AVERAGE(OFFSET($BH$3,0,0,'Données projet'!$E$11+1,1))-AVERAGE(OFFSET($H$3,0,0,'Données projet'!$E$11+1,1))</f>
        <v>288.82868507674738</v>
      </c>
      <c r="BJ78" s="62">
        <f t="shared" si="92"/>
        <v>283.48738729114024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269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268.99999999999977</v>
      </c>
      <c r="BZ78" s="14">
        <f>BY78*VLOOKUP('Données projet'!$B$12,Paramètres!$A$1:$I$89,3,0)*VLOOKUP('Données projet'!$B$12,Paramètres!$A$1:$I$89,5,0)</f>
        <v>214.01639999999983</v>
      </c>
      <c r="CA78" s="14">
        <f t="shared" si="93"/>
        <v>52.812300068178622</v>
      </c>
      <c r="CB78" s="22">
        <f t="shared" si="64"/>
        <v>464.72665261874414</v>
      </c>
      <c r="CC78" s="62">
        <f t="shared" si="65"/>
        <v>758.05998595207745</v>
      </c>
      <c r="CD78" s="62">
        <f ca="1">AVERAGE(OFFSET($CC$3,0,0,'Données projet'!$E$12+1,1))-AVERAGE(OFFSET($H$3,0,0,'Données projet'!$E$12+1,1))</f>
        <v>298.89893065707554</v>
      </c>
      <c r="CE78" s="62">
        <f t="shared" si="94"/>
        <v>294.28794439094878</v>
      </c>
      <c r="CF78" s="16">
        <f>IF(ISNA(VLOOKUP(A78,'Données projet'!$A$113:$I$133,3,0)),0,VLOOKUP(A78,'Données projet'!$A$113:$I$133,3,0))</f>
        <v>13</v>
      </c>
      <c r="CG78" s="16">
        <f>IF(ISNA(VLOOKUP(A78,'Données projet'!$A$113:$I$133,4,0)),0,VLOOKUP(A78,'Données projet'!$A$113:$I$133,4,0))</f>
        <v>9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375</v>
      </c>
      <c r="CR78" s="13">
        <f>VLOOKUP(A78,'Données projet'!$A$139:$I$159,9,0)</f>
        <v>4.8</v>
      </c>
      <c r="CS78" s="13">
        <f t="array" ref="CS78">INDEX(CR:CR,MIN(IF(ISNUMBER(CR78:CR274),ROW(CR78:CR274),"")))</f>
        <v>4.8</v>
      </c>
      <c r="CT78" s="13">
        <f>IF('Données projet'!$A$140&gt;35,CT77+CS78-DB77,IF(A78&lt;'Données projet'!$A$140,$CQ$205^A78,IF(A78='Données projet'!$A$140,'Données projet'!$B$140,CT77+CS78-DB77)))</f>
        <v>374.99999999999972</v>
      </c>
      <c r="CU78" s="18">
        <f>CT78*VLOOKUP('Données projet'!$B$13,Paramètres!$A$1:$I$89,3,0)*VLOOKUP('Données projet'!$B$13,Paramètres!$A$1:$I$89,5,0)</f>
        <v>274.94999999999976</v>
      </c>
      <c r="CV78" s="14">
        <f t="shared" si="95"/>
        <v>65.898670891956897</v>
      </c>
      <c r="CW78" s="22">
        <f t="shared" si="67"/>
        <v>593.64476847015783</v>
      </c>
      <c r="CX78" s="62">
        <f t="shared" si="68"/>
        <v>886.9781018034912</v>
      </c>
      <c r="CY78" s="62">
        <f ca="1">AVERAGE(OFFSET($CX$3,0,0,'Données projet'!$E$13+1,1))-AVERAGE(OFFSET($H$3,0,0,'Données projet'!$E$13+1,1))</f>
        <v>376.5422416541544</v>
      </c>
      <c r="CZ78" s="62">
        <f t="shared" si="96"/>
        <v>365.76175372075869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14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5.5027893350161152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5.5027893350161152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439.06700232017681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2.2737367544323206E-13</v>
      </c>
      <c r="AJ79" s="14">
        <f>AI79*VLOOKUP('Données projet'!$B$10,Paramètres!$A$1:$I$89,3,0)*VLOOKUP('Données projet'!$B$10,Paramètres!$A$1:$I$89,5,0)</f>
        <v>2.0572770154103635E-13</v>
      </c>
      <c r="AK79" s="14">
        <f t="shared" si="89"/>
        <v>2.8416956338469711E-12</v>
      </c>
      <c r="AL79" s="22">
        <f t="shared" si="58"/>
        <v>5.3075956424674458E-12</v>
      </c>
      <c r="AM79" s="62">
        <f t="shared" si="59"/>
        <v>293.3333333333386</v>
      </c>
      <c r="AN79" s="62">
        <f ca="1">AVERAGE(OFFSET($AM$3,0,0,'Données projet'!$E$10+1,1))-AVERAGE(OFFSET($H$3,0,0,'Données projet'!$E$10+1,1))</f>
        <v>436.23918637269577</v>
      </c>
      <c r="AO79" s="62">
        <f t="shared" si="90"/>
        <v>611.43967996341894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0.33786216875831715</v>
      </c>
      <c r="AV79" s="23">
        <f>EXP(-LN(2)/25)*AV78+(1-EXP(-LN(2)/25))/(LN(2)/25)*Calculateur!AQ79*Calculateur!AS79*VLOOKUP('Données projet'!$B$10,Paramètres!$A$1:$I$89,3,0)*0.475*44/12</f>
        <v>0.4090802257018965</v>
      </c>
      <c r="AW79" s="23">
        <f>EXP(-LN(2)/2)*AW78+(1-EXP(-LN(2)/2))/(LN(2)/2)*AQ79*AT79*VLOOKUP('Données projet'!$B$10,Paramètres!$A$1:$I$89,3,0)*0.475*44/12</f>
        <v>7.1238542393978688E-7</v>
      </c>
      <c r="AX79" s="23">
        <f t="shared" si="60"/>
        <v>0.74694310684563758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4.4337866711430253E-14</v>
      </c>
      <c r="BF79" s="14">
        <f t="shared" si="91"/>
        <v>7.3222115536967035E-13</v>
      </c>
      <c r="BG79" s="22">
        <f t="shared" si="61"/>
        <v>1.3525069634579169E-12</v>
      </c>
      <c r="BH79" s="62">
        <f t="shared" si="62"/>
        <v>293.33333333333468</v>
      </c>
      <c r="BI79" s="62">
        <f ca="1">AVERAGE(OFFSET($BH$3,0,0,'Données projet'!$E$11+1,1))-AVERAGE(OFFSET($H$3,0,0,'Données projet'!$E$11+1,1))</f>
        <v>288.82868507674738</v>
      </c>
      <c r="BJ79" s="62">
        <f t="shared" si="92"/>
        <v>283.48738729114024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</v>
      </c>
      <c r="BY79" s="13">
        <f>IF('Données projet'!$A$114&gt;35,BY78+BX79-CG78,IF(A79&lt;'Données projet'!$A$114,$BV$205^A79,IF(A79='Données projet'!$A$114,'Données projet'!$B$114,BY78+BX79-CG78)))</f>
        <v>262.99999999999977</v>
      </c>
      <c r="BZ79" s="14">
        <f>BY79*VLOOKUP('Données projet'!$B$12,Paramètres!$A$1:$I$89,3,0)*VLOOKUP('Données projet'!$B$12,Paramètres!$A$1:$I$89,5,0)</f>
        <v>209.24279999999982</v>
      </c>
      <c r="CA79" s="14">
        <f t="shared" si="93"/>
        <v>51.770083677016764</v>
      </c>
      <c r="CB79" s="22">
        <f t="shared" si="64"/>
        <v>454.59743907080389</v>
      </c>
      <c r="CC79" s="62">
        <f t="shared" si="65"/>
        <v>747.9307724041372</v>
      </c>
      <c r="CD79" s="62">
        <f ca="1">AVERAGE(OFFSET($CC$3,0,0,'Données projet'!$E$12+1,1))-AVERAGE(OFFSET($H$3,0,0,'Données projet'!$E$12+1,1))</f>
        <v>298.89893065707554</v>
      </c>
      <c r="CE79" s="62">
        <f t="shared" si="94"/>
        <v>294.28794439094878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4.2</v>
      </c>
      <c r="CT79" s="13">
        <f>IF('Données projet'!$A$140&gt;35,CT78+CS79-DB78,IF(A79&lt;'Données projet'!$A$140,$CQ$205^A79,IF(A79='Données projet'!$A$140,'Données projet'!$B$140,CT78+CS79-DB78)))</f>
        <v>365.1999999999997</v>
      </c>
      <c r="CU79" s="18">
        <f>CT79*VLOOKUP('Données projet'!$B$13,Paramètres!$A$1:$I$89,3,0)*VLOOKUP('Données projet'!$B$13,Paramètres!$A$1:$I$89,5,0)</f>
        <v>267.76463999999982</v>
      </c>
      <c r="CV79" s="14">
        <f t="shared" si="95"/>
        <v>64.374640184948362</v>
      </c>
      <c r="CW79" s="22">
        <f t="shared" si="67"/>
        <v>578.47591298878478</v>
      </c>
      <c r="CX79" s="62">
        <f t="shared" si="68"/>
        <v>871.80924632211804</v>
      </c>
      <c r="CY79" s="62">
        <f ca="1">AVERAGE(OFFSET($CX$3,0,0,'Données projet'!$E$13+1,1))-AVERAGE(OFFSET($H$3,0,0,'Données projet'!$E$13+1,1))</f>
        <v>376.5422416541544</v>
      </c>
      <c r="CZ79" s="62">
        <f t="shared" si="96"/>
        <v>365.76175372075869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5.3523152712709852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5.3523152712709852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439.06700232017681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2.2737367544323206E-13</v>
      </c>
      <c r="AJ80" s="14">
        <f>AI80*VLOOKUP('Données projet'!$B$10,Paramètres!$A$1:$I$89,3,0)*VLOOKUP('Données projet'!$B$10,Paramètres!$A$1:$I$89,5,0)</f>
        <v>2.0572770154103635E-13</v>
      </c>
      <c r="AK80" s="14">
        <f t="shared" si="89"/>
        <v>2.8416956338469711E-12</v>
      </c>
      <c r="AL80" s="22">
        <f t="shared" si="58"/>
        <v>5.3075956424674458E-12</v>
      </c>
      <c r="AM80" s="62">
        <f t="shared" si="59"/>
        <v>293.3333333333386</v>
      </c>
      <c r="AN80" s="62">
        <f ca="1">AVERAGE(OFFSET($AM$3,0,0,'Données projet'!$E$10+1,1))-AVERAGE(OFFSET($H$3,0,0,'Données projet'!$E$10+1,1))</f>
        <v>436.23918637269577</v>
      </c>
      <c r="AO80" s="62">
        <f t="shared" si="90"/>
        <v>611.43967996341894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0.33123689770454123</v>
      </c>
      <c r="AV80" s="23">
        <f>EXP(-LN(2)/25)*AV79+(1-EXP(-LN(2)/25))/(LN(2)/25)*Calculateur!AQ80*Calculateur!AS80*VLOOKUP('Données projet'!$B$10,Paramètres!$A$1:$I$89,3,0)*0.475*44/12</f>
        <v>0.39789390541748404</v>
      </c>
      <c r="AW80" s="23">
        <f>EXP(-LN(2)/2)*AW79+(1-EXP(-LN(2)/2))/(LN(2)/2)*AQ80*AT80*VLOOKUP('Données projet'!$B$10,Paramètres!$A$1:$I$89,3,0)*0.475*44/12</f>
        <v>5.0373256408627677E-7</v>
      </c>
      <c r="AX80" s="23">
        <f t="shared" si="60"/>
        <v>0.72913130685458938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4.4337866711430253E-14</v>
      </c>
      <c r="BF80" s="14">
        <f t="shared" si="91"/>
        <v>7.3222115536967035E-13</v>
      </c>
      <c r="BG80" s="22">
        <f t="shared" si="61"/>
        <v>1.3525069634579169E-12</v>
      </c>
      <c r="BH80" s="62">
        <f t="shared" si="62"/>
        <v>293.33333333333468</v>
      </c>
      <c r="BI80" s="62">
        <f ca="1">AVERAGE(OFFSET($BH$3,0,0,'Données projet'!$E$11+1,1))-AVERAGE(OFFSET($H$3,0,0,'Données projet'!$E$11+1,1))</f>
        <v>288.82868507674738</v>
      </c>
      <c r="BJ80" s="62">
        <f t="shared" si="92"/>
        <v>283.48738729114024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</v>
      </c>
      <c r="BY80" s="13">
        <f>IF('Données projet'!$A$114&gt;35,BY79+BX80-CG79,IF(A80&lt;'Données projet'!$A$114,$BV$205^A80,IF(A80='Données projet'!$A$114,'Données projet'!$B$114,BY79+BX80-CG79)))</f>
        <v>265.99999999999977</v>
      </c>
      <c r="BZ80" s="14">
        <f>BY80*VLOOKUP('Données projet'!$B$12,Paramètres!$A$1:$I$89,3,0)*VLOOKUP('Données projet'!$B$12,Paramètres!$A$1:$I$89,5,0)</f>
        <v>211.62959999999981</v>
      </c>
      <c r="CA80" s="14">
        <f t="shared" si="93"/>
        <v>52.291533930940183</v>
      </c>
      <c r="CB80" s="22">
        <f t="shared" si="64"/>
        <v>459.66264159638718</v>
      </c>
      <c r="CC80" s="62">
        <f t="shared" si="65"/>
        <v>752.99597492972043</v>
      </c>
      <c r="CD80" s="62">
        <f ca="1">AVERAGE(OFFSET($CC$3,0,0,'Données projet'!$E$12+1,1))-AVERAGE(OFFSET($H$3,0,0,'Données projet'!$E$12+1,1))</f>
        <v>298.89893065707554</v>
      </c>
      <c r="CE80" s="62">
        <f t="shared" si="94"/>
        <v>294.28794439094878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4.2</v>
      </c>
      <c r="CT80" s="13">
        <f>IF('Données projet'!$A$140&gt;35,CT79+CS80-DB79,IF(A80&lt;'Données projet'!$A$140,$CQ$205^A80,IF(A80='Données projet'!$A$140,'Données projet'!$B$140,CT79+CS80-DB79)))</f>
        <v>369.39999999999969</v>
      </c>
      <c r="CU80" s="18">
        <f>CT80*VLOOKUP('Données projet'!$B$13,Paramètres!$A$1:$I$89,3,0)*VLOOKUP('Données projet'!$B$13,Paramètres!$A$1:$I$89,5,0)</f>
        <v>270.84407999999979</v>
      </c>
      <c r="CV80" s="14">
        <f t="shared" si="95"/>
        <v>65.028371811908485</v>
      </c>
      <c r="CW80" s="22">
        <f t="shared" si="67"/>
        <v>584.97785357240684</v>
      </c>
      <c r="CX80" s="62">
        <f t="shared" si="68"/>
        <v>878.31118690574021</v>
      </c>
      <c r="CY80" s="62">
        <f ca="1">AVERAGE(OFFSET($CX$3,0,0,'Données projet'!$E$13+1,1))-AVERAGE(OFFSET($H$3,0,0,'Données projet'!$E$13+1,1))</f>
        <v>376.5422416541544</v>
      </c>
      <c r="CZ80" s="62">
        <f t="shared" si="96"/>
        <v>365.76175372075869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5.2059559287120525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5.2059559287120525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439.06700232017681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2.2737367544323206E-13</v>
      </c>
      <c r="AJ81" s="14">
        <f>AI81*VLOOKUP('Données projet'!$B$10,Paramètres!$A$1:$I$89,3,0)*VLOOKUP('Données projet'!$B$10,Paramètres!$A$1:$I$89,5,0)</f>
        <v>2.0572770154103635E-13</v>
      </c>
      <c r="AK81" s="14">
        <f t="shared" si="89"/>
        <v>2.8416956338469711E-12</v>
      </c>
      <c r="AL81" s="22">
        <f t="shared" si="58"/>
        <v>5.3075956424674458E-12</v>
      </c>
      <c r="AM81" s="62">
        <f t="shared" si="59"/>
        <v>293.3333333333386</v>
      </c>
      <c r="AN81" s="62">
        <f ca="1">AVERAGE(OFFSET($AM$3,0,0,'Données projet'!$E$10+1,1))-AVERAGE(OFFSET($H$3,0,0,'Données projet'!$E$10+1,1))</f>
        <v>436.23918637269577</v>
      </c>
      <c r="AO81" s="62">
        <f t="shared" si="90"/>
        <v>611.43967996341894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0.32474154417511353</v>
      </c>
      <c r="AV81" s="23">
        <f>EXP(-LN(2)/25)*AV80+(1-EXP(-LN(2)/25))/(LN(2)/25)*Calculateur!AQ81*Calculateur!AS81*VLOOKUP('Données projet'!$B$10,Paramètres!$A$1:$I$89,3,0)*0.475*44/12</f>
        <v>0.38701347564951183</v>
      </c>
      <c r="AW81" s="23">
        <f>EXP(-LN(2)/2)*AW80+(1-EXP(-LN(2)/2))/(LN(2)/2)*AQ81*AT81*VLOOKUP('Données projet'!$B$10,Paramètres!$A$1:$I$89,3,0)*0.475*44/12</f>
        <v>3.5619271196989344E-7</v>
      </c>
      <c r="AX81" s="23">
        <f t="shared" si="60"/>
        <v>0.7117553760173374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4.4337866711430253E-14</v>
      </c>
      <c r="BF81" s="14">
        <f t="shared" si="91"/>
        <v>7.3222115536967035E-13</v>
      </c>
      <c r="BG81" s="22">
        <f t="shared" si="61"/>
        <v>1.3525069634579169E-12</v>
      </c>
      <c r="BH81" s="62">
        <f t="shared" si="62"/>
        <v>293.33333333333468</v>
      </c>
      <c r="BI81" s="62">
        <f ca="1">AVERAGE(OFFSET($BH$3,0,0,'Données projet'!$E$11+1,1))-AVERAGE(OFFSET($H$3,0,0,'Données projet'!$E$11+1,1))</f>
        <v>288.82868507674738</v>
      </c>
      <c r="BJ81" s="62">
        <f t="shared" si="92"/>
        <v>283.48738729114024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</v>
      </c>
      <c r="BY81" s="13">
        <f>IF('Données projet'!$A$114&gt;35,BY80+BX81-CG80,IF(A81&lt;'Données projet'!$A$114,$BV$205^A81,IF(A81='Données projet'!$A$114,'Données projet'!$B$114,BY80+BX81-CG80)))</f>
        <v>268.99999999999977</v>
      </c>
      <c r="BZ81" s="14">
        <f>BY81*VLOOKUP('Données projet'!$B$12,Paramètres!$A$1:$I$89,3,0)*VLOOKUP('Données projet'!$B$12,Paramètres!$A$1:$I$89,5,0)</f>
        <v>214.01639999999983</v>
      </c>
      <c r="CA81" s="14">
        <f t="shared" si="93"/>
        <v>52.812300068178622</v>
      </c>
      <c r="CB81" s="22">
        <f t="shared" si="64"/>
        <v>464.72665261874414</v>
      </c>
      <c r="CC81" s="62">
        <f t="shared" si="65"/>
        <v>758.05998595207745</v>
      </c>
      <c r="CD81" s="62">
        <f ca="1">AVERAGE(OFFSET($CC$3,0,0,'Données projet'!$E$12+1,1))-AVERAGE(OFFSET($H$3,0,0,'Données projet'!$E$12+1,1))</f>
        <v>298.89893065707554</v>
      </c>
      <c r="CE81" s="62">
        <f t="shared" si="94"/>
        <v>294.28794439094878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4.2</v>
      </c>
      <c r="CT81" s="13">
        <f>IF('Données projet'!$A$140&gt;35,CT80+CS81-DB80,IF(A81&lt;'Données projet'!$A$140,$CQ$205^A81,IF(A81='Données projet'!$A$140,'Données projet'!$B$140,CT80+CS81-DB80)))</f>
        <v>373.59999999999968</v>
      </c>
      <c r="CU81" s="18">
        <f>CT81*VLOOKUP('Données projet'!$B$13,Paramètres!$A$1:$I$89,3,0)*VLOOKUP('Données projet'!$B$13,Paramètres!$A$1:$I$89,5,0)</f>
        <v>273.92351999999977</v>
      </c>
      <c r="CV81" s="14">
        <f t="shared" si="95"/>
        <v>65.681238814600704</v>
      </c>
      <c r="CW81" s="22">
        <f t="shared" si="67"/>
        <v>591.47828826876241</v>
      </c>
      <c r="CX81" s="62">
        <f t="shared" si="68"/>
        <v>884.81162160209578</v>
      </c>
      <c r="CY81" s="62">
        <f ca="1">AVERAGE(OFFSET($CX$3,0,0,'Données projet'!$E$13+1,1))-AVERAGE(OFFSET($H$3,0,0,'Données projet'!$E$13+1,1))</f>
        <v>376.5422416541544</v>
      </c>
      <c r="CZ81" s="62">
        <f t="shared" si="96"/>
        <v>365.76175372075869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5.0635987900720973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5.0635987900720973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439.06700232017681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2.2737367544323206E-13</v>
      </c>
      <c r="AJ82" s="14">
        <f>AI82*VLOOKUP('Données projet'!$B$10,Paramètres!$A$1:$I$89,3,0)*VLOOKUP('Données projet'!$B$10,Paramètres!$A$1:$I$89,5,0)</f>
        <v>2.0572770154103635E-13</v>
      </c>
      <c r="AK82" s="14">
        <f t="shared" si="89"/>
        <v>2.8416956338469711E-12</v>
      </c>
      <c r="AL82" s="22">
        <f t="shared" si="58"/>
        <v>5.3075956424674458E-12</v>
      </c>
      <c r="AM82" s="62">
        <f t="shared" si="59"/>
        <v>293.3333333333386</v>
      </c>
      <c r="AN82" s="62">
        <f ca="1">AVERAGE(OFFSET($AM$3,0,0,'Données projet'!$E$10+1,1))-AVERAGE(OFFSET($H$3,0,0,'Données projet'!$E$10+1,1))</f>
        <v>436.23918637269577</v>
      </c>
      <c r="AO82" s="62">
        <f t="shared" si="90"/>
        <v>611.43967996341894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0.31837356056662341</v>
      </c>
      <c r="AV82" s="23">
        <f>EXP(-LN(2)/25)*AV81+(1-EXP(-LN(2)/25))/(LN(2)/25)*Calculateur!AQ82*Calculateur!AS82*VLOOKUP('Données projet'!$B$10,Paramètres!$A$1:$I$89,3,0)*0.475*44/12</f>
        <v>0.37643057180572176</v>
      </c>
      <c r="AW82" s="23">
        <f>EXP(-LN(2)/2)*AW81+(1-EXP(-LN(2)/2))/(LN(2)/2)*AQ82*AT82*VLOOKUP('Données projet'!$B$10,Paramètres!$A$1:$I$89,3,0)*0.475*44/12</f>
        <v>2.5186628204313839E-7</v>
      </c>
      <c r="AX82" s="23">
        <f t="shared" si="60"/>
        <v>0.69480438423862723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4.4337866711430253E-14</v>
      </c>
      <c r="BF82" s="14">
        <f t="shared" si="91"/>
        <v>7.3222115536967035E-13</v>
      </c>
      <c r="BG82" s="22">
        <f t="shared" si="61"/>
        <v>1.3525069634579169E-12</v>
      </c>
      <c r="BH82" s="62">
        <f t="shared" si="62"/>
        <v>293.33333333333468</v>
      </c>
      <c r="BI82" s="62">
        <f ca="1">AVERAGE(OFFSET($BH$3,0,0,'Données projet'!$E$11+1,1))-AVERAGE(OFFSET($H$3,0,0,'Données projet'!$E$11+1,1))</f>
        <v>288.82868507674738</v>
      </c>
      <c r="BJ82" s="62">
        <f t="shared" si="92"/>
        <v>283.48738729114024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</v>
      </c>
      <c r="BY82" s="13">
        <f>IF('Données projet'!$A$114&gt;35,BY81+BX82-CG81,IF(A82&lt;'Données projet'!$A$114,$BV$205^A82,IF(A82='Données projet'!$A$114,'Données projet'!$B$114,BY81+BX82-CG81)))</f>
        <v>271.99999999999977</v>
      </c>
      <c r="BZ82" s="14">
        <f>BY82*VLOOKUP('Données projet'!$B$12,Paramètres!$A$1:$I$89,3,0)*VLOOKUP('Données projet'!$B$12,Paramètres!$A$1:$I$89,5,0)</f>
        <v>216.40319999999983</v>
      </c>
      <c r="CA82" s="14">
        <f t="shared" si="93"/>
        <v>53.332390601194746</v>
      </c>
      <c r="CB82" s="22">
        <f t="shared" si="64"/>
        <v>469.78948696374727</v>
      </c>
      <c r="CC82" s="62">
        <f t="shared" si="65"/>
        <v>763.12282029708058</v>
      </c>
      <c r="CD82" s="62">
        <f ca="1">AVERAGE(OFFSET($CC$3,0,0,'Données projet'!$E$12+1,1))-AVERAGE(OFFSET($H$3,0,0,'Données projet'!$E$12+1,1))</f>
        <v>298.89893065707554</v>
      </c>
      <c r="CE82" s="62">
        <f t="shared" si="94"/>
        <v>294.28794439094878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4.2</v>
      </c>
      <c r="CT82" s="13">
        <f>IF('Données projet'!$A$140&gt;35,CT81+CS82-DB81,IF(A82&lt;'Données projet'!$A$140,$CQ$205^A82,IF(A82='Données projet'!$A$140,'Données projet'!$B$140,CT81+CS82-DB81)))</f>
        <v>377.79999999999967</v>
      </c>
      <c r="CU82" s="18">
        <f>CT82*VLOOKUP('Données projet'!$B$13,Paramètres!$A$1:$I$89,3,0)*VLOOKUP('Données projet'!$B$13,Paramètres!$A$1:$I$89,5,0)</f>
        <v>277.00295999999975</v>
      </c>
      <c r="CV82" s="14">
        <f t="shared" si="95"/>
        <v>66.33325203788479</v>
      </c>
      <c r="CW82" s="22">
        <f t="shared" si="67"/>
        <v>597.97723596598223</v>
      </c>
      <c r="CX82" s="62">
        <f t="shared" si="68"/>
        <v>891.3105692993156</v>
      </c>
      <c r="CY82" s="62">
        <f ca="1">AVERAGE(OFFSET($CX$3,0,0,'Données projet'!$E$13+1,1))-AVERAGE(OFFSET($H$3,0,0,'Données projet'!$E$13+1,1))</f>
        <v>376.5422416541544</v>
      </c>
      <c r="CZ82" s="62">
        <f t="shared" si="96"/>
        <v>365.76175372075869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4.9251344148744884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4.9251344148744884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439.06700232017681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2.2737367544323206E-13</v>
      </c>
      <c r="AJ83" s="14">
        <f>AI83*VLOOKUP('Données projet'!$B$10,Paramètres!$A$1:$I$89,3,0)*VLOOKUP('Données projet'!$B$10,Paramètres!$A$1:$I$89,5,0)</f>
        <v>2.0572770154103635E-13</v>
      </c>
      <c r="AK83" s="14">
        <f t="shared" si="89"/>
        <v>2.8416956338469711E-12</v>
      </c>
      <c r="AL83" s="22">
        <f t="shared" si="58"/>
        <v>5.3075956424674458E-12</v>
      </c>
      <c r="AM83" s="62">
        <f t="shared" si="59"/>
        <v>293.3333333333386</v>
      </c>
      <c r="AN83" s="62">
        <f ca="1">AVERAGE(OFFSET($AM$3,0,0,'Données projet'!$E$10+1,1))-AVERAGE(OFFSET($H$3,0,0,'Données projet'!$E$10+1,1))</f>
        <v>436.23918637269577</v>
      </c>
      <c r="AO83" s="62">
        <f t="shared" si="90"/>
        <v>611.43967996341894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0.31213044923260935</v>
      </c>
      <c r="AV83" s="23">
        <f>EXP(-LN(2)/25)*AV82+(1-EXP(-LN(2)/25))/(LN(2)/25)*Calculateur!AQ83*Calculateur!AS83*VLOOKUP('Données projet'!$B$10,Paramètres!$A$1:$I$89,3,0)*0.475*44/12</f>
        <v>0.36613705802407087</v>
      </c>
      <c r="AW83" s="23">
        <f>EXP(-LN(2)/2)*AW82+(1-EXP(-LN(2)/2))/(LN(2)/2)*AQ83*AT83*VLOOKUP('Données projet'!$B$10,Paramètres!$A$1:$I$89,3,0)*0.475*44/12</f>
        <v>1.7809635598494672E-7</v>
      </c>
      <c r="AX83" s="23">
        <f t="shared" si="60"/>
        <v>0.67826768535303616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4.4337866711430253E-14</v>
      </c>
      <c r="BF83" s="14">
        <f t="shared" si="91"/>
        <v>7.3222115536967035E-13</v>
      </c>
      <c r="BG83" s="22">
        <f t="shared" si="61"/>
        <v>1.3525069634579169E-12</v>
      </c>
      <c r="BH83" s="62">
        <f t="shared" si="62"/>
        <v>293.33333333333468</v>
      </c>
      <c r="BI83" s="62">
        <f ca="1">AVERAGE(OFFSET($BH$3,0,0,'Données projet'!$E$11+1,1))-AVERAGE(OFFSET($H$3,0,0,'Données projet'!$E$11+1,1))</f>
        <v>288.82868507674738</v>
      </c>
      <c r="BJ83" s="62">
        <f t="shared" si="92"/>
        <v>283.48738729114024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275</v>
      </c>
      <c r="BW83" s="13">
        <f>VLOOKUP(A83,'Données projet'!$A$113:$I$133,9,0)</f>
        <v>3</v>
      </c>
      <c r="BX83" s="13">
        <f t="array" ref="BX83">INDEX(BW:BW,MIN(IF(ISNUMBER(BW83:BW279),ROW(BW83:BW279),"")))</f>
        <v>3</v>
      </c>
      <c r="BY83" s="13">
        <f>IF('Données projet'!$A$114&gt;35,BY82+BX83-CG82,IF(A83&lt;'Données projet'!$A$114,$BV$205^A83,IF(A83='Données projet'!$A$114,'Données projet'!$B$114,BY82+BX83-CG82)))</f>
        <v>274.99999999999977</v>
      </c>
      <c r="BZ83" s="14">
        <f>BY83*VLOOKUP('Données projet'!$B$12,Paramètres!$A$1:$I$89,3,0)*VLOOKUP('Données projet'!$B$12,Paramètres!$A$1:$I$89,5,0)</f>
        <v>218.78999999999982</v>
      </c>
      <c r="CA83" s="14">
        <f t="shared" si="93"/>
        <v>53.851813843863468</v>
      </c>
      <c r="CB83" s="22">
        <f t="shared" si="64"/>
        <v>474.85115911139525</v>
      </c>
      <c r="CC83" s="62">
        <f t="shared" si="65"/>
        <v>768.18449244472856</v>
      </c>
      <c r="CD83" s="62">
        <f ca="1">AVERAGE(OFFSET($CC$3,0,0,'Données projet'!$E$12+1,1))-AVERAGE(OFFSET($H$3,0,0,'Données projet'!$E$12+1,1))</f>
        <v>298.89893065707554</v>
      </c>
      <c r="CE83" s="62">
        <f t="shared" si="94"/>
        <v>294.28794439094878</v>
      </c>
      <c r="CF83" s="16">
        <f>IF(ISNA(VLOOKUP(A83,'Données projet'!$A$113:$I$133,3,0)),0,VLOOKUP(A83,'Données projet'!$A$113:$I$133,3,0))</f>
        <v>14</v>
      </c>
      <c r="CG83" s="16">
        <f>IF(ISNA(VLOOKUP(A83,'Données projet'!$A$113:$I$133,4,0)),0,VLOOKUP(A83,'Données projet'!$A$113:$I$133,4,0))</f>
        <v>275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382</v>
      </c>
      <c r="CR83" s="13">
        <f>VLOOKUP(A83,'Données projet'!$A$139:$I$159,9,0)</f>
        <v>4.2</v>
      </c>
      <c r="CS83" s="13">
        <f t="array" ref="CS83">INDEX(CR:CR,MIN(IF(ISNUMBER(CR83:CR279),ROW(CR83:CR279),"")))</f>
        <v>4.2</v>
      </c>
      <c r="CT83" s="13">
        <f>IF('Données projet'!$A$140&gt;35,CT82+CS83-DB82,IF(A83&lt;'Données projet'!$A$140,$CQ$205^A83,IF(A83='Données projet'!$A$140,'Données projet'!$B$140,CT82+CS83-DB82)))</f>
        <v>381.99999999999966</v>
      </c>
      <c r="CU83" s="18">
        <f>CT83*VLOOKUP('Données projet'!$B$13,Paramètres!$A$1:$I$89,3,0)*VLOOKUP('Données projet'!$B$13,Paramètres!$A$1:$I$89,5,0)</f>
        <v>280.08239999999972</v>
      </c>
      <c r="CV83" s="14">
        <f t="shared" si="95"/>
        <v>66.984422071611988</v>
      </c>
      <c r="CW83" s="22">
        <f t="shared" si="67"/>
        <v>604.47471510805701</v>
      </c>
      <c r="CX83" s="62">
        <f t="shared" si="68"/>
        <v>897.80804844139038</v>
      </c>
      <c r="CY83" s="62">
        <f ca="1">AVERAGE(OFFSET($CX$3,0,0,'Données projet'!$E$13+1,1))-AVERAGE(OFFSET($H$3,0,0,'Données projet'!$E$13+1,1))</f>
        <v>376.5422416541544</v>
      </c>
      <c r="CZ83" s="62">
        <f t="shared" si="96"/>
        <v>365.76175372075869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382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4.7904563552981836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4.7904563552981836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439.06700232017681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2.0572770154103635E-13</v>
      </c>
      <c r="AK84" s="14">
        <f t="shared" si="89"/>
        <v>2.8416956338469711E-12</v>
      </c>
      <c r="AL84" s="22">
        <f t="shared" si="58"/>
        <v>5.3075956424674458E-12</v>
      </c>
      <c r="AM84" s="62">
        <f t="shared" si="59"/>
        <v>293.3333333333386</v>
      </c>
      <c r="AN84" s="62">
        <f ca="1">AVERAGE(OFFSET($AM$3,0,0,'Données projet'!$E$10+1,1))-AVERAGE(OFFSET($H$3,0,0,'Données projet'!$E$10+1,1))</f>
        <v>436.23918637269577</v>
      </c>
      <c r="AO84" s="62">
        <f t="shared" si="90"/>
        <v>611.43967996341894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0.30600976150393339</v>
      </c>
      <c r="AV84" s="23">
        <f>EXP(-LN(2)/25)*AV83+(1-EXP(-LN(2)/25))/(LN(2)/25)*Calculateur!AQ84*Calculateur!AS84*VLOOKUP('Données projet'!$B$10,Paramètres!$A$1:$I$89,3,0)*0.475*44/12</f>
        <v>0.35612502091809162</v>
      </c>
      <c r="AW84" s="23">
        <f>EXP(-LN(2)/2)*AW83+(1-EXP(-LN(2)/2))/(LN(2)/2)*AQ84*AT84*VLOOKUP('Données projet'!$B$10,Paramètres!$A$1:$I$89,3,0)*0.475*44/12</f>
        <v>1.2593314102156919E-7</v>
      </c>
      <c r="AX84" s="23">
        <f t="shared" si="60"/>
        <v>0.66213490835516597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4.4337866711430253E-14</v>
      </c>
      <c r="BF84" s="14">
        <f t="shared" si="91"/>
        <v>7.3222115536967035E-13</v>
      </c>
      <c r="BG84" s="22">
        <f t="shared" si="61"/>
        <v>1.3525069634579169E-12</v>
      </c>
      <c r="BH84" s="62">
        <f t="shared" si="62"/>
        <v>293.33333333333468</v>
      </c>
      <c r="BI84" s="62">
        <f ca="1">AVERAGE(OFFSET($BH$3,0,0,'Données projet'!$E$11+1,1))-AVERAGE(OFFSET($H$3,0,0,'Données projet'!$E$11+1,1))</f>
        <v>288.82868507674738</v>
      </c>
      <c r="BJ84" s="62">
        <f t="shared" si="92"/>
        <v>283.48738729114024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-2.2737367544323206E-13</v>
      </c>
      <c r="BZ84" s="14">
        <f>BY84*VLOOKUP('Données projet'!$B$12,Paramètres!$A$1:$I$89,3,0)*VLOOKUP('Données projet'!$B$12,Paramètres!$A$1:$I$89,5,0)</f>
        <v>-1.8089849618263545E-13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298.89893065707554</v>
      </c>
      <c r="CE84" s="62">
        <f t="shared" si="94"/>
        <v>294.28794439094878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-3.4106051316484809E-13</v>
      </c>
      <c r="CU84" s="18">
        <f>CT84*VLOOKUP('Données projet'!$B$13,Paramètres!$A$1:$I$89,3,0)*VLOOKUP('Données projet'!$B$13,Paramètres!$A$1:$I$89,5,0)</f>
        <v>-2.5006556825246659E-13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376.5422416541544</v>
      </c>
      <c r="CZ84" s="62">
        <f t="shared" si="96"/>
        <v>365.76175372075869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4.6594610743434037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4.6594610743434037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439.06700232017681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2.0572770154103635E-13</v>
      </c>
      <c r="AK85" s="14">
        <f t="shared" si="89"/>
        <v>2.8416956338469711E-12</v>
      </c>
      <c r="AL85" s="22">
        <f t="shared" si="58"/>
        <v>5.3075956424674458E-12</v>
      </c>
      <c r="AM85" s="62">
        <f t="shared" si="59"/>
        <v>293.3333333333386</v>
      </c>
      <c r="AN85" s="62">
        <f ca="1">AVERAGE(OFFSET($AM$3,0,0,'Données projet'!$E$10+1,1))-AVERAGE(OFFSET($H$3,0,0,'Données projet'!$E$10+1,1))</f>
        <v>436.23918637269577</v>
      </c>
      <c r="AO85" s="62">
        <f t="shared" si="90"/>
        <v>611.43967996341894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0.30000909672836584</v>
      </c>
      <c r="AV85" s="23">
        <f>EXP(-LN(2)/25)*AV84+(1-EXP(-LN(2)/25))/(LN(2)/25)*Calculateur!AQ85*Calculateur!AS85*VLOOKUP('Données projet'!$B$10,Paramètres!$A$1:$I$89,3,0)*0.475*44/12</f>
        <v>0.34638676349328551</v>
      </c>
      <c r="AW85" s="23">
        <f>EXP(-LN(2)/2)*AW84+(1-EXP(-LN(2)/2))/(LN(2)/2)*AQ85*AT85*VLOOKUP('Données projet'!$B$10,Paramètres!$A$1:$I$89,3,0)*0.475*44/12</f>
        <v>8.9048177992473359E-8</v>
      </c>
      <c r="AX85" s="23">
        <f t="shared" si="60"/>
        <v>0.64639594926982924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4.4337866711430253E-14</v>
      </c>
      <c r="BF85" s="14">
        <f t="shared" si="91"/>
        <v>7.3222115536967035E-13</v>
      </c>
      <c r="BG85" s="22">
        <f t="shared" si="61"/>
        <v>1.3525069634579169E-12</v>
      </c>
      <c r="BH85" s="62">
        <f t="shared" si="62"/>
        <v>293.33333333333468</v>
      </c>
      <c r="BI85" s="62">
        <f ca="1">AVERAGE(OFFSET($BH$3,0,0,'Données projet'!$E$11+1,1))-AVERAGE(OFFSET($H$3,0,0,'Données projet'!$E$11+1,1))</f>
        <v>288.82868507674738</v>
      </c>
      <c r="BJ85" s="62">
        <f t="shared" si="92"/>
        <v>283.48738729114024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-2.2737367544323206E-13</v>
      </c>
      <c r="BZ85" s="14">
        <f>BY85*VLOOKUP('Données projet'!$B$12,Paramètres!$A$1:$I$89,3,0)*VLOOKUP('Données projet'!$B$12,Paramètres!$A$1:$I$89,5,0)</f>
        <v>-1.8089849618263545E-13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298.89893065707554</v>
      </c>
      <c r="CE85" s="62">
        <f t="shared" si="94"/>
        <v>294.28794439094878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-3.4106051316484809E-13</v>
      </c>
      <c r="CU85" s="18">
        <f>CT85*VLOOKUP('Données projet'!$B$13,Paramètres!$A$1:$I$89,3,0)*VLOOKUP('Données projet'!$B$13,Paramètres!$A$1:$I$89,5,0)</f>
        <v>-2.5006556825246659E-13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376.5422416541544</v>
      </c>
      <c r="CZ85" s="62">
        <f t="shared" si="96"/>
        <v>365.76175372075869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4.5320478662350752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4.5320478662350752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439.06700232017681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2.0572770154103635E-13</v>
      </c>
      <c r="AK86" s="14">
        <f t="shared" si="89"/>
        <v>2.8416956338469711E-12</v>
      </c>
      <c r="AL86" s="22">
        <f t="shared" si="58"/>
        <v>5.3075956424674458E-12</v>
      </c>
      <c r="AM86" s="62">
        <f t="shared" si="59"/>
        <v>293.3333333333386</v>
      </c>
      <c r="AN86" s="62">
        <f ca="1">AVERAGE(OFFSET($AM$3,0,0,'Données projet'!$E$10+1,1))-AVERAGE(OFFSET($H$3,0,0,'Données projet'!$E$10+1,1))</f>
        <v>436.23918637269577</v>
      </c>
      <c r="AO86" s="62">
        <f t="shared" si="90"/>
        <v>611.43967996341894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0.29412610132900308</v>
      </c>
      <c r="AV86" s="23">
        <f>EXP(-LN(2)/25)*AV85+(1-EXP(-LN(2)/25))/(LN(2)/25)*Calculateur!AQ86*Calculateur!AS86*VLOOKUP('Données projet'!$B$10,Paramètres!$A$1:$I$89,3,0)*0.475*44/12</f>
        <v>0.33691479922987339</v>
      </c>
      <c r="AW86" s="23">
        <f>EXP(-LN(2)/2)*AW85+(1-EXP(-LN(2)/2))/(LN(2)/2)*AQ86*AT86*VLOOKUP('Données projet'!$B$10,Paramètres!$A$1:$I$89,3,0)*0.475*44/12</f>
        <v>6.2966570510784597E-8</v>
      </c>
      <c r="AX86" s="23">
        <f t="shared" si="60"/>
        <v>0.63104096352544692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4.4337866711430253E-14</v>
      </c>
      <c r="BF86" s="14">
        <f t="shared" si="91"/>
        <v>7.3222115536967035E-13</v>
      </c>
      <c r="BG86" s="22">
        <f t="shared" si="61"/>
        <v>1.3525069634579169E-12</v>
      </c>
      <c r="BH86" s="62">
        <f t="shared" si="62"/>
        <v>293.33333333333468</v>
      </c>
      <c r="BI86" s="62">
        <f ca="1">AVERAGE(OFFSET($BH$3,0,0,'Données projet'!$E$11+1,1))-AVERAGE(OFFSET($H$3,0,0,'Données projet'!$E$11+1,1))</f>
        <v>288.82868507674738</v>
      </c>
      <c r="BJ86" s="62">
        <f t="shared" si="92"/>
        <v>283.48738729114024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-2.2737367544323206E-13</v>
      </c>
      <c r="BZ86" s="14">
        <f>BY86*VLOOKUP('Données projet'!$B$12,Paramètres!$A$1:$I$89,3,0)*VLOOKUP('Données projet'!$B$12,Paramètres!$A$1:$I$89,5,0)</f>
        <v>-1.8089849618263545E-13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298.89893065707554</v>
      </c>
      <c r="CE86" s="62">
        <f t="shared" si="94"/>
        <v>294.28794439094878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-3.4106051316484809E-13</v>
      </c>
      <c r="CU86" s="18">
        <f>CT86*VLOOKUP('Données projet'!$B$13,Paramètres!$A$1:$I$89,3,0)*VLOOKUP('Données projet'!$B$13,Paramètres!$A$1:$I$89,5,0)</f>
        <v>-2.5006556825246659E-13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376.5422416541544</v>
      </c>
      <c r="CZ86" s="62">
        <f t="shared" si="96"/>
        <v>365.76175372075869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4.4081187790028382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4.4081187790028382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439.06700232017681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2.0572770154103635E-13</v>
      </c>
      <c r="AK87" s="14">
        <f t="shared" si="89"/>
        <v>2.8416956338469711E-12</v>
      </c>
      <c r="AL87" s="22">
        <f t="shared" si="58"/>
        <v>5.3075956424674458E-12</v>
      </c>
      <c r="AM87" s="62">
        <f t="shared" si="59"/>
        <v>293.3333333333386</v>
      </c>
      <c r="AN87" s="62">
        <f ca="1">AVERAGE(OFFSET($AM$3,0,0,'Données projet'!$E$10+1,1))-AVERAGE(OFFSET($H$3,0,0,'Données projet'!$E$10+1,1))</f>
        <v>436.23918637269577</v>
      </c>
      <c r="AO87" s="62">
        <f t="shared" si="90"/>
        <v>611.43967996341894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0.28835846788114894</v>
      </c>
      <c r="AV87" s="23">
        <f>EXP(-LN(2)/25)*AV86+(1-EXP(-LN(2)/25))/(LN(2)/25)*Calculateur!AQ87*Calculateur!AS87*VLOOKUP('Données projet'!$B$10,Paramètres!$A$1:$I$89,3,0)*0.475*44/12</f>
        <v>0.32770184632735322</v>
      </c>
      <c r="AW87" s="23">
        <f>EXP(-LN(2)/2)*AW86+(1-EXP(-LN(2)/2))/(LN(2)/2)*AQ87*AT87*VLOOKUP('Données projet'!$B$10,Paramètres!$A$1:$I$89,3,0)*0.475*44/12</f>
        <v>4.452408899623668E-8</v>
      </c>
      <c r="AX87" s="23">
        <f t="shared" si="60"/>
        <v>0.61606035873259113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4.4337866711430253E-14</v>
      </c>
      <c r="BF87" s="14">
        <f t="shared" si="91"/>
        <v>7.3222115536967035E-13</v>
      </c>
      <c r="BG87" s="22">
        <f t="shared" si="61"/>
        <v>1.3525069634579169E-12</v>
      </c>
      <c r="BH87" s="62">
        <f t="shared" si="62"/>
        <v>293.33333333333468</v>
      </c>
      <c r="BI87" s="62">
        <f ca="1">AVERAGE(OFFSET($BH$3,0,0,'Données projet'!$E$11+1,1))-AVERAGE(OFFSET($H$3,0,0,'Données projet'!$E$11+1,1))</f>
        <v>288.82868507674738</v>
      </c>
      <c r="BJ87" s="62">
        <f t="shared" si="92"/>
        <v>283.48738729114024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-2.2737367544323206E-13</v>
      </c>
      <c r="BZ87" s="14">
        <f>BY87*VLOOKUP('Données projet'!$B$12,Paramètres!$A$1:$I$89,3,0)*VLOOKUP('Données projet'!$B$12,Paramètres!$A$1:$I$89,5,0)</f>
        <v>-1.8089849618263545E-13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298.89893065707554</v>
      </c>
      <c r="CE87" s="62">
        <f t="shared" si="94"/>
        <v>294.28794439094878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-3.4106051316484809E-13</v>
      </c>
      <c r="CU87" s="18">
        <f>CT87*VLOOKUP('Données projet'!$B$13,Paramètres!$A$1:$I$89,3,0)*VLOOKUP('Données projet'!$B$13,Paramètres!$A$1:$I$89,5,0)</f>
        <v>-2.5006556825246659E-13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376.5422416541544</v>
      </c>
      <c r="CZ87" s="62">
        <f t="shared" si="96"/>
        <v>365.76175372075869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4.2875785391781136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4.2875785391781136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439.06700232017681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2.0572770154103635E-13</v>
      </c>
      <c r="AK88" s="14">
        <f t="shared" si="89"/>
        <v>2.8416956338469711E-12</v>
      </c>
      <c r="AL88" s="22">
        <f t="shared" si="58"/>
        <v>5.3075956424674458E-12</v>
      </c>
      <c r="AM88" s="62">
        <f t="shared" si="59"/>
        <v>293.3333333333386</v>
      </c>
      <c r="AN88" s="62">
        <f ca="1">AVERAGE(OFFSET($AM$3,0,0,'Données projet'!$E$10+1,1))-AVERAGE(OFFSET($H$3,0,0,'Données projet'!$E$10+1,1))</f>
        <v>436.23918637269577</v>
      </c>
      <c r="AO88" s="62">
        <f t="shared" si="90"/>
        <v>611.43967996341894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0.28270393420729817</v>
      </c>
      <c r="AV88" s="23">
        <f>EXP(-LN(2)/25)*AV87+(1-EXP(-LN(2)/25))/(LN(2)/25)*Calculateur!AQ88*Calculateur!AS88*VLOOKUP('Données projet'!$B$10,Paramètres!$A$1:$I$89,3,0)*0.475*44/12</f>
        <v>0.31874082210644061</v>
      </c>
      <c r="AW88" s="23">
        <f>EXP(-LN(2)/2)*AW87+(1-EXP(-LN(2)/2))/(LN(2)/2)*AQ88*AT88*VLOOKUP('Données projet'!$B$10,Paramètres!$A$1:$I$89,3,0)*0.475*44/12</f>
        <v>3.1483285255392298E-8</v>
      </c>
      <c r="AX88" s="23">
        <f t="shared" si="60"/>
        <v>0.60144478779702404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4.4337866711430253E-14</v>
      </c>
      <c r="BF88" s="14">
        <f t="shared" si="91"/>
        <v>7.3222115536967035E-13</v>
      </c>
      <c r="BG88" s="22">
        <f t="shared" si="61"/>
        <v>1.3525069634579169E-12</v>
      </c>
      <c r="BH88" s="62">
        <f t="shared" si="62"/>
        <v>293.33333333333468</v>
      </c>
      <c r="BI88" s="62">
        <f ca="1">AVERAGE(OFFSET($BH$3,0,0,'Données projet'!$E$11+1,1))-AVERAGE(OFFSET($H$3,0,0,'Données projet'!$E$11+1,1))</f>
        <v>288.82868507674738</v>
      </c>
      <c r="BJ88" s="62">
        <f t="shared" si="92"/>
        <v>283.48738729114024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-2.2737367544323206E-13</v>
      </c>
      <c r="BZ88" s="14">
        <f>BY88*VLOOKUP('Données projet'!$B$12,Paramètres!$A$1:$I$89,3,0)*VLOOKUP('Données projet'!$B$12,Paramètres!$A$1:$I$89,5,0)</f>
        <v>-1.8089849618263545E-13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298.89893065707554</v>
      </c>
      <c r="CE88" s="62">
        <f t="shared" si="94"/>
        <v>294.28794439094878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-3.4106051316484809E-13</v>
      </c>
      <c r="CU88" s="18">
        <f>CT88*VLOOKUP('Données projet'!$B$13,Paramètres!$A$1:$I$89,3,0)*VLOOKUP('Données projet'!$B$13,Paramètres!$A$1:$I$89,5,0)</f>
        <v>-2.5006556825246659E-13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376.5422416541544</v>
      </c>
      <c r="CZ88" s="62">
        <f t="shared" si="96"/>
        <v>365.76175372075869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4.1703344785503322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4.1703344785503322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439.06700232017681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2.0572770154103635E-13</v>
      </c>
      <c r="AK89" s="14">
        <f t="shared" si="89"/>
        <v>2.8416956338469711E-12</v>
      </c>
      <c r="AL89" s="22">
        <f t="shared" si="58"/>
        <v>5.3075956424674458E-12</v>
      </c>
      <c r="AM89" s="62">
        <f t="shared" si="59"/>
        <v>293.3333333333386</v>
      </c>
      <c r="AN89" s="62">
        <f ca="1">AVERAGE(OFFSET($AM$3,0,0,'Données projet'!$E$10+1,1))-AVERAGE(OFFSET($H$3,0,0,'Données projet'!$E$10+1,1))</f>
        <v>436.23918637269577</v>
      </c>
      <c r="AO89" s="62">
        <f t="shared" si="90"/>
        <v>611.43967996341894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0.27716028248986663</v>
      </c>
      <c r="AV89" s="23">
        <f>EXP(-LN(2)/25)*AV88+(1-EXP(-LN(2)/25))/(LN(2)/25)*Calculateur!AQ89*Calculateur!AS89*VLOOKUP('Données projet'!$B$10,Paramètres!$A$1:$I$89,3,0)*0.475*44/12</f>
        <v>0.31002483756408866</v>
      </c>
      <c r="AW89" s="23">
        <f>EXP(-LN(2)/2)*AW88+(1-EXP(-LN(2)/2))/(LN(2)/2)*AQ89*AT89*VLOOKUP('Données projet'!$B$10,Paramètres!$A$1:$I$89,3,0)*0.475*44/12</f>
        <v>2.226204449811834E-8</v>
      </c>
      <c r="AX89" s="23">
        <f t="shared" si="60"/>
        <v>0.58718514231599983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4.4337866711430253E-14</v>
      </c>
      <c r="BF89" s="14">
        <f t="shared" si="91"/>
        <v>7.3222115536967035E-13</v>
      </c>
      <c r="BG89" s="22">
        <f t="shared" si="61"/>
        <v>1.3525069634579169E-12</v>
      </c>
      <c r="BH89" s="62">
        <f t="shared" si="62"/>
        <v>293.33333333333468</v>
      </c>
      <c r="BI89" s="62">
        <f ca="1">AVERAGE(OFFSET($BH$3,0,0,'Données projet'!$E$11+1,1))-AVERAGE(OFFSET($H$3,0,0,'Données projet'!$E$11+1,1))</f>
        <v>288.82868507674738</v>
      </c>
      <c r="BJ89" s="62">
        <f t="shared" si="92"/>
        <v>283.48738729114024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-2.2737367544323206E-13</v>
      </c>
      <c r="BZ89" s="14">
        <f>BY89*VLOOKUP('Données projet'!$B$12,Paramètres!$A$1:$I$89,3,0)*VLOOKUP('Données projet'!$B$12,Paramètres!$A$1:$I$89,5,0)</f>
        <v>-1.8089849618263545E-13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298.89893065707554</v>
      </c>
      <c r="CE89" s="62">
        <f t="shared" si="94"/>
        <v>294.28794439094878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-3.4106051316484809E-13</v>
      </c>
      <c r="CU89" s="18">
        <f>CT89*VLOOKUP('Données projet'!$B$13,Paramètres!$A$1:$I$89,3,0)*VLOOKUP('Données projet'!$B$13,Paramètres!$A$1:$I$89,5,0)</f>
        <v>-2.5006556825246659E-13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376.5422416541544</v>
      </c>
      <c r="CZ89" s="62">
        <f t="shared" si="96"/>
        <v>365.76175372075869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4.0562964629260145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4.0562964629260145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439.06700232017681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2.0572770154103635E-13</v>
      </c>
      <c r="AK90" s="14">
        <f t="shared" si="89"/>
        <v>2.8416956338469711E-12</v>
      </c>
      <c r="AL90" s="22">
        <f t="shared" si="58"/>
        <v>5.3075956424674458E-12</v>
      </c>
      <c r="AM90" s="62">
        <f t="shared" si="59"/>
        <v>293.3333333333386</v>
      </c>
      <c r="AN90" s="62">
        <f ca="1">AVERAGE(OFFSET($AM$3,0,0,'Données projet'!$E$10+1,1))-AVERAGE(OFFSET($H$3,0,0,'Données projet'!$E$10+1,1))</f>
        <v>436.23918637269577</v>
      </c>
      <c r="AO90" s="62">
        <f t="shared" si="90"/>
        <v>611.43967996341894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0.27172533840132024</v>
      </c>
      <c r="AV90" s="23">
        <f>EXP(-LN(2)/25)*AV89+(1-EXP(-LN(2)/25))/(LN(2)/25)*Calculateur!AQ90*Calculateur!AS90*VLOOKUP('Données projet'!$B$10,Paramètres!$A$1:$I$89,3,0)*0.475*44/12</f>
        <v>0.30154719207740099</v>
      </c>
      <c r="AW90" s="23">
        <f>EXP(-LN(2)/2)*AW89+(1-EXP(-LN(2)/2))/(LN(2)/2)*AQ90*AT90*VLOOKUP('Données projet'!$B$10,Paramètres!$A$1:$I$89,3,0)*0.475*44/12</f>
        <v>1.5741642627696149E-8</v>
      </c>
      <c r="AX90" s="23">
        <f t="shared" si="60"/>
        <v>0.57327254622036383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4.4337866711430253E-14</v>
      </c>
      <c r="BF90" s="14">
        <f t="shared" si="91"/>
        <v>7.3222115536967035E-13</v>
      </c>
      <c r="BG90" s="22">
        <f t="shared" si="61"/>
        <v>1.3525069634579169E-12</v>
      </c>
      <c r="BH90" s="62">
        <f t="shared" si="62"/>
        <v>293.33333333333468</v>
      </c>
      <c r="BI90" s="62">
        <f ca="1">AVERAGE(OFFSET($BH$3,0,0,'Données projet'!$E$11+1,1))-AVERAGE(OFFSET($H$3,0,0,'Données projet'!$E$11+1,1))</f>
        <v>288.82868507674738</v>
      </c>
      <c r="BJ90" s="62">
        <f t="shared" si="92"/>
        <v>283.48738729114024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-2.2737367544323206E-13</v>
      </c>
      <c r="BZ90" s="14">
        <f>BY90*VLOOKUP('Données projet'!$B$12,Paramètres!$A$1:$I$89,3,0)*VLOOKUP('Données projet'!$B$12,Paramètres!$A$1:$I$89,5,0)</f>
        <v>-1.8089849618263545E-13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298.89893065707554</v>
      </c>
      <c r="CE90" s="62">
        <f t="shared" si="94"/>
        <v>294.28794439094878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-3.4106051316484809E-13</v>
      </c>
      <c r="CU90" s="18">
        <f>CT90*VLOOKUP('Données projet'!$B$13,Paramètres!$A$1:$I$89,3,0)*VLOOKUP('Données projet'!$B$13,Paramètres!$A$1:$I$89,5,0)</f>
        <v>-2.5006556825246659E-13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376.5422416541544</v>
      </c>
      <c r="CZ90" s="62">
        <f t="shared" si="96"/>
        <v>365.76175372075869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3.9453768228359425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3.9453768228359425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439.06700232017681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2.0572770154103635E-13</v>
      </c>
      <c r="AK91" s="14">
        <f t="shared" si="89"/>
        <v>2.8416956338469711E-12</v>
      </c>
      <c r="AL91" s="22">
        <f t="shared" si="58"/>
        <v>5.3075956424674458E-12</v>
      </c>
      <c r="AM91" s="62">
        <f t="shared" si="59"/>
        <v>293.3333333333386</v>
      </c>
      <c r="AN91" s="62">
        <f ca="1">AVERAGE(OFFSET($AM$3,0,0,'Données projet'!$E$10+1,1))-AVERAGE(OFFSET($H$3,0,0,'Données projet'!$E$10+1,1))</f>
        <v>436.23918637269577</v>
      </c>
      <c r="AO91" s="62">
        <f t="shared" si="90"/>
        <v>611.43967996341894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0.26639697025136172</v>
      </c>
      <c r="AV91" s="23">
        <f>EXP(-LN(2)/25)*AV90+(1-EXP(-LN(2)/25))/(LN(2)/25)*Calculateur!AQ91*Calculateur!AS91*VLOOKUP('Données projet'!$B$10,Paramètres!$A$1:$I$89,3,0)*0.475*44/12</f>
        <v>0.2933013682523668</v>
      </c>
      <c r="AW91" s="23">
        <f>EXP(-LN(2)/2)*AW90+(1-EXP(-LN(2)/2))/(LN(2)/2)*AQ91*AT91*VLOOKUP('Données projet'!$B$10,Paramètres!$A$1:$I$89,3,0)*0.475*44/12</f>
        <v>1.113102224905917E-8</v>
      </c>
      <c r="AX91" s="23">
        <f t="shared" si="60"/>
        <v>0.55969834963475074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4.4337866711430253E-14</v>
      </c>
      <c r="BF91" s="14">
        <f t="shared" si="91"/>
        <v>7.3222115536967035E-13</v>
      </c>
      <c r="BG91" s="22">
        <f t="shared" si="61"/>
        <v>1.3525069634579169E-12</v>
      </c>
      <c r="BH91" s="62">
        <f t="shared" si="62"/>
        <v>293.33333333333468</v>
      </c>
      <c r="BI91" s="62">
        <f ca="1">AVERAGE(OFFSET($BH$3,0,0,'Données projet'!$E$11+1,1))-AVERAGE(OFFSET($H$3,0,0,'Données projet'!$E$11+1,1))</f>
        <v>288.82868507674738</v>
      </c>
      <c r="BJ91" s="62">
        <f t="shared" si="92"/>
        <v>283.48738729114024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-2.2737367544323206E-13</v>
      </c>
      <c r="BZ91" s="14">
        <f>BY91*VLOOKUP('Données projet'!$B$12,Paramètres!$A$1:$I$89,3,0)*VLOOKUP('Données projet'!$B$12,Paramètres!$A$1:$I$89,5,0)</f>
        <v>-1.8089849618263545E-13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298.89893065707554</v>
      </c>
      <c r="CE91" s="62">
        <f t="shared" si="94"/>
        <v>294.28794439094878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-3.4106051316484809E-13</v>
      </c>
      <c r="CU91" s="18">
        <f>CT91*VLOOKUP('Données projet'!$B$13,Paramètres!$A$1:$I$89,3,0)*VLOOKUP('Données projet'!$B$13,Paramètres!$A$1:$I$89,5,0)</f>
        <v>-2.5006556825246659E-13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376.5422416541544</v>
      </c>
      <c r="CZ91" s="62">
        <f t="shared" si="96"/>
        <v>365.76175372075869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3.8374902861371436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3.8374902861371436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439.06700232017681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2.0572770154103635E-13</v>
      </c>
      <c r="AK92" s="14">
        <f t="shared" si="89"/>
        <v>2.8416956338469711E-12</v>
      </c>
      <c r="AL92" s="22">
        <f t="shared" si="58"/>
        <v>5.3075956424674458E-12</v>
      </c>
      <c r="AM92" s="62">
        <f t="shared" si="59"/>
        <v>293.3333333333386</v>
      </c>
      <c r="AN92" s="62">
        <f ca="1">AVERAGE(OFFSET($AM$3,0,0,'Données projet'!$E$10+1,1))-AVERAGE(OFFSET($H$3,0,0,'Données projet'!$E$10+1,1))</f>
        <v>436.23918637269577</v>
      </c>
      <c r="AO92" s="62">
        <f t="shared" si="90"/>
        <v>611.43967996341894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0.26117308815084023</v>
      </c>
      <c r="AV92" s="23">
        <f>EXP(-LN(2)/25)*AV91+(1-EXP(-LN(2)/25))/(LN(2)/25)*Calculateur!AQ92*Calculateur!AS92*VLOOKUP('Données projet'!$B$10,Paramètres!$A$1:$I$89,3,0)*0.475*44/12</f>
        <v>0.28528102691345725</v>
      </c>
      <c r="AW92" s="23">
        <f>EXP(-LN(2)/2)*AW91+(1-EXP(-LN(2)/2))/(LN(2)/2)*AQ92*AT92*VLOOKUP('Données projet'!$B$10,Paramètres!$A$1:$I$89,3,0)*0.475*44/12</f>
        <v>7.8708213138480746E-9</v>
      </c>
      <c r="AX92" s="23">
        <f t="shared" si="60"/>
        <v>0.54645412293511875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4.4337866711430253E-14</v>
      </c>
      <c r="BF92" s="14">
        <f t="shared" si="91"/>
        <v>7.3222115536967035E-13</v>
      </c>
      <c r="BG92" s="22">
        <f t="shared" si="61"/>
        <v>1.3525069634579169E-12</v>
      </c>
      <c r="BH92" s="62">
        <f t="shared" si="62"/>
        <v>293.33333333333468</v>
      </c>
      <c r="BI92" s="62">
        <f ca="1">AVERAGE(OFFSET($BH$3,0,0,'Données projet'!$E$11+1,1))-AVERAGE(OFFSET($H$3,0,0,'Données projet'!$E$11+1,1))</f>
        <v>288.82868507674738</v>
      </c>
      <c r="BJ92" s="62">
        <f t="shared" si="92"/>
        <v>283.48738729114024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-2.2737367544323206E-13</v>
      </c>
      <c r="BZ92" s="14">
        <f>BY92*VLOOKUP('Données projet'!$B$12,Paramètres!$A$1:$I$89,3,0)*VLOOKUP('Données projet'!$B$12,Paramètres!$A$1:$I$89,5,0)</f>
        <v>-1.8089849618263545E-13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298.89893065707554</v>
      </c>
      <c r="CE92" s="62">
        <f t="shared" si="94"/>
        <v>294.28794439094878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-3.4106051316484809E-13</v>
      </c>
      <c r="CU92" s="18">
        <f>CT92*VLOOKUP('Données projet'!$B$13,Paramètres!$A$1:$I$89,3,0)*VLOOKUP('Données projet'!$B$13,Paramètres!$A$1:$I$89,5,0)</f>
        <v>-2.5006556825246659E-13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376.5422416541544</v>
      </c>
      <c r="CZ92" s="62">
        <f t="shared" si="96"/>
        <v>365.76175372075869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3.7325539124578802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3.7325539124578802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439.06700232017681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2.0572770154103635E-13</v>
      </c>
      <c r="AK93" s="14">
        <f t="shared" si="89"/>
        <v>2.8416956338469711E-12</v>
      </c>
      <c r="AL93" s="22">
        <f t="shared" si="58"/>
        <v>5.3075956424674458E-12</v>
      </c>
      <c r="AM93" s="62">
        <f t="shared" si="59"/>
        <v>293.3333333333386</v>
      </c>
      <c r="AN93" s="62">
        <f ca="1">AVERAGE(OFFSET($AM$3,0,0,'Données projet'!$E$10+1,1))-AVERAGE(OFFSET($H$3,0,0,'Données projet'!$E$10+1,1))</f>
        <v>436.23918637269577</v>
      </c>
      <c r="AO93" s="62">
        <f t="shared" si="90"/>
        <v>611.43967996341894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0.25605164319205648</v>
      </c>
      <c r="AV93" s="23">
        <f>EXP(-LN(2)/25)*AV92+(1-EXP(-LN(2)/25))/(LN(2)/25)*Calculateur!AQ93*Calculateur!AS93*VLOOKUP('Données projet'!$B$10,Paramètres!$A$1:$I$89,3,0)*0.475*44/12</f>
        <v>0.27748000223023156</v>
      </c>
      <c r="AW93" s="23">
        <f>EXP(-LN(2)/2)*AW92+(1-EXP(-LN(2)/2))/(LN(2)/2)*AQ93*AT93*VLOOKUP('Données projet'!$B$10,Paramètres!$A$1:$I$89,3,0)*0.475*44/12</f>
        <v>5.565511124529585E-9</v>
      </c>
      <c r="AX93" s="23">
        <f t="shared" si="60"/>
        <v>0.5335316509877992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4.4337866711430253E-14</v>
      </c>
      <c r="BF93" s="14">
        <f t="shared" si="91"/>
        <v>7.3222115536967035E-13</v>
      </c>
      <c r="BG93" s="22">
        <f t="shared" si="61"/>
        <v>1.3525069634579169E-12</v>
      </c>
      <c r="BH93" s="62">
        <f t="shared" si="62"/>
        <v>293.33333333333468</v>
      </c>
      <c r="BI93" s="62">
        <f ca="1">AVERAGE(OFFSET($BH$3,0,0,'Données projet'!$E$11+1,1))-AVERAGE(OFFSET($H$3,0,0,'Données projet'!$E$11+1,1))</f>
        <v>288.82868507674738</v>
      </c>
      <c r="BJ93" s="62">
        <f t="shared" si="92"/>
        <v>283.48738729114024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-2.2737367544323206E-13</v>
      </c>
      <c r="BZ93" s="14">
        <f>BY93*VLOOKUP('Données projet'!$B$12,Paramètres!$A$1:$I$89,3,0)*VLOOKUP('Données projet'!$B$12,Paramètres!$A$1:$I$89,5,0)</f>
        <v>-1.8089849618263545E-13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298.89893065707554</v>
      </c>
      <c r="CE93" s="62">
        <f t="shared" si="94"/>
        <v>294.28794439094878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-3.4106051316484809E-13</v>
      </c>
      <c r="CU93" s="18">
        <f>CT93*VLOOKUP('Données projet'!$B$13,Paramètres!$A$1:$I$89,3,0)*VLOOKUP('Données projet'!$B$13,Paramètres!$A$1:$I$89,5,0)</f>
        <v>-2.5006556825246659E-13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376.5422416541544</v>
      </c>
      <c r="CZ93" s="62">
        <f t="shared" si="96"/>
        <v>365.76175372075869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3.63048702943524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3.63048702943524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894.84585291615053</v>
      </c>
      <c r="S94" s="62">
        <f ca="1">AVERAGE(OFFSET($R$3,0,0,'Données projet'!$E$9+1,1))-AVERAGE(OFFSET($H$3,0,0,'Données projet'!$E$9+1,1))</f>
        <v>439.06700232017681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2.0572770154103635E-13</v>
      </c>
      <c r="AK94" s="14">
        <f t="shared" si="89"/>
        <v>2.8416956338469711E-12</v>
      </c>
      <c r="AL94" s="22">
        <f t="shared" si="58"/>
        <v>5.3075956424674458E-12</v>
      </c>
      <c r="AM94" s="62">
        <f t="shared" si="59"/>
        <v>293.3333333333386</v>
      </c>
      <c r="AN94" s="62">
        <f ca="1">AVERAGE(OFFSET($AM$3,0,0,'Données projet'!$E$10+1,1))-AVERAGE(OFFSET($H$3,0,0,'Données projet'!$E$10+1,1))</f>
        <v>436.23918637269577</v>
      </c>
      <c r="AO94" s="62">
        <f t="shared" si="90"/>
        <v>611.43967996341894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0.25103062664514147</v>
      </c>
      <c r="AV94" s="23">
        <f>EXP(-LN(2)/25)*AV93+(1-EXP(-LN(2)/25))/(LN(2)/25)*Calculateur!AQ94*Calculateur!AS94*VLOOKUP('Données projet'!$B$10,Paramètres!$A$1:$I$89,3,0)*0.475*44/12</f>
        <v>0.26989229697720674</v>
      </c>
      <c r="AW94" s="23">
        <f>EXP(-LN(2)/2)*AW93+(1-EXP(-LN(2)/2))/(LN(2)/2)*AQ94*AT94*VLOOKUP('Données projet'!$B$10,Paramètres!$A$1:$I$89,3,0)*0.475*44/12</f>
        <v>3.9354106569240373E-9</v>
      </c>
      <c r="AX94" s="23">
        <f t="shared" si="60"/>
        <v>0.52092292755775893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4.4337866711430253E-14</v>
      </c>
      <c r="BF94" s="14">
        <f t="shared" si="91"/>
        <v>7.3222115536967035E-13</v>
      </c>
      <c r="BG94" s="22">
        <f t="shared" si="61"/>
        <v>1.3525069634579169E-12</v>
      </c>
      <c r="BH94" s="62">
        <f t="shared" si="62"/>
        <v>293.33333333333468</v>
      </c>
      <c r="BI94" s="62">
        <f ca="1">AVERAGE(OFFSET($BH$3,0,0,'Données projet'!$E$11+1,1))-AVERAGE(OFFSET($H$3,0,0,'Données projet'!$E$11+1,1))</f>
        <v>288.82868507674738</v>
      </c>
      <c r="BJ94" s="62">
        <f t="shared" si="92"/>
        <v>283.48738729114024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projet'!$B$12,Paramètres!$A$1:$I$89,3,0)*VLOOKUP('Données projet'!$B$12,Paramètres!$A$1:$I$89,5,0)</f>
        <v>-1.8089849618263545E-13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298.89893065707554</v>
      </c>
      <c r="CE94" s="62">
        <f t="shared" si="94"/>
        <v>294.28794439094878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-3.4106051316484809E-13</v>
      </c>
      <c r="CU94" s="18">
        <f>CT94*VLOOKUP('Données projet'!$B$13,Paramètres!$A$1:$I$89,3,0)*VLOOKUP('Données projet'!$B$13,Paramètres!$A$1:$I$89,5,0)</f>
        <v>-2.5006556825246659E-13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376.5422416541544</v>
      </c>
      <c r="CZ94" s="62">
        <f t="shared" si="96"/>
        <v>365.76175372075869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3.5312111706963183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3.5312111706963183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906.29801031283523</v>
      </c>
      <c r="S95" s="62">
        <f ca="1">AVERAGE(OFFSET($R$3,0,0,'Données projet'!$E$9+1,1))-AVERAGE(OFFSET($H$3,0,0,'Données projet'!$E$9+1,1))</f>
        <v>439.06700232017681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2.0572770154103635E-13</v>
      </c>
      <c r="AK95" s="14">
        <f t="shared" si="89"/>
        <v>2.8416956338469711E-12</v>
      </c>
      <c r="AL95" s="22">
        <f t="shared" si="58"/>
        <v>5.3075956424674458E-12</v>
      </c>
      <c r="AM95" s="62">
        <f t="shared" si="59"/>
        <v>293.3333333333386</v>
      </c>
      <c r="AN95" s="62">
        <f ca="1">AVERAGE(OFFSET($AM$3,0,0,'Données projet'!$E$10+1,1))-AVERAGE(OFFSET($H$3,0,0,'Données projet'!$E$10+1,1))</f>
        <v>436.23918637269577</v>
      </c>
      <c r="AO95" s="62">
        <f t="shared" si="90"/>
        <v>611.43967996341894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0.24610806917019379</v>
      </c>
      <c r="AV95" s="23">
        <f>EXP(-LN(2)/25)*AV94+(1-EXP(-LN(2)/25))/(LN(2)/25)*Calculateur!AQ95*Calculateur!AS95*VLOOKUP('Données projet'!$B$10,Paramètres!$A$1:$I$89,3,0)*0.475*44/12</f>
        <v>0.26251207792334597</v>
      </c>
      <c r="AW95" s="23">
        <f>EXP(-LN(2)/2)*AW94+(1-EXP(-LN(2)/2))/(LN(2)/2)*AQ95*AT95*VLOOKUP('Données projet'!$B$10,Paramètres!$A$1:$I$89,3,0)*0.475*44/12</f>
        <v>2.7827555622647925E-9</v>
      </c>
      <c r="AX95" s="23">
        <f t="shared" si="60"/>
        <v>0.50862014987629534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4.4337866711430253E-14</v>
      </c>
      <c r="BF95" s="14">
        <f t="shared" si="91"/>
        <v>7.3222115536967035E-13</v>
      </c>
      <c r="BG95" s="22">
        <f t="shared" si="61"/>
        <v>1.3525069634579169E-12</v>
      </c>
      <c r="BH95" s="62">
        <f t="shared" si="62"/>
        <v>293.33333333333468</v>
      </c>
      <c r="BI95" s="62">
        <f ca="1">AVERAGE(OFFSET($BH$3,0,0,'Données projet'!$E$11+1,1))-AVERAGE(OFFSET($H$3,0,0,'Données projet'!$E$11+1,1))</f>
        <v>288.82868507674738</v>
      </c>
      <c r="BJ95" s="62">
        <f t="shared" si="92"/>
        <v>283.48738729114024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projet'!$B$12,Paramètres!$A$1:$I$89,3,0)*VLOOKUP('Données projet'!$B$12,Paramètres!$A$1:$I$89,5,0)</f>
        <v>-1.8089849618263545E-13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298.89893065707554</v>
      </c>
      <c r="CE95" s="62">
        <f t="shared" si="94"/>
        <v>294.28794439094878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-3.4106051316484809E-13</v>
      </c>
      <c r="CU95" s="18">
        <f>CT95*VLOOKUP('Données projet'!$B$13,Paramètres!$A$1:$I$89,3,0)*VLOOKUP('Données projet'!$B$13,Paramètres!$A$1:$I$89,5,0)</f>
        <v>-2.5006556825246659E-13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376.5422416541544</v>
      </c>
      <c r="CZ95" s="62">
        <f t="shared" si="96"/>
        <v>365.76175372075869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3.4346500155353028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3.4346500155353028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917.7457306308354</v>
      </c>
      <c r="S96" s="62">
        <f ca="1">AVERAGE(OFFSET($R$3,0,0,'Données projet'!$E$9+1,1))-AVERAGE(OFFSET($H$3,0,0,'Données projet'!$E$9+1,1))</f>
        <v>439.06700232017681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2.0572770154103635E-13</v>
      </c>
      <c r="AK96" s="14">
        <f t="shared" si="89"/>
        <v>2.8416956338469711E-12</v>
      </c>
      <c r="AL96" s="22">
        <f t="shared" si="58"/>
        <v>5.3075956424674458E-12</v>
      </c>
      <c r="AM96" s="62">
        <f t="shared" si="59"/>
        <v>293.3333333333386</v>
      </c>
      <c r="AN96" s="62">
        <f ca="1">AVERAGE(OFFSET($AM$3,0,0,'Données projet'!$E$10+1,1))-AVERAGE(OFFSET($H$3,0,0,'Données projet'!$E$10+1,1))</f>
        <v>436.23918637269577</v>
      </c>
      <c r="AO96" s="62">
        <f t="shared" si="90"/>
        <v>611.43967996341894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0.24128204004486625</v>
      </c>
      <c r="AV96" s="23">
        <f>EXP(-LN(2)/25)*AV95+(1-EXP(-LN(2)/25))/(LN(2)/25)*Calculateur!AQ96*Calculateur!AS96*VLOOKUP('Données projet'!$B$10,Paramètres!$A$1:$I$89,3,0)*0.475*44/12</f>
        <v>0.25533367134762186</v>
      </c>
      <c r="AW96" s="23">
        <f>EXP(-LN(2)/2)*AW95+(1-EXP(-LN(2)/2))/(LN(2)/2)*AQ96*AT96*VLOOKUP('Données projet'!$B$10,Paramètres!$A$1:$I$89,3,0)*0.475*44/12</f>
        <v>1.9677053284620186E-9</v>
      </c>
      <c r="AX96" s="23">
        <f t="shared" si="60"/>
        <v>0.49661571336019344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4.4337866711430253E-14</v>
      </c>
      <c r="BF96" s="14">
        <f t="shared" si="91"/>
        <v>7.3222115536967035E-13</v>
      </c>
      <c r="BG96" s="22">
        <f t="shared" si="61"/>
        <v>1.3525069634579169E-12</v>
      </c>
      <c r="BH96" s="62">
        <f t="shared" si="62"/>
        <v>293.33333333333468</v>
      </c>
      <c r="BI96" s="62">
        <f ca="1">AVERAGE(OFFSET($BH$3,0,0,'Données projet'!$E$11+1,1))-AVERAGE(OFFSET($H$3,0,0,'Données projet'!$E$11+1,1))</f>
        <v>288.82868507674738</v>
      </c>
      <c r="BJ96" s="62">
        <f t="shared" si="92"/>
        <v>283.48738729114024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projet'!$B$12,Paramètres!$A$1:$I$89,3,0)*VLOOKUP('Données projet'!$B$12,Paramètres!$A$1:$I$89,5,0)</f>
        <v>-1.8089849618263545E-13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298.89893065707554</v>
      </c>
      <c r="CE96" s="62">
        <f t="shared" si="94"/>
        <v>294.28794439094878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-3.4106051316484809E-13</v>
      </c>
      <c r="CU96" s="18">
        <f>CT96*VLOOKUP('Données projet'!$B$13,Paramètres!$A$1:$I$89,3,0)*VLOOKUP('Données projet'!$B$13,Paramètres!$A$1:$I$89,5,0)</f>
        <v>-2.5006556825246659E-13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376.5422416541544</v>
      </c>
      <c r="CZ96" s="62">
        <f t="shared" si="96"/>
        <v>365.76175372075869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3.3407293302400958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3.3407293302400958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929.1891066589867</v>
      </c>
      <c r="S97" s="62">
        <f ca="1">AVERAGE(OFFSET($R$3,0,0,'Données projet'!$E$9+1,1))-AVERAGE(OFFSET($H$3,0,0,'Données projet'!$E$9+1,1))</f>
        <v>439.06700232017681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2.0572770154103635E-13</v>
      </c>
      <c r="AK97" s="14">
        <f t="shared" si="89"/>
        <v>2.8416956338469711E-12</v>
      </c>
      <c r="AL97" s="22">
        <f t="shared" si="58"/>
        <v>5.3075956424674458E-12</v>
      </c>
      <c r="AM97" s="62">
        <f t="shared" si="59"/>
        <v>293.3333333333386</v>
      </c>
      <c r="AN97" s="62">
        <f ca="1">AVERAGE(OFFSET($AM$3,0,0,'Données projet'!$E$10+1,1))-AVERAGE(OFFSET($H$3,0,0,'Données projet'!$E$10+1,1))</f>
        <v>436.23918637269577</v>
      </c>
      <c r="AO97" s="62">
        <f t="shared" si="90"/>
        <v>611.43967996341894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0.23655064640709927</v>
      </c>
      <c r="AV97" s="23">
        <f>EXP(-LN(2)/25)*AV96+(1-EXP(-LN(2)/25))/(LN(2)/25)*Calculateur!AQ97*Calculateur!AS97*VLOOKUP('Données projet'!$B$10,Paramètres!$A$1:$I$89,3,0)*0.475*44/12</f>
        <v>0.24835155867720693</v>
      </c>
      <c r="AW97" s="23">
        <f>EXP(-LN(2)/2)*AW96+(1-EXP(-LN(2)/2))/(LN(2)/2)*AQ97*AT97*VLOOKUP('Données projet'!$B$10,Paramètres!$A$1:$I$89,3,0)*0.475*44/12</f>
        <v>1.3913777811323962E-9</v>
      </c>
      <c r="AX97" s="23">
        <f t="shared" si="60"/>
        <v>0.48490220647568399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4.4337866711430253E-14</v>
      </c>
      <c r="BF97" s="14">
        <f t="shared" si="91"/>
        <v>7.3222115536967035E-13</v>
      </c>
      <c r="BG97" s="22">
        <f t="shared" si="61"/>
        <v>1.3525069634579169E-12</v>
      </c>
      <c r="BH97" s="62">
        <f t="shared" si="62"/>
        <v>293.33333333333468</v>
      </c>
      <c r="BI97" s="62">
        <f ca="1">AVERAGE(OFFSET($BH$3,0,0,'Données projet'!$E$11+1,1))-AVERAGE(OFFSET($H$3,0,0,'Données projet'!$E$11+1,1))</f>
        <v>288.82868507674738</v>
      </c>
      <c r="BJ97" s="62">
        <f t="shared" si="92"/>
        <v>283.48738729114024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projet'!$B$12,Paramètres!$A$1:$I$89,3,0)*VLOOKUP('Données projet'!$B$12,Paramètres!$A$1:$I$89,5,0)</f>
        <v>-1.8089849618263545E-13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298.89893065707554</v>
      </c>
      <c r="CE97" s="62">
        <f t="shared" si="94"/>
        <v>294.28794439094878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-3.4106051316484809E-13</v>
      </c>
      <c r="CU97" s="18">
        <f>CT97*VLOOKUP('Données projet'!$B$13,Paramètres!$A$1:$I$89,3,0)*VLOOKUP('Données projet'!$B$13,Paramètres!$A$1:$I$89,5,0)</f>
        <v>-2.5006556825246659E-13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376.5422416541544</v>
      </c>
      <c r="CZ97" s="62">
        <f t="shared" si="96"/>
        <v>365.76175372075869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3.2493769110233601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3.2493769110233601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940.62822757505796</v>
      </c>
      <c r="S98" s="62">
        <f ca="1">AVERAGE(OFFSET($R$3,0,0,'Données projet'!$E$9+1,1))-AVERAGE(OFFSET($H$3,0,0,'Données projet'!$E$9+1,1))</f>
        <v>439.06700232017681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2.0572770154103635E-13</v>
      </c>
      <c r="AK98" s="14">
        <f t="shared" si="89"/>
        <v>2.8416956338469711E-12</v>
      </c>
      <c r="AL98" s="22">
        <f t="shared" si="58"/>
        <v>5.3075956424674458E-12</v>
      </c>
      <c r="AM98" s="62">
        <f t="shared" si="59"/>
        <v>293.3333333333386</v>
      </c>
      <c r="AN98" s="62">
        <f ca="1">AVERAGE(OFFSET($AM$3,0,0,'Données projet'!$E$10+1,1))-AVERAGE(OFFSET($H$3,0,0,'Données projet'!$E$10+1,1))</f>
        <v>436.23918637269577</v>
      </c>
      <c r="AO98" s="62">
        <f t="shared" si="90"/>
        <v>611.43967996341894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0.23191203251270373</v>
      </c>
      <c r="AV98" s="23">
        <f>EXP(-LN(2)/25)*AV97+(1-EXP(-LN(2)/25))/(LN(2)/25)*Calculateur!AQ98*Calculateur!AS98*VLOOKUP('Données projet'!$B$10,Paramètres!$A$1:$I$89,3,0)*0.475*44/12</f>
        <v>0.24156037224493784</v>
      </c>
      <c r="AW98" s="23">
        <f>EXP(-LN(2)/2)*AW97+(1-EXP(-LN(2)/2))/(LN(2)/2)*AQ98*AT98*VLOOKUP('Données projet'!$B$10,Paramètres!$A$1:$I$89,3,0)*0.475*44/12</f>
        <v>9.8385266423100932E-10</v>
      </c>
      <c r="AX98" s="23">
        <f t="shared" si="60"/>
        <v>0.47347240574149424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4.4337866711430253E-14</v>
      </c>
      <c r="BF98" s="14">
        <f t="shared" si="91"/>
        <v>7.3222115536967035E-13</v>
      </c>
      <c r="BG98" s="22">
        <f t="shared" si="61"/>
        <v>1.3525069634579169E-12</v>
      </c>
      <c r="BH98" s="62">
        <f t="shared" si="62"/>
        <v>293.33333333333468</v>
      </c>
      <c r="BI98" s="62">
        <f ca="1">AVERAGE(OFFSET($BH$3,0,0,'Données projet'!$E$11+1,1))-AVERAGE(OFFSET($H$3,0,0,'Données projet'!$E$11+1,1))</f>
        <v>288.82868507674738</v>
      </c>
      <c r="BJ98" s="62">
        <f t="shared" si="92"/>
        <v>283.48738729114024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projet'!$B$12,Paramètres!$A$1:$I$89,3,0)*VLOOKUP('Données projet'!$B$12,Paramètres!$A$1:$I$89,5,0)</f>
        <v>-1.8089849618263545E-13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298.89893065707554</v>
      </c>
      <c r="CE98" s="62">
        <f t="shared" si="94"/>
        <v>294.28794439094878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-3.4106051316484809E-13</v>
      </c>
      <c r="CU98" s="18">
        <f>CT98*VLOOKUP('Données projet'!$B$13,Paramètres!$A$1:$I$89,3,0)*VLOOKUP('Données projet'!$B$13,Paramètres!$A$1:$I$89,5,0)</f>
        <v>-2.5006556825246659E-13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376.5422416541544</v>
      </c>
      <c r="CZ98" s="62">
        <f t="shared" si="96"/>
        <v>365.76175372075869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3.1605225285141212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3.1605225285141212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898.28197170079534</v>
      </c>
      <c r="S99" s="62">
        <f ca="1">AVERAGE(OFFSET($R$3,0,0,'Données projet'!$E$9+1,1))-AVERAGE(OFFSET($H$3,0,0,'Données projet'!$E$9+1,1))</f>
        <v>439.06700232017681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2.0572770154103635E-13</v>
      </c>
      <c r="AK99" s="14">
        <f t="shared" si="89"/>
        <v>2.8416956338469711E-12</v>
      </c>
      <c r="AL99" s="22">
        <f t="shared" si="58"/>
        <v>5.3075956424674458E-12</v>
      </c>
      <c r="AM99" s="62">
        <f t="shared" si="59"/>
        <v>293.3333333333386</v>
      </c>
      <c r="AN99" s="62">
        <f ca="1">AVERAGE(OFFSET($AM$3,0,0,'Données projet'!$E$10+1,1))-AVERAGE(OFFSET($H$3,0,0,'Données projet'!$E$10+1,1))</f>
        <v>436.23918637269577</v>
      </c>
      <c r="AO99" s="62">
        <f t="shared" si="90"/>
        <v>611.43967996341894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0.22736437900750217</v>
      </c>
      <c r="AV99" s="23">
        <f>EXP(-LN(2)/25)*AV98+(1-EXP(-LN(2)/25))/(LN(2)/25)*Calculateur!AQ99*Calculateur!AS99*VLOOKUP('Données projet'!$B$10,Paramètres!$A$1:$I$89,3,0)*0.475*44/12</f>
        <v>0.23495489116279214</v>
      </c>
      <c r="AW99" s="23">
        <f>EXP(-LN(2)/2)*AW98+(1-EXP(-LN(2)/2))/(LN(2)/2)*AQ99*AT99*VLOOKUP('Données projet'!$B$10,Paramètres!$A$1:$I$89,3,0)*0.475*44/12</f>
        <v>6.9568889056619812E-10</v>
      </c>
      <c r="AX99" s="23">
        <f t="shared" si="60"/>
        <v>0.46231927086598318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4.4337866711430253E-14</v>
      </c>
      <c r="BF99" s="14">
        <f t="shared" si="91"/>
        <v>7.3222115536967035E-13</v>
      </c>
      <c r="BG99" s="22">
        <f t="shared" si="61"/>
        <v>1.3525069634579169E-12</v>
      </c>
      <c r="BH99" s="62">
        <f t="shared" si="62"/>
        <v>293.33333333333468</v>
      </c>
      <c r="BI99" s="62">
        <f ca="1">AVERAGE(OFFSET($BH$3,0,0,'Données projet'!$E$11+1,1))-AVERAGE(OFFSET($H$3,0,0,'Données projet'!$E$11+1,1))</f>
        <v>288.82868507674738</v>
      </c>
      <c r="BJ99" s="62">
        <f t="shared" si="92"/>
        <v>283.48738729114024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projet'!$B$12,Paramètres!$A$1:$I$89,3,0)*VLOOKUP('Données projet'!$B$12,Paramètres!$A$1:$I$89,5,0)</f>
        <v>-1.8089849618263545E-13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298.89893065707554</v>
      </c>
      <c r="CE99" s="62">
        <f t="shared" si="94"/>
        <v>294.28794439094878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-3.4106051316484809E-13</v>
      </c>
      <c r="CU99" s="18">
        <f>CT99*VLOOKUP('Données projet'!$B$13,Paramètres!$A$1:$I$89,3,0)*VLOOKUP('Données projet'!$B$13,Paramètres!$A$1:$I$89,5,0)</f>
        <v>-2.5006556825246659E-13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376.5422416541544</v>
      </c>
      <c r="CZ99" s="62">
        <f t="shared" si="96"/>
        <v>365.76175372075869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3.0740978737672462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3.0740978737672462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909.35116568128819</v>
      </c>
      <c r="S100" s="62">
        <f ca="1">AVERAGE(OFFSET($R$3,0,0,'Données projet'!$E$9+1,1))-AVERAGE(OFFSET($H$3,0,0,'Données projet'!$E$9+1,1))</f>
        <v>439.06700232017681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2.0572770154103635E-13</v>
      </c>
      <c r="AK100" s="14">
        <f t="shared" si="89"/>
        <v>2.8416956338469711E-12</v>
      </c>
      <c r="AL100" s="22">
        <f t="shared" si="58"/>
        <v>5.3075956424674458E-12</v>
      </c>
      <c r="AM100" s="62">
        <f t="shared" si="59"/>
        <v>293.3333333333386</v>
      </c>
      <c r="AN100" s="62">
        <f ca="1">AVERAGE(OFFSET($AM$3,0,0,'Données projet'!$E$10+1,1))-AVERAGE(OFFSET($H$3,0,0,'Données projet'!$E$10+1,1))</f>
        <v>436.23918637269577</v>
      </c>
      <c r="AO100" s="62">
        <f t="shared" si="90"/>
        <v>611.43967996341894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0.22290590221374287</v>
      </c>
      <c r="AV100" s="23">
        <f>EXP(-LN(2)/25)*AV99+(1-EXP(-LN(2)/25))/(LN(2)/25)*Calculateur!AQ100*Calculateur!AS100*VLOOKUP('Données projet'!$B$10,Paramètres!$A$1:$I$89,3,0)*0.475*44/12</f>
        <v>0.22853003730820487</v>
      </c>
      <c r="AW100" s="23">
        <f>EXP(-LN(2)/2)*AW99+(1-EXP(-LN(2)/2))/(LN(2)/2)*AQ100*AT100*VLOOKUP('Données projet'!$B$10,Paramètres!$A$1:$I$89,3,0)*0.475*44/12</f>
        <v>4.9192633211550466E-10</v>
      </c>
      <c r="AX100" s="23">
        <f t="shared" si="60"/>
        <v>0.45143594001387405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4.4337866711430253E-14</v>
      </c>
      <c r="BF100" s="14">
        <f t="shared" si="91"/>
        <v>7.3222115536967035E-13</v>
      </c>
      <c r="BG100" s="22">
        <f t="shared" si="61"/>
        <v>1.3525069634579169E-12</v>
      </c>
      <c r="BH100" s="62">
        <f t="shared" si="62"/>
        <v>293.33333333333468</v>
      </c>
      <c r="BI100" s="62">
        <f ca="1">AVERAGE(OFFSET($BH$3,0,0,'Données projet'!$E$11+1,1))-AVERAGE(OFFSET($H$3,0,0,'Données projet'!$E$11+1,1))</f>
        <v>288.82868507674738</v>
      </c>
      <c r="BJ100" s="62">
        <f t="shared" si="92"/>
        <v>283.48738729114024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projet'!$B$12,Paramètres!$A$1:$I$89,3,0)*VLOOKUP('Données projet'!$B$12,Paramètres!$A$1:$I$89,5,0)</f>
        <v>-1.8089849618263545E-13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298.89893065707554</v>
      </c>
      <c r="CE100" s="62">
        <f t="shared" si="94"/>
        <v>294.28794439094878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-3.4106051316484809E-13</v>
      </c>
      <c r="CU100" s="18">
        <f>CT100*VLOOKUP('Données projet'!$B$13,Paramètres!$A$1:$I$89,3,0)*VLOOKUP('Données projet'!$B$13,Paramètres!$A$1:$I$89,5,0)</f>
        <v>-2.5006556825246659E-13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376.5422416541544</v>
      </c>
      <c r="CZ100" s="62">
        <f t="shared" si="96"/>
        <v>365.76175372075869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2.9900365057492997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2.9900365057492997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920.41623694033296</v>
      </c>
      <c r="S101" s="62">
        <f ca="1">AVERAGE(OFFSET($R$3,0,0,'Données projet'!$E$9+1,1))-AVERAGE(OFFSET($H$3,0,0,'Données projet'!$E$9+1,1))</f>
        <v>439.06700232017681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2.0572770154103635E-13</v>
      </c>
      <c r="AK101" s="14">
        <f t="shared" si="89"/>
        <v>2.8416956338469711E-12</v>
      </c>
      <c r="AL101" s="22">
        <f t="shared" si="58"/>
        <v>5.3075956424674458E-12</v>
      </c>
      <c r="AM101" s="62">
        <f t="shared" si="59"/>
        <v>293.3333333333386</v>
      </c>
      <c r="AN101" s="62">
        <f ca="1">AVERAGE(OFFSET($AM$3,0,0,'Données projet'!$E$10+1,1))-AVERAGE(OFFSET($H$3,0,0,'Données projet'!$E$10+1,1))</f>
        <v>436.23918637269577</v>
      </c>
      <c r="AO101" s="62">
        <f t="shared" si="90"/>
        <v>611.43967996341894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0.21853485343050688</v>
      </c>
      <c r="AV101" s="23">
        <f>EXP(-LN(2)/25)*AV100+(1-EXP(-LN(2)/25))/(LN(2)/25)*Calculateur!AQ101*Calculateur!AS101*VLOOKUP('Données projet'!$B$10,Paramètres!$A$1:$I$89,3,0)*0.475*44/12</f>
        <v>0.22228087142013966</v>
      </c>
      <c r="AW101" s="23">
        <f>EXP(-LN(2)/2)*AW100+(1-EXP(-LN(2)/2))/(LN(2)/2)*AQ101*AT101*VLOOKUP('Données projet'!$B$10,Paramètres!$A$1:$I$89,3,0)*0.475*44/12</f>
        <v>3.4784444528309906E-10</v>
      </c>
      <c r="AX101" s="23">
        <f t="shared" si="60"/>
        <v>0.44081572519849099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4.4337866711430253E-14</v>
      </c>
      <c r="BF101" s="14">
        <f t="shared" si="91"/>
        <v>7.3222115536967035E-13</v>
      </c>
      <c r="BG101" s="22">
        <f t="shared" si="61"/>
        <v>1.3525069634579169E-12</v>
      </c>
      <c r="BH101" s="62">
        <f t="shared" si="62"/>
        <v>293.33333333333468</v>
      </c>
      <c r="BI101" s="62">
        <f ca="1">AVERAGE(OFFSET($BH$3,0,0,'Données projet'!$E$11+1,1))-AVERAGE(OFFSET($H$3,0,0,'Données projet'!$E$11+1,1))</f>
        <v>288.82868507674738</v>
      </c>
      <c r="BJ101" s="62">
        <f t="shared" si="92"/>
        <v>283.48738729114024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projet'!$B$12,Paramètres!$A$1:$I$89,3,0)*VLOOKUP('Données projet'!$B$12,Paramètres!$A$1:$I$89,5,0)</f>
        <v>-1.8089849618263545E-13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298.89893065707554</v>
      </c>
      <c r="CE101" s="62">
        <f t="shared" si="94"/>
        <v>294.28794439094878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-3.4106051316484809E-13</v>
      </c>
      <c r="CU101" s="18">
        <f>CT101*VLOOKUP('Données projet'!$B$13,Paramètres!$A$1:$I$89,3,0)*VLOOKUP('Données projet'!$B$13,Paramètres!$A$1:$I$89,5,0)</f>
        <v>-2.5006556825246659E-13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376.5422416541544</v>
      </c>
      <c r="CZ101" s="62">
        <f t="shared" si="96"/>
        <v>365.76175372075869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2.9082738002603992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2.9082738002603992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931.47726845869261</v>
      </c>
      <c r="S102" s="62">
        <f ca="1">AVERAGE(OFFSET($R$3,0,0,'Données projet'!$E$9+1,1))-AVERAGE(OFFSET($H$3,0,0,'Données projet'!$E$9+1,1))</f>
        <v>439.06700232017681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2.0572770154103635E-13</v>
      </c>
      <c r="AK102" s="14">
        <f t="shared" si="89"/>
        <v>2.8416956338469711E-12</v>
      </c>
      <c r="AL102" s="22">
        <f t="shared" si="58"/>
        <v>5.3075956424674458E-12</v>
      </c>
      <c r="AM102" s="62">
        <f t="shared" si="59"/>
        <v>293.3333333333386</v>
      </c>
      <c r="AN102" s="62">
        <f ca="1">AVERAGE(OFFSET($AM$3,0,0,'Données projet'!$E$10+1,1))-AVERAGE(OFFSET($H$3,0,0,'Données projet'!$E$10+1,1))</f>
        <v>436.23918637269577</v>
      </c>
      <c r="AO102" s="62">
        <f t="shared" si="90"/>
        <v>611.43967996341894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0.21424951824783364</v>
      </c>
      <c r="AV102" s="23">
        <f>EXP(-LN(2)/25)*AV101+(1-EXP(-LN(2)/25))/(LN(2)/25)*Calculateur!AQ102*Calculateur!AS102*VLOOKUP('Données projet'!$B$10,Paramètres!$A$1:$I$89,3,0)*0.475*44/12</f>
        <v>0.21620258930191294</v>
      </c>
      <c r="AW102" s="23">
        <f>EXP(-LN(2)/2)*AW101+(1-EXP(-LN(2)/2))/(LN(2)/2)*AQ102*AT102*VLOOKUP('Données projet'!$B$10,Paramètres!$A$1:$I$89,3,0)*0.475*44/12</f>
        <v>2.4596316605775233E-10</v>
      </c>
      <c r="AX102" s="23">
        <f t="shared" si="60"/>
        <v>0.43045210779570975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4.4337866711430253E-14</v>
      </c>
      <c r="BF102" s="14">
        <f t="shared" si="91"/>
        <v>7.3222115536967035E-13</v>
      </c>
      <c r="BG102" s="22">
        <f t="shared" si="61"/>
        <v>1.3525069634579169E-12</v>
      </c>
      <c r="BH102" s="62">
        <f t="shared" si="62"/>
        <v>293.33333333333468</v>
      </c>
      <c r="BI102" s="62">
        <f ca="1">AVERAGE(OFFSET($BH$3,0,0,'Données projet'!$E$11+1,1))-AVERAGE(OFFSET($H$3,0,0,'Données projet'!$E$11+1,1))</f>
        <v>288.82868507674738</v>
      </c>
      <c r="BJ102" s="62">
        <f t="shared" si="92"/>
        <v>283.48738729114024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projet'!$B$12,Paramètres!$A$1:$I$89,3,0)*VLOOKUP('Données projet'!$B$12,Paramètres!$A$1:$I$89,5,0)</f>
        <v>-1.8089849618263545E-13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298.89893065707554</v>
      </c>
      <c r="CE102" s="62">
        <f t="shared" si="94"/>
        <v>294.28794439094878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-3.4106051316484809E-13</v>
      </c>
      <c r="CU102" s="18">
        <f>CT102*VLOOKUP('Données projet'!$B$13,Paramètres!$A$1:$I$89,3,0)*VLOOKUP('Données projet'!$B$13,Paramètres!$A$1:$I$89,5,0)</f>
        <v>-2.5006556825246659E-13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376.5422416541544</v>
      </c>
      <c r="CZ102" s="62">
        <f t="shared" si="96"/>
        <v>365.76175372075869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2.8287469002528063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2.8287469002528063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439.06700232017681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2.0572770154103635E-13</v>
      </c>
      <c r="AK103" s="14">
        <f t="shared" si="89"/>
        <v>2.8416956338469711E-12</v>
      </c>
      <c r="AL103" s="22">
        <f t="shared" si="58"/>
        <v>5.3075956424674458E-12</v>
      </c>
      <c r="AM103" s="62">
        <f t="shared" si="59"/>
        <v>293.3333333333386</v>
      </c>
      <c r="AN103" s="62">
        <f ca="1">AVERAGE(OFFSET($AM$3,0,0,'Données projet'!$E$10+1,1))-AVERAGE(OFFSET($H$3,0,0,'Données projet'!$E$10+1,1))</f>
        <v>436.23918637269577</v>
      </c>
      <c r="AO103" s="62">
        <f t="shared" si="90"/>
        <v>611.43967996341894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0.21004821587429626</v>
      </c>
      <c r="AV103" s="23">
        <f>EXP(-LN(2)/25)*AV102+(1-EXP(-LN(2)/25))/(LN(2)/25)*Calculateur!AQ103*Calculateur!AS103*VLOOKUP('Données projet'!$B$10,Paramètres!$A$1:$I$89,3,0)*0.475*44/12</f>
        <v>0.2102905181278521</v>
      </c>
      <c r="AW103" s="23">
        <f>EXP(-LN(2)/2)*AW102+(1-EXP(-LN(2)/2))/(LN(2)/2)*AQ103*AT103*VLOOKUP('Données projet'!$B$10,Paramètres!$A$1:$I$89,3,0)*0.475*44/12</f>
        <v>1.7392222264154953E-10</v>
      </c>
      <c r="AX103" s="23">
        <f t="shared" si="60"/>
        <v>0.42033873417607059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4.4337866711430253E-14</v>
      </c>
      <c r="BF103" s="14">
        <f t="shared" si="91"/>
        <v>7.3222115536967035E-13</v>
      </c>
      <c r="BG103" s="22">
        <f t="shared" si="61"/>
        <v>1.3525069634579169E-12</v>
      </c>
      <c r="BH103" s="62">
        <f t="shared" si="62"/>
        <v>293.33333333333468</v>
      </c>
      <c r="BI103" s="62">
        <f ca="1">AVERAGE(OFFSET($BH$3,0,0,'Données projet'!$E$11+1,1))-AVERAGE(OFFSET($H$3,0,0,'Données projet'!$E$11+1,1))</f>
        <v>288.82868507674738</v>
      </c>
      <c r="BJ103" s="62">
        <f t="shared" si="92"/>
        <v>283.48738729114024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projet'!$B$12,Paramètres!$A$1:$I$89,3,0)*VLOOKUP('Données projet'!$B$12,Paramètres!$A$1:$I$89,5,0)</f>
        <v>-1.8089849618263545E-13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298.89893065707554</v>
      </c>
      <c r="CE103" s="62">
        <f t="shared" si="94"/>
        <v>294.28794439094878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-3.4106051316484809E-13</v>
      </c>
      <c r="CU103" s="18">
        <f>CT103*VLOOKUP('Données projet'!$B$13,Paramètres!$A$1:$I$89,3,0)*VLOOKUP('Données projet'!$B$13,Paramètres!$A$1:$I$89,5,0)</f>
        <v>-2.5006556825246659E-13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376.5422416541544</v>
      </c>
      <c r="CZ103" s="62">
        <f t="shared" si="96"/>
        <v>365.76175372075869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2.7513946675080589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2.7513946675080589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439.06700232017681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2.0572770154103635E-13</v>
      </c>
      <c r="AK104" s="14">
        <f t="shared" si="89"/>
        <v>2.8416956338469711E-12</v>
      </c>
      <c r="AL104" s="22">
        <f t="shared" si="58"/>
        <v>5.3075956424674458E-12</v>
      </c>
      <c r="AM104" s="62">
        <f t="shared" si="59"/>
        <v>293.3333333333386</v>
      </c>
      <c r="AN104" s="62">
        <f ca="1">AVERAGE(OFFSET($AM$3,0,0,'Données projet'!$E$10+1,1))-AVERAGE(OFFSET($H$3,0,0,'Données projet'!$E$10+1,1))</f>
        <v>436.23918637269577</v>
      </c>
      <c r="AO104" s="62">
        <f t="shared" si="90"/>
        <v>611.43967996341894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0.20592929847776251</v>
      </c>
      <c r="AV104" s="23">
        <f>EXP(-LN(2)/25)*AV103+(1-EXP(-LN(2)/25))/(LN(2)/25)*Calculateur!AQ104*Calculateur!AS104*VLOOKUP('Données projet'!$B$10,Paramètres!$A$1:$I$89,3,0)*0.475*44/12</f>
        <v>0.20454011285094825</v>
      </c>
      <c r="AW104" s="23">
        <f>EXP(-LN(2)/2)*AW103+(1-EXP(-LN(2)/2))/(LN(2)/2)*AQ104*AT104*VLOOKUP('Données projet'!$B$10,Paramètres!$A$1:$I$89,3,0)*0.475*44/12</f>
        <v>1.2298158302887617E-10</v>
      </c>
      <c r="AX104" s="23">
        <f t="shared" si="60"/>
        <v>0.4104694114516923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4.4337866711430253E-14</v>
      </c>
      <c r="BF104" s="14">
        <f t="shared" si="91"/>
        <v>7.3222115536967035E-13</v>
      </c>
      <c r="BG104" s="22">
        <f t="shared" si="61"/>
        <v>1.3525069634579169E-12</v>
      </c>
      <c r="BH104" s="62">
        <f t="shared" si="62"/>
        <v>293.33333333333468</v>
      </c>
      <c r="BI104" s="62">
        <f ca="1">AVERAGE(OFFSET($BH$3,0,0,'Données projet'!$E$11+1,1))-AVERAGE(OFFSET($H$3,0,0,'Données projet'!$E$11+1,1))</f>
        <v>288.82868507674738</v>
      </c>
      <c r="BJ104" s="62">
        <f t="shared" si="92"/>
        <v>283.48738729114024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projet'!$B$12,Paramètres!$A$1:$I$89,3,0)*VLOOKUP('Données projet'!$B$12,Paramètres!$A$1:$I$89,5,0)</f>
        <v>-1.8089849618263545E-13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298.89893065707554</v>
      </c>
      <c r="CE104" s="62">
        <f t="shared" si="94"/>
        <v>294.28794439094878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-3.4106051316484809E-13</v>
      </c>
      <c r="CU104" s="18">
        <f>CT104*VLOOKUP('Données projet'!$B$13,Paramètres!$A$1:$I$89,3,0)*VLOOKUP('Données projet'!$B$13,Paramètres!$A$1:$I$89,5,0)</f>
        <v>-2.5006556825246659E-13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376.5422416541544</v>
      </c>
      <c r="CZ104" s="62">
        <f t="shared" si="96"/>
        <v>365.76175372075869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2.6761576356354939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2.6761576356354939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439.06700232017681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2.0572770154103635E-13</v>
      </c>
      <c r="AK105" s="14">
        <f t="shared" si="89"/>
        <v>2.8416956338469711E-12</v>
      </c>
      <c r="AL105" s="22">
        <f t="shared" si="58"/>
        <v>5.3075956424674458E-12</v>
      </c>
      <c r="AM105" s="62">
        <f t="shared" si="59"/>
        <v>293.3333333333386</v>
      </c>
      <c r="AN105" s="62">
        <f ca="1">AVERAGE(OFFSET($AM$3,0,0,'Données projet'!$E$10+1,1))-AVERAGE(OFFSET($H$3,0,0,'Données projet'!$E$10+1,1))</f>
        <v>436.23918637269577</v>
      </c>
      <c r="AO105" s="62">
        <f t="shared" si="90"/>
        <v>611.43967996341894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0.20189115053908324</v>
      </c>
      <c r="AV105" s="23">
        <f>EXP(-LN(2)/25)*AV104+(1-EXP(-LN(2)/25))/(LN(2)/25)*Calculateur!AQ105*Calculateur!AS105*VLOOKUP('Données projet'!$B$10,Paramètres!$A$1:$I$89,3,0)*0.475*44/12</f>
        <v>0.19894695270874202</v>
      </c>
      <c r="AW105" s="23">
        <f>EXP(-LN(2)/2)*AW104+(1-EXP(-LN(2)/2))/(LN(2)/2)*AQ105*AT105*VLOOKUP('Données projet'!$B$10,Paramètres!$A$1:$I$89,3,0)*0.475*44/12</f>
        <v>8.6961111320774765E-11</v>
      </c>
      <c r="AX105" s="23">
        <f t="shared" si="60"/>
        <v>0.40083810333478637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4.4337866711430253E-14</v>
      </c>
      <c r="BF105" s="14">
        <f t="shared" si="91"/>
        <v>7.3222115536967035E-13</v>
      </c>
      <c r="BG105" s="22">
        <f t="shared" si="61"/>
        <v>1.3525069634579169E-12</v>
      </c>
      <c r="BH105" s="62">
        <f t="shared" si="62"/>
        <v>293.33333333333468</v>
      </c>
      <c r="BI105" s="62">
        <f ca="1">AVERAGE(OFFSET($BH$3,0,0,'Données projet'!$E$11+1,1))-AVERAGE(OFFSET($H$3,0,0,'Données projet'!$E$11+1,1))</f>
        <v>288.82868507674738</v>
      </c>
      <c r="BJ105" s="62">
        <f t="shared" si="92"/>
        <v>283.48738729114024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projet'!$B$12,Paramètres!$A$1:$I$89,3,0)*VLOOKUP('Données projet'!$B$12,Paramètres!$A$1:$I$89,5,0)</f>
        <v>-1.8089849618263545E-13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298.89893065707554</v>
      </c>
      <c r="CE105" s="62">
        <f t="shared" si="94"/>
        <v>294.28794439094878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-3.4106051316484809E-13</v>
      </c>
      <c r="CU105" s="18">
        <f>CT105*VLOOKUP('Données projet'!$B$13,Paramètres!$A$1:$I$89,3,0)*VLOOKUP('Données projet'!$B$13,Paramètres!$A$1:$I$89,5,0)</f>
        <v>-2.5006556825246659E-13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376.5422416541544</v>
      </c>
      <c r="CZ105" s="62">
        <f t="shared" si="96"/>
        <v>365.76175372075869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2.6029779643560276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2.6029779643560276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439.06700232017681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2.0572770154103635E-13</v>
      </c>
      <c r="AK106" s="14">
        <f t="shared" si="89"/>
        <v>2.8416956338469711E-12</v>
      </c>
      <c r="AL106" s="22">
        <f t="shared" si="58"/>
        <v>5.3075956424674458E-12</v>
      </c>
      <c r="AM106" s="62">
        <f t="shared" si="59"/>
        <v>293.3333333333386</v>
      </c>
      <c r="AN106" s="62">
        <f ca="1">AVERAGE(OFFSET($AM$3,0,0,'Données projet'!$E$10+1,1))-AVERAGE(OFFSET($H$3,0,0,'Données projet'!$E$10+1,1))</f>
        <v>436.23918637269577</v>
      </c>
      <c r="AO106" s="62">
        <f t="shared" si="90"/>
        <v>611.43967996341894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0.19793218821845443</v>
      </c>
      <c r="AV106" s="23">
        <f>EXP(-LN(2)/25)*AV105+(1-EXP(-LN(2)/25))/(LN(2)/25)*Calculateur!AQ106*Calculateur!AS106*VLOOKUP('Données projet'!$B$10,Paramètres!$A$1:$I$89,3,0)*0.475*44/12</f>
        <v>0.19350673782475591</v>
      </c>
      <c r="AW106" s="23">
        <f>EXP(-LN(2)/2)*AW105+(1-EXP(-LN(2)/2))/(LN(2)/2)*AQ106*AT106*VLOOKUP('Données projet'!$B$10,Paramètres!$A$1:$I$89,3,0)*0.475*44/12</f>
        <v>6.1490791514438083E-11</v>
      </c>
      <c r="AX106" s="23">
        <f t="shared" si="60"/>
        <v>0.39143892610470116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4.4337866711430253E-14</v>
      </c>
      <c r="BF106" s="14">
        <f t="shared" si="91"/>
        <v>7.3222115536967035E-13</v>
      </c>
      <c r="BG106" s="22">
        <f t="shared" si="61"/>
        <v>1.3525069634579169E-12</v>
      </c>
      <c r="BH106" s="62">
        <f t="shared" si="62"/>
        <v>293.33333333333468</v>
      </c>
      <c r="BI106" s="62">
        <f ca="1">AVERAGE(OFFSET($BH$3,0,0,'Données projet'!$E$11+1,1))-AVERAGE(OFFSET($H$3,0,0,'Données projet'!$E$11+1,1))</f>
        <v>288.82868507674738</v>
      </c>
      <c r="BJ106" s="62">
        <f t="shared" si="92"/>
        <v>283.48738729114024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projet'!$B$12,Paramètres!$A$1:$I$89,3,0)*VLOOKUP('Données projet'!$B$12,Paramètres!$A$1:$I$89,5,0)</f>
        <v>-1.8089849618263545E-13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298.89893065707554</v>
      </c>
      <c r="CE106" s="62">
        <f t="shared" si="94"/>
        <v>294.28794439094878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-3.4106051316484809E-13</v>
      </c>
      <c r="CU106" s="18">
        <f>CT106*VLOOKUP('Données projet'!$B$13,Paramètres!$A$1:$I$89,3,0)*VLOOKUP('Données projet'!$B$13,Paramètres!$A$1:$I$89,5,0)</f>
        <v>-2.5006556825246659E-13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376.5422416541544</v>
      </c>
      <c r="CZ106" s="62">
        <f t="shared" si="96"/>
        <v>365.76175372075869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2.53179939503605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2.53179939503605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439.06700232017681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2.0572770154103635E-13</v>
      </c>
      <c r="AK107" s="14">
        <f t="shared" si="89"/>
        <v>2.8416956338469711E-12</v>
      </c>
      <c r="AL107" s="22">
        <f t="shared" si="58"/>
        <v>5.3075956424674458E-12</v>
      </c>
      <c r="AM107" s="62">
        <f t="shared" si="59"/>
        <v>293.3333333333386</v>
      </c>
      <c r="AN107" s="62">
        <f ca="1">AVERAGE(OFFSET($AM$3,0,0,'Données projet'!$E$10+1,1))-AVERAGE(OFFSET($H$3,0,0,'Données projet'!$E$10+1,1))</f>
        <v>436.23918637269577</v>
      </c>
      <c r="AO107" s="62">
        <f t="shared" si="90"/>
        <v>611.43967996341894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0.19405085873420458</v>
      </c>
      <c r="AV107" s="23">
        <f>EXP(-LN(2)/25)*AV106+(1-EXP(-LN(2)/25))/(LN(2)/25)*Calculateur!AQ107*Calculateur!AS107*VLOOKUP('Données projet'!$B$10,Paramètres!$A$1:$I$89,3,0)*0.475*44/12</f>
        <v>0.18821528590286088</v>
      </c>
      <c r="AW107" s="23">
        <f>EXP(-LN(2)/2)*AW106+(1-EXP(-LN(2)/2))/(LN(2)/2)*AQ107*AT107*VLOOKUP('Données projet'!$B$10,Paramètres!$A$1:$I$89,3,0)*0.475*44/12</f>
        <v>4.3480555660387383E-11</v>
      </c>
      <c r="AX107" s="23">
        <f t="shared" si="60"/>
        <v>0.38226614468054598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4.4337866711430253E-14</v>
      </c>
      <c r="BF107" s="14">
        <f t="shared" si="91"/>
        <v>7.3222115536967035E-13</v>
      </c>
      <c r="BG107" s="22">
        <f t="shared" si="61"/>
        <v>1.3525069634579169E-12</v>
      </c>
      <c r="BH107" s="62">
        <f t="shared" si="62"/>
        <v>293.33333333333468</v>
      </c>
      <c r="BI107" s="62">
        <f ca="1">AVERAGE(OFFSET($BH$3,0,0,'Données projet'!$E$11+1,1))-AVERAGE(OFFSET($H$3,0,0,'Données projet'!$E$11+1,1))</f>
        <v>288.82868507674738</v>
      </c>
      <c r="BJ107" s="62">
        <f t="shared" si="92"/>
        <v>283.48738729114024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projet'!$B$12,Paramètres!$A$1:$I$89,3,0)*VLOOKUP('Données projet'!$B$12,Paramètres!$A$1:$I$89,5,0)</f>
        <v>-1.8089849618263545E-13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298.89893065707554</v>
      </c>
      <c r="CE107" s="62">
        <f t="shared" si="94"/>
        <v>294.28794439094878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-3.4106051316484809E-13</v>
      </c>
      <c r="CU107" s="18">
        <f>CT107*VLOOKUP('Données projet'!$B$13,Paramètres!$A$1:$I$89,3,0)*VLOOKUP('Données projet'!$B$13,Paramètres!$A$1:$I$89,5,0)</f>
        <v>-2.5006556825246659E-13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376.5422416541544</v>
      </c>
      <c r="CZ107" s="62">
        <f t="shared" si="96"/>
        <v>365.76175372075869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2.4625672074372456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2.4625672074372456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439.06700232017681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2.0572770154103635E-13</v>
      </c>
      <c r="AK108" s="14">
        <f t="shared" si="89"/>
        <v>2.8416956338469711E-12</v>
      </c>
      <c r="AL108" s="22">
        <f t="shared" si="58"/>
        <v>5.3075956424674458E-12</v>
      </c>
      <c r="AM108" s="62">
        <f t="shared" si="59"/>
        <v>293.3333333333386</v>
      </c>
      <c r="AN108" s="62">
        <f ca="1">AVERAGE(OFFSET($AM$3,0,0,'Données projet'!$E$10+1,1))-AVERAGE(OFFSET($H$3,0,0,'Données projet'!$E$10+1,1))</f>
        <v>436.23918637269577</v>
      </c>
      <c r="AO108" s="62">
        <f t="shared" si="90"/>
        <v>611.43967996341894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0.19024563975376363</v>
      </c>
      <c r="AV108" s="23">
        <f>EXP(-LN(2)/25)*AV107+(1-EXP(-LN(2)/25))/(LN(2)/25)*Calculateur!AQ108*Calculateur!AS108*VLOOKUP('Données projet'!$B$10,Paramètres!$A$1:$I$89,3,0)*0.475*44/12</f>
        <v>0.18306852901203544</v>
      </c>
      <c r="AW108" s="23">
        <f>EXP(-LN(2)/2)*AW107+(1-EXP(-LN(2)/2))/(LN(2)/2)*AQ108*AT108*VLOOKUP('Données projet'!$B$10,Paramètres!$A$1:$I$89,3,0)*0.475*44/12</f>
        <v>3.0745395757219041E-11</v>
      </c>
      <c r="AX108" s="23">
        <f t="shared" si="60"/>
        <v>0.37331416879654444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4.4337866711430253E-14</v>
      </c>
      <c r="BF108" s="14">
        <f t="shared" si="91"/>
        <v>7.3222115536967035E-13</v>
      </c>
      <c r="BG108" s="22">
        <f t="shared" si="61"/>
        <v>1.3525069634579169E-12</v>
      </c>
      <c r="BH108" s="62">
        <f t="shared" si="62"/>
        <v>293.33333333333468</v>
      </c>
      <c r="BI108" s="62">
        <f ca="1">AVERAGE(OFFSET($BH$3,0,0,'Données projet'!$E$11+1,1))-AVERAGE(OFFSET($H$3,0,0,'Données projet'!$E$11+1,1))</f>
        <v>288.82868507674738</v>
      </c>
      <c r="BJ108" s="62">
        <f t="shared" si="92"/>
        <v>283.48738729114024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projet'!$B$12,Paramètres!$A$1:$I$89,3,0)*VLOOKUP('Données projet'!$B$12,Paramètres!$A$1:$I$89,5,0)</f>
        <v>-1.8089849618263545E-13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298.89893065707554</v>
      </c>
      <c r="CE108" s="62">
        <f t="shared" si="94"/>
        <v>294.28794439094878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-3.4106051316484809E-13</v>
      </c>
      <c r="CU108" s="18">
        <f>CT108*VLOOKUP('Données projet'!$B$13,Paramètres!$A$1:$I$89,3,0)*VLOOKUP('Données projet'!$B$13,Paramètres!$A$1:$I$89,5,0)</f>
        <v>-2.5006556825246659E-13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376.5422416541544</v>
      </c>
      <c r="CZ108" s="62">
        <f t="shared" si="96"/>
        <v>365.76175372075869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2.3952281776490931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2.3952281776490931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439.06700232017681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2.0572770154103635E-13</v>
      </c>
      <c r="AK109" s="14">
        <f t="shared" si="89"/>
        <v>2.8416956338469711E-12</v>
      </c>
      <c r="AL109" s="22">
        <f t="shared" si="58"/>
        <v>5.3075956424674458E-12</v>
      </c>
      <c r="AM109" s="62">
        <f t="shared" si="59"/>
        <v>293.3333333333386</v>
      </c>
      <c r="AN109" s="62">
        <f ca="1">AVERAGE(OFFSET($AM$3,0,0,'Données projet'!$E$10+1,1))-AVERAGE(OFFSET($H$3,0,0,'Données projet'!$E$10+1,1))</f>
        <v>436.23918637269577</v>
      </c>
      <c r="AO109" s="62">
        <f t="shared" si="90"/>
        <v>611.43967996341894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0.18651503879657474</v>
      </c>
      <c r="AV109" s="23">
        <f>EXP(-LN(2)/25)*AV108+(1-EXP(-LN(2)/25))/(LN(2)/25)*Calculateur!AQ109*Calculateur!AS109*VLOOKUP('Données projet'!$B$10,Paramètres!$A$1:$I$89,3,0)*0.475*44/12</f>
        <v>0.17806251045904581</v>
      </c>
      <c r="AW109" s="23">
        <f>EXP(-LN(2)/2)*AW108+(1-EXP(-LN(2)/2))/(LN(2)/2)*AQ109*AT109*VLOOKUP('Données projet'!$B$10,Paramètres!$A$1:$I$89,3,0)*0.475*44/12</f>
        <v>2.1740277830193691E-11</v>
      </c>
      <c r="AX109" s="23">
        <f t="shared" si="60"/>
        <v>0.36457754927736086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4.4337866711430253E-14</v>
      </c>
      <c r="BF109" s="14">
        <f t="shared" si="91"/>
        <v>7.3222115536967035E-13</v>
      </c>
      <c r="BG109" s="22">
        <f t="shared" si="61"/>
        <v>1.3525069634579169E-12</v>
      </c>
      <c r="BH109" s="62">
        <f t="shared" si="62"/>
        <v>293.33333333333468</v>
      </c>
      <c r="BI109" s="62">
        <f ca="1">AVERAGE(OFFSET($BH$3,0,0,'Données projet'!$E$11+1,1))-AVERAGE(OFFSET($H$3,0,0,'Données projet'!$E$11+1,1))</f>
        <v>288.82868507674738</v>
      </c>
      <c r="BJ109" s="62">
        <f t="shared" si="92"/>
        <v>283.48738729114024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projet'!$B$12,Paramètres!$A$1:$I$89,3,0)*VLOOKUP('Données projet'!$B$12,Paramètres!$A$1:$I$89,5,0)</f>
        <v>-1.8089849618263545E-13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298.89893065707554</v>
      </c>
      <c r="CE109" s="62">
        <f t="shared" si="94"/>
        <v>294.28794439094878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-3.4106051316484809E-13</v>
      </c>
      <c r="CU109" s="18">
        <f>CT109*VLOOKUP('Données projet'!$B$13,Paramètres!$A$1:$I$89,3,0)*VLOOKUP('Données projet'!$B$13,Paramètres!$A$1:$I$89,5,0)</f>
        <v>-2.5006556825246659E-13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376.5422416541544</v>
      </c>
      <c r="CZ109" s="62">
        <f t="shared" si="96"/>
        <v>365.76175372075869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2.3297305371717032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2.3297305371717032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439.06700232017681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2.0572770154103635E-13</v>
      </c>
      <c r="AK110" s="14">
        <f t="shared" si="89"/>
        <v>2.8416956338469711E-12</v>
      </c>
      <c r="AL110" s="22">
        <f t="shared" si="58"/>
        <v>5.3075956424674458E-12</v>
      </c>
      <c r="AM110" s="62">
        <f t="shared" si="59"/>
        <v>293.3333333333386</v>
      </c>
      <c r="AN110" s="62">
        <f ca="1">AVERAGE(OFFSET($AM$3,0,0,'Données projet'!$E$10+1,1))-AVERAGE(OFFSET($H$3,0,0,'Données projet'!$E$10+1,1))</f>
        <v>436.23918637269577</v>
      </c>
      <c r="AO110" s="62">
        <f t="shared" si="90"/>
        <v>611.43967996341894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0.18285759264871443</v>
      </c>
      <c r="AV110" s="23">
        <f>EXP(-LN(2)/25)*AV109+(1-EXP(-LN(2)/25))/(LN(2)/25)*Calculateur!AQ110*Calculateur!AS110*VLOOKUP('Données projet'!$B$10,Paramètres!$A$1:$I$89,3,0)*0.475*44/12</f>
        <v>0.17319338174664275</v>
      </c>
      <c r="AW110" s="23">
        <f>EXP(-LN(2)/2)*AW109+(1-EXP(-LN(2)/2))/(LN(2)/2)*AQ110*AT110*VLOOKUP('Données projet'!$B$10,Paramètres!$A$1:$I$89,3,0)*0.475*44/12</f>
        <v>1.5372697878609521E-11</v>
      </c>
      <c r="AX110" s="23">
        <f t="shared" si="60"/>
        <v>0.35605097441072986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4.4337866711430253E-14</v>
      </c>
      <c r="BF110" s="14">
        <f t="shared" si="91"/>
        <v>7.3222115536967035E-13</v>
      </c>
      <c r="BG110" s="22">
        <f t="shared" si="61"/>
        <v>1.3525069634579169E-12</v>
      </c>
      <c r="BH110" s="62">
        <f t="shared" si="62"/>
        <v>293.33333333333468</v>
      </c>
      <c r="BI110" s="62">
        <f ca="1">AVERAGE(OFFSET($BH$3,0,0,'Données projet'!$E$11+1,1))-AVERAGE(OFFSET($H$3,0,0,'Données projet'!$E$11+1,1))</f>
        <v>288.82868507674738</v>
      </c>
      <c r="BJ110" s="62">
        <f t="shared" si="92"/>
        <v>283.48738729114024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projet'!$B$12,Paramètres!$A$1:$I$89,3,0)*VLOOKUP('Données projet'!$B$12,Paramètres!$A$1:$I$89,5,0)</f>
        <v>-1.8089849618263545E-13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298.89893065707554</v>
      </c>
      <c r="CE110" s="62">
        <f t="shared" si="94"/>
        <v>294.28794439094878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-3.4106051316484809E-13</v>
      </c>
      <c r="CU110" s="18">
        <f>CT110*VLOOKUP('Données projet'!$B$13,Paramètres!$A$1:$I$89,3,0)*VLOOKUP('Données projet'!$B$13,Paramètres!$A$1:$I$89,5,0)</f>
        <v>-2.5006556825246659E-13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376.5422416541544</v>
      </c>
      <c r="CZ110" s="62">
        <f t="shared" si="96"/>
        <v>365.76175372075869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2.2660239331175389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2.2660239331175389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439.06700232017681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2.0572770154103635E-13</v>
      </c>
      <c r="AK111" s="14">
        <f t="shared" si="89"/>
        <v>2.8416956338469711E-12</v>
      </c>
      <c r="AL111" s="22">
        <f t="shared" si="58"/>
        <v>5.3075956424674458E-12</v>
      </c>
      <c r="AM111" s="62">
        <f t="shared" si="59"/>
        <v>293.3333333333386</v>
      </c>
      <c r="AN111" s="62">
        <f ca="1">AVERAGE(OFFSET($AM$3,0,0,'Données projet'!$E$10+1,1))-AVERAGE(OFFSET($H$3,0,0,'Données projet'!$E$10+1,1))</f>
        <v>436.23918637269577</v>
      </c>
      <c r="AO111" s="62">
        <f t="shared" si="90"/>
        <v>611.43967996341894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0.17927186678899176</v>
      </c>
      <c r="AV111" s="23">
        <f>EXP(-LN(2)/25)*AV110+(1-EXP(-LN(2)/25))/(LN(2)/25)*Calculateur!AQ111*Calculateur!AS111*VLOOKUP('Données projet'!$B$10,Paramètres!$A$1:$I$89,3,0)*0.475*44/12</f>
        <v>0.16845739961493669</v>
      </c>
      <c r="AW111" s="23">
        <f>EXP(-LN(2)/2)*AW110+(1-EXP(-LN(2)/2))/(LN(2)/2)*AQ111*AT111*VLOOKUP('Données projet'!$B$10,Paramètres!$A$1:$I$89,3,0)*0.475*44/12</f>
        <v>1.0870138915096846E-11</v>
      </c>
      <c r="AX111" s="23">
        <f t="shared" si="60"/>
        <v>0.34772926641479857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4.4337866711430253E-14</v>
      </c>
      <c r="BF111" s="14">
        <f t="shared" si="91"/>
        <v>7.3222115536967035E-13</v>
      </c>
      <c r="BG111" s="22">
        <f t="shared" si="61"/>
        <v>1.3525069634579169E-12</v>
      </c>
      <c r="BH111" s="62">
        <f t="shared" si="62"/>
        <v>293.33333333333468</v>
      </c>
      <c r="BI111" s="62">
        <f ca="1">AVERAGE(OFFSET($BH$3,0,0,'Données projet'!$E$11+1,1))-AVERAGE(OFFSET($H$3,0,0,'Données projet'!$E$11+1,1))</f>
        <v>288.82868507674738</v>
      </c>
      <c r="BJ111" s="62">
        <f t="shared" si="92"/>
        <v>283.48738729114024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projet'!$B$12,Paramètres!$A$1:$I$89,3,0)*VLOOKUP('Données projet'!$B$12,Paramètres!$A$1:$I$89,5,0)</f>
        <v>-1.8089849618263545E-13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298.89893065707554</v>
      </c>
      <c r="CE111" s="62">
        <f t="shared" si="94"/>
        <v>294.28794439094878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-3.4106051316484809E-13</v>
      </c>
      <c r="CU111" s="18">
        <f>CT111*VLOOKUP('Données projet'!$B$13,Paramètres!$A$1:$I$89,3,0)*VLOOKUP('Données projet'!$B$13,Paramètres!$A$1:$I$89,5,0)</f>
        <v>-2.5006556825246659E-13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376.5422416541544</v>
      </c>
      <c r="CZ111" s="62">
        <f t="shared" si="96"/>
        <v>365.76175372075869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2.2040593895014204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2.2040593895014204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439.06700232017681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2.0572770154103635E-13</v>
      </c>
      <c r="AK112" s="14">
        <f t="shared" si="89"/>
        <v>2.8416956338469711E-12</v>
      </c>
      <c r="AL112" s="22">
        <f t="shared" si="58"/>
        <v>5.3075956424674458E-12</v>
      </c>
      <c r="AM112" s="62">
        <f t="shared" si="59"/>
        <v>293.3333333333386</v>
      </c>
      <c r="AN112" s="62">
        <f ca="1">AVERAGE(OFFSET($AM$3,0,0,'Données projet'!$E$10+1,1))-AVERAGE(OFFSET($H$3,0,0,'Données projet'!$E$10+1,1))</f>
        <v>436.23918637269577</v>
      </c>
      <c r="AO112" s="62">
        <f t="shared" si="90"/>
        <v>611.43967996341894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0.17575645482630145</v>
      </c>
      <c r="AV112" s="23">
        <f>EXP(-LN(2)/25)*AV111+(1-EXP(-LN(2)/25))/(LN(2)/25)*Calculateur!AQ112*Calculateur!AS112*VLOOKUP('Données projet'!$B$10,Paramètres!$A$1:$I$89,3,0)*0.475*44/12</f>
        <v>0.16385092316367661</v>
      </c>
      <c r="AW112" s="23">
        <f>EXP(-LN(2)/2)*AW111+(1-EXP(-LN(2)/2))/(LN(2)/2)*AQ112*AT112*VLOOKUP('Données projet'!$B$10,Paramètres!$A$1:$I$89,3,0)*0.475*44/12</f>
        <v>7.6863489393047603E-12</v>
      </c>
      <c r="AX112" s="23">
        <f t="shared" si="60"/>
        <v>0.33960737799766444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4.4337866711430253E-14</v>
      </c>
      <c r="BF112" s="14">
        <f t="shared" si="91"/>
        <v>7.3222115536967035E-13</v>
      </c>
      <c r="BG112" s="22">
        <f t="shared" si="61"/>
        <v>1.3525069634579169E-12</v>
      </c>
      <c r="BH112" s="62">
        <f t="shared" si="62"/>
        <v>293.33333333333468</v>
      </c>
      <c r="BI112" s="62">
        <f ca="1">AVERAGE(OFFSET($BH$3,0,0,'Données projet'!$E$11+1,1))-AVERAGE(OFFSET($H$3,0,0,'Données projet'!$E$11+1,1))</f>
        <v>288.82868507674738</v>
      </c>
      <c r="BJ112" s="62">
        <f t="shared" si="92"/>
        <v>283.48738729114024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projet'!$B$12,Paramètres!$A$1:$I$89,3,0)*VLOOKUP('Données projet'!$B$12,Paramètres!$A$1:$I$89,5,0)</f>
        <v>-1.8089849618263545E-13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298.89893065707554</v>
      </c>
      <c r="CE112" s="62">
        <f t="shared" si="94"/>
        <v>294.28794439094878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-3.4106051316484809E-13</v>
      </c>
      <c r="CU112" s="18">
        <f>CT112*VLOOKUP('Données projet'!$B$13,Paramètres!$A$1:$I$89,3,0)*VLOOKUP('Données projet'!$B$13,Paramètres!$A$1:$I$89,5,0)</f>
        <v>-2.5006556825246659E-13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376.5422416541544</v>
      </c>
      <c r="CZ112" s="62">
        <f t="shared" si="96"/>
        <v>365.76175372075869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2.1437892695890581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2.1437892695890581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439.06700232017681</v>
      </c>
      <c r="T113" s="62">
        <f t="shared" si="88"/>
        <v>278.21741231699929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2.0572770154103635E-13</v>
      </c>
      <c r="AK113" s="14">
        <f t="shared" si="89"/>
        <v>2.8416956338469711E-12</v>
      </c>
      <c r="AL113" s="22">
        <f t="shared" si="58"/>
        <v>5.3075956424674458E-12</v>
      </c>
      <c r="AM113" s="62">
        <f t="shared" si="59"/>
        <v>293.3333333333386</v>
      </c>
      <c r="AN113" s="62">
        <f ca="1">AVERAGE(OFFSET($AM$3,0,0,'Données projet'!$E$10+1,1))-AVERAGE(OFFSET($H$3,0,0,'Données projet'!$E$10+1,1))</f>
        <v>436.23918637269577</v>
      </c>
      <c r="AO113" s="62">
        <f t="shared" si="90"/>
        <v>611.43967996341894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0.17230997794800992</v>
      </c>
      <c r="AV113" s="23">
        <f>EXP(-LN(2)/25)*AV112+(1-EXP(-LN(2)/25))/(LN(2)/25)*Calculateur!AQ113*Calculateur!AS113*VLOOKUP('Données projet'!$B$10,Paramètres!$A$1:$I$89,3,0)*0.475*44/12</f>
        <v>0.15937041105322031</v>
      </c>
      <c r="AW113" s="23">
        <f>EXP(-LN(2)/2)*AW112+(1-EXP(-LN(2)/2))/(LN(2)/2)*AQ113*AT113*VLOOKUP('Données projet'!$B$10,Paramètres!$A$1:$I$89,3,0)*0.475*44/12</f>
        <v>5.4350694575484228E-12</v>
      </c>
      <c r="AX113" s="23">
        <f t="shared" si="60"/>
        <v>0.3316803890066653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4.4337866711430253E-14</v>
      </c>
      <c r="BF113" s="14">
        <f t="shared" si="91"/>
        <v>7.3222115536967035E-13</v>
      </c>
      <c r="BG113" s="22">
        <f t="shared" si="61"/>
        <v>1.3525069634579169E-12</v>
      </c>
      <c r="BH113" s="62">
        <f t="shared" si="62"/>
        <v>293.33333333333468</v>
      </c>
      <c r="BI113" s="62">
        <f ca="1">AVERAGE(OFFSET($BH$3,0,0,'Données projet'!$E$11+1,1))-AVERAGE(OFFSET($H$3,0,0,'Données projet'!$E$11+1,1))</f>
        <v>288.82868507674738</v>
      </c>
      <c r="BJ113" s="62">
        <f t="shared" si="92"/>
        <v>283.48738729114024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projet'!$B$12,Paramètres!$A$1:$I$89,3,0)*VLOOKUP('Données projet'!$B$12,Paramètres!$A$1:$I$89,5,0)</f>
        <v>-1.8089849618263545E-13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298.89893065707554</v>
      </c>
      <c r="CE113" s="62">
        <f t="shared" si="94"/>
        <v>294.28794439094878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-3.4106051316484809E-13</v>
      </c>
      <c r="CU113" s="18">
        <f>CT113*VLOOKUP('Données projet'!$B$13,Paramètres!$A$1:$I$89,3,0)*VLOOKUP('Données projet'!$B$13,Paramètres!$A$1:$I$89,5,0)</f>
        <v>-2.5006556825246659E-13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376.5422416541544</v>
      </c>
      <c r="CZ113" s="62">
        <f t="shared" si="96"/>
        <v>365.76175372075869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2.0851672392751675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2.0851672392751675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901.71768512602011</v>
      </c>
      <c r="S114" s="62">
        <f ca="1">AVERAGE(OFFSET($R$3,0,0,'Données projet'!$E$9+1,1))-AVERAGE(OFFSET($H$3,0,0,'Données projet'!$E$9+1,1))</f>
        <v>439.06700232017681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2.0572770154103635E-13</v>
      </c>
      <c r="AK114" s="14">
        <f t="shared" si="89"/>
        <v>2.8416956338469711E-12</v>
      </c>
      <c r="AL114" s="22">
        <f t="shared" si="58"/>
        <v>5.3075956424674458E-12</v>
      </c>
      <c r="AM114" s="62">
        <f t="shared" si="59"/>
        <v>293.3333333333386</v>
      </c>
      <c r="AN114" s="62">
        <f ca="1">AVERAGE(OFFSET($AM$3,0,0,'Données projet'!$E$10+1,1))-AVERAGE(OFFSET($H$3,0,0,'Données projet'!$E$10+1,1))</f>
        <v>436.23918637269577</v>
      </c>
      <c r="AO114" s="62">
        <f t="shared" si="90"/>
        <v>611.43967996341894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0.16893108437915835</v>
      </c>
      <c r="AV114" s="23">
        <f>EXP(-LN(2)/25)*AV113+(1-EXP(-LN(2)/25))/(LN(2)/25)*Calculateur!AQ114*Calculateur!AS114*VLOOKUP('Données projet'!$B$10,Paramètres!$A$1:$I$89,3,0)*0.475*44/12</f>
        <v>0.15501241878204433</v>
      </c>
      <c r="AW114" s="23">
        <f>EXP(-LN(2)/2)*AW113+(1-EXP(-LN(2)/2))/(LN(2)/2)*AQ114*AT114*VLOOKUP('Données projet'!$B$10,Paramètres!$A$1:$I$89,3,0)*0.475*44/12</f>
        <v>3.8431744696523802E-12</v>
      </c>
      <c r="AX114" s="23">
        <f t="shared" si="60"/>
        <v>0.32394350316504583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4.4337866711430253E-14</v>
      </c>
      <c r="BF114" s="14">
        <f t="shared" si="91"/>
        <v>7.3222115536967035E-13</v>
      </c>
      <c r="BG114" s="22">
        <f t="shared" si="61"/>
        <v>1.3525069634579169E-12</v>
      </c>
      <c r="BH114" s="62">
        <f t="shared" si="62"/>
        <v>293.33333333333468</v>
      </c>
      <c r="BI114" s="62">
        <f ca="1">AVERAGE(OFFSET($BH$3,0,0,'Données projet'!$E$11+1,1))-AVERAGE(OFFSET($H$3,0,0,'Données projet'!$E$11+1,1))</f>
        <v>288.82868507674738</v>
      </c>
      <c r="BJ114" s="62">
        <f t="shared" si="92"/>
        <v>283.48738729114024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projet'!$B$12,Paramètres!$A$1:$I$89,3,0)*VLOOKUP('Données projet'!$B$12,Paramètres!$A$1:$I$89,5,0)</f>
        <v>-1.8089849618263545E-13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298.89893065707554</v>
      </c>
      <c r="CE114" s="62">
        <f t="shared" si="94"/>
        <v>294.28794439094878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-3.4106051316484809E-13</v>
      </c>
      <c r="CU114" s="18">
        <f>CT114*VLOOKUP('Données projet'!$B$13,Paramètres!$A$1:$I$89,3,0)*VLOOKUP('Données projet'!$B$13,Paramètres!$A$1:$I$89,5,0)</f>
        <v>-2.5006556825246659E-13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376.5422416541544</v>
      </c>
      <c r="CZ114" s="62">
        <f t="shared" si="96"/>
        <v>365.76175372075869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2.0281482314630086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2.0281482314630086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910.49601796841853</v>
      </c>
      <c r="S115" s="62">
        <f ca="1">AVERAGE(OFFSET($R$3,0,0,'Données projet'!$E$9+1,1))-AVERAGE(OFFSET($H$3,0,0,'Données projet'!$E$9+1,1))</f>
        <v>439.06700232017681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2.0572770154103635E-13</v>
      </c>
      <c r="AK115" s="14">
        <f t="shared" si="89"/>
        <v>2.8416956338469711E-12</v>
      </c>
      <c r="AL115" s="22">
        <f t="shared" si="58"/>
        <v>5.3075956424674458E-12</v>
      </c>
      <c r="AM115" s="62">
        <f t="shared" si="59"/>
        <v>293.3333333333386</v>
      </c>
      <c r="AN115" s="62">
        <f ca="1">AVERAGE(OFFSET($AM$3,0,0,'Données projet'!$E$10+1,1))-AVERAGE(OFFSET($H$3,0,0,'Données projet'!$E$10+1,1))</f>
        <v>436.23918637269577</v>
      </c>
      <c r="AO115" s="62">
        <f t="shared" si="90"/>
        <v>611.43967996341894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0.16561844885227039</v>
      </c>
      <c r="AV115" s="23">
        <f>EXP(-LN(2)/25)*AV114+(1-EXP(-LN(2)/25))/(LN(2)/25)*Calculateur!AQ115*Calculateur!AS115*VLOOKUP('Données projet'!$B$10,Paramètres!$A$1:$I$89,3,0)*0.475*44/12</f>
        <v>0.1507735960387005</v>
      </c>
      <c r="AW115" s="23">
        <f>EXP(-LN(2)/2)*AW114+(1-EXP(-LN(2)/2))/(LN(2)/2)*AQ115*AT115*VLOOKUP('Données projet'!$B$10,Paramètres!$A$1:$I$89,3,0)*0.475*44/12</f>
        <v>2.7175347287742114E-12</v>
      </c>
      <c r="AX115" s="23">
        <f t="shared" si="60"/>
        <v>0.31639204489368844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4.4337866711430253E-14</v>
      </c>
      <c r="BF115" s="14">
        <f t="shared" si="91"/>
        <v>7.3222115536967035E-13</v>
      </c>
      <c r="BG115" s="22">
        <f t="shared" si="61"/>
        <v>1.3525069634579169E-12</v>
      </c>
      <c r="BH115" s="62">
        <f t="shared" si="62"/>
        <v>293.33333333333468</v>
      </c>
      <c r="BI115" s="62">
        <f ca="1">AVERAGE(OFFSET($BH$3,0,0,'Données projet'!$E$11+1,1))-AVERAGE(OFFSET($H$3,0,0,'Données projet'!$E$11+1,1))</f>
        <v>288.82868507674738</v>
      </c>
      <c r="BJ115" s="62">
        <f t="shared" si="92"/>
        <v>283.48738729114024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projet'!$B$12,Paramètres!$A$1:$I$89,3,0)*VLOOKUP('Données projet'!$B$12,Paramètres!$A$1:$I$89,5,0)</f>
        <v>-1.8089849618263545E-13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298.89893065707554</v>
      </c>
      <c r="CE115" s="62">
        <f t="shared" si="94"/>
        <v>294.28794439094878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-3.4106051316484809E-13</v>
      </c>
      <c r="CU115" s="18">
        <f>CT115*VLOOKUP('Données projet'!$B$13,Paramètres!$A$1:$I$89,3,0)*VLOOKUP('Données projet'!$B$13,Paramètres!$A$1:$I$89,5,0)</f>
        <v>-2.5006556825246659E-13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376.5422416541544</v>
      </c>
      <c r="CZ115" s="62">
        <f t="shared" si="96"/>
        <v>365.76175372075869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1.9726884114179726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1.9726884114179726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919.27176312230472</v>
      </c>
      <c r="S116" s="62">
        <f ca="1">AVERAGE(OFFSET($R$3,0,0,'Données projet'!$E$9+1,1))-AVERAGE(OFFSET($H$3,0,0,'Données projet'!$E$9+1,1))</f>
        <v>439.06700232017681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2.0572770154103635E-13</v>
      </c>
      <c r="AK116" s="14">
        <f t="shared" si="89"/>
        <v>2.8416956338469711E-12</v>
      </c>
      <c r="AL116" s="22">
        <f t="shared" si="58"/>
        <v>5.3075956424674458E-12</v>
      </c>
      <c r="AM116" s="62">
        <f t="shared" si="59"/>
        <v>293.3333333333386</v>
      </c>
      <c r="AN116" s="62">
        <f ca="1">AVERAGE(OFFSET($AM$3,0,0,'Données projet'!$E$10+1,1))-AVERAGE(OFFSET($H$3,0,0,'Données projet'!$E$10+1,1))</f>
        <v>436.23918637269577</v>
      </c>
      <c r="AO116" s="62">
        <f t="shared" si="90"/>
        <v>611.43967996341894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0.16237077208755654</v>
      </c>
      <c r="AV116" s="23">
        <f>EXP(-LN(2)/25)*AV115+(1-EXP(-LN(2)/25))/(LN(2)/25)*Calculateur!AQ116*Calculateur!AS116*VLOOKUP('Données projet'!$B$10,Paramètres!$A$1:$I$89,3,0)*0.475*44/12</f>
        <v>0.1466506841261834</v>
      </c>
      <c r="AW116" s="23">
        <f>EXP(-LN(2)/2)*AW115+(1-EXP(-LN(2)/2))/(LN(2)/2)*AQ116*AT116*VLOOKUP('Données projet'!$B$10,Paramètres!$A$1:$I$89,3,0)*0.475*44/12</f>
        <v>1.9215872348261901E-12</v>
      </c>
      <c r="AX116" s="23">
        <f t="shared" si="60"/>
        <v>0.30902145621566152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4.4337866711430253E-14</v>
      </c>
      <c r="BF116" s="14">
        <f t="shared" si="91"/>
        <v>7.3222115536967035E-13</v>
      </c>
      <c r="BG116" s="22">
        <f t="shared" si="61"/>
        <v>1.3525069634579169E-12</v>
      </c>
      <c r="BH116" s="62">
        <f t="shared" si="62"/>
        <v>293.33333333333468</v>
      </c>
      <c r="BI116" s="62">
        <f ca="1">AVERAGE(OFFSET($BH$3,0,0,'Données projet'!$E$11+1,1))-AVERAGE(OFFSET($H$3,0,0,'Données projet'!$E$11+1,1))</f>
        <v>288.82868507674738</v>
      </c>
      <c r="BJ116" s="62">
        <f t="shared" si="92"/>
        <v>283.48738729114024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projet'!$B$12,Paramètres!$A$1:$I$89,3,0)*VLOOKUP('Données projet'!$B$12,Paramètres!$A$1:$I$89,5,0)</f>
        <v>-1.8089849618263545E-13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298.89893065707554</v>
      </c>
      <c r="CE116" s="62">
        <f t="shared" si="94"/>
        <v>294.28794439094878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-3.4106051316484809E-13</v>
      </c>
      <c r="CU116" s="18">
        <f>CT116*VLOOKUP('Données projet'!$B$13,Paramètres!$A$1:$I$89,3,0)*VLOOKUP('Données projet'!$B$13,Paramètres!$A$1:$I$89,5,0)</f>
        <v>-2.5006556825246659E-13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376.5422416541544</v>
      </c>
      <c r="CZ116" s="62">
        <f t="shared" si="96"/>
        <v>365.76175372075869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1.9187451430685731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1.9187451430685731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928.04496198029483</v>
      </c>
      <c r="S117" s="62">
        <f ca="1">AVERAGE(OFFSET($R$3,0,0,'Données projet'!$E$9+1,1))-AVERAGE(OFFSET($H$3,0,0,'Données projet'!$E$9+1,1))</f>
        <v>439.06700232017681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2.0572770154103635E-13</v>
      </c>
      <c r="AK117" s="14">
        <f t="shared" si="89"/>
        <v>2.8416956338469711E-12</v>
      </c>
      <c r="AL117" s="22">
        <f t="shared" si="58"/>
        <v>5.3075956424674458E-12</v>
      </c>
      <c r="AM117" s="62">
        <f t="shared" si="59"/>
        <v>293.3333333333386</v>
      </c>
      <c r="AN117" s="62">
        <f ca="1">AVERAGE(OFFSET($AM$3,0,0,'Données projet'!$E$10+1,1))-AVERAGE(OFFSET($H$3,0,0,'Données projet'!$E$10+1,1))</f>
        <v>436.23918637269577</v>
      </c>
      <c r="AO117" s="62">
        <f t="shared" si="90"/>
        <v>611.43967996341894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0.15918678028331151</v>
      </c>
      <c r="AV117" s="23">
        <f>EXP(-LN(2)/25)*AV116+(1-EXP(-LN(2)/25))/(LN(2)/25)*Calculateur!AQ117*Calculateur!AS117*VLOOKUP('Données projet'!$B$10,Paramètres!$A$1:$I$89,3,0)*0.475*44/12</f>
        <v>0.14264051345672862</v>
      </c>
      <c r="AW117" s="23">
        <f>EXP(-LN(2)/2)*AW116+(1-EXP(-LN(2)/2))/(LN(2)/2)*AQ117*AT117*VLOOKUP('Données projet'!$B$10,Paramètres!$A$1:$I$89,3,0)*0.475*44/12</f>
        <v>1.3587673643871057E-12</v>
      </c>
      <c r="AX117" s="23">
        <f t="shared" si="60"/>
        <v>0.30182729374139888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4.4337866711430253E-14</v>
      </c>
      <c r="BF117" s="14">
        <f t="shared" si="91"/>
        <v>7.3222115536967035E-13</v>
      </c>
      <c r="BG117" s="22">
        <f t="shared" si="61"/>
        <v>1.3525069634579169E-12</v>
      </c>
      <c r="BH117" s="62">
        <f t="shared" si="62"/>
        <v>293.33333333333468</v>
      </c>
      <c r="BI117" s="62">
        <f ca="1">AVERAGE(OFFSET($BH$3,0,0,'Données projet'!$E$11+1,1))-AVERAGE(OFFSET($H$3,0,0,'Données projet'!$E$11+1,1))</f>
        <v>288.82868507674738</v>
      </c>
      <c r="BJ117" s="62">
        <f t="shared" si="92"/>
        <v>283.48738729114024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projet'!$B$12,Paramètres!$A$1:$I$89,3,0)*VLOOKUP('Données projet'!$B$12,Paramètres!$A$1:$I$89,5,0)</f>
        <v>-1.8089849618263545E-13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298.89893065707554</v>
      </c>
      <c r="CE117" s="62">
        <f t="shared" si="94"/>
        <v>294.28794439094878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-3.4106051316484809E-13</v>
      </c>
      <c r="CU117" s="18">
        <f>CT117*VLOOKUP('Données projet'!$B$13,Paramètres!$A$1:$I$89,3,0)*VLOOKUP('Données projet'!$B$13,Paramètres!$A$1:$I$89,5,0)</f>
        <v>-2.5006556825246659E-13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376.5422416541544</v>
      </c>
      <c r="CZ117" s="62">
        <f t="shared" si="96"/>
        <v>365.76175372075869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1.8662769562289412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1.8662769562289412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936.81565469749989</v>
      </c>
      <c r="S118" s="62">
        <f ca="1">AVERAGE(OFFSET($R$3,0,0,'Données projet'!$E$9+1,1))-AVERAGE(OFFSET($H$3,0,0,'Données projet'!$E$9+1,1))</f>
        <v>439.06700232017681</v>
      </c>
      <c r="T118" s="62">
        <f t="shared" si="88"/>
        <v>278.21741231699929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2.0572770154103635E-13</v>
      </c>
      <c r="AK118" s="14">
        <f t="shared" si="89"/>
        <v>2.8416956338469711E-12</v>
      </c>
      <c r="AL118" s="22">
        <f t="shared" si="58"/>
        <v>5.3075956424674458E-12</v>
      </c>
      <c r="AM118" s="62">
        <f t="shared" si="59"/>
        <v>293.3333333333386</v>
      </c>
      <c r="AN118" s="62">
        <f ca="1">AVERAGE(OFFSET($AM$3,0,0,'Données projet'!$E$10+1,1))-AVERAGE(OFFSET($H$3,0,0,'Données projet'!$E$10+1,1))</f>
        <v>436.23918637269577</v>
      </c>
      <c r="AO118" s="62">
        <f t="shared" si="90"/>
        <v>611.43967996341894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0.15606522461630448</v>
      </c>
      <c r="AV118" s="23">
        <f>EXP(-LN(2)/25)*AV117+(1-EXP(-LN(2)/25))/(LN(2)/25)*Calculateur!AQ118*Calculateur!AS118*VLOOKUP('Données projet'!$B$10,Paramètres!$A$1:$I$89,3,0)*0.475*44/12</f>
        <v>0.13874000111511578</v>
      </c>
      <c r="AW118" s="23">
        <f>EXP(-LN(2)/2)*AW117+(1-EXP(-LN(2)/2))/(LN(2)/2)*AQ118*AT118*VLOOKUP('Données projet'!$B$10,Paramètres!$A$1:$I$89,3,0)*0.475*44/12</f>
        <v>9.6079361741309504E-13</v>
      </c>
      <c r="AX118" s="23">
        <f t="shared" si="60"/>
        <v>0.29480522573238105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4.4337866711430253E-14</v>
      </c>
      <c r="BF118" s="14">
        <f t="shared" si="91"/>
        <v>7.3222115536967035E-13</v>
      </c>
      <c r="BG118" s="22">
        <f t="shared" si="61"/>
        <v>1.3525069634579169E-12</v>
      </c>
      <c r="BH118" s="62">
        <f t="shared" si="62"/>
        <v>293.33333333333468</v>
      </c>
      <c r="BI118" s="62">
        <f ca="1">AVERAGE(OFFSET($BH$3,0,0,'Données projet'!$E$11+1,1))-AVERAGE(OFFSET($H$3,0,0,'Données projet'!$E$11+1,1))</f>
        <v>288.82868507674738</v>
      </c>
      <c r="BJ118" s="62">
        <f t="shared" si="92"/>
        <v>283.48738729114024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projet'!$B$12,Paramètres!$A$1:$I$89,3,0)*VLOOKUP('Données projet'!$B$12,Paramètres!$A$1:$I$89,5,0)</f>
        <v>-1.8089849618263545E-13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298.89893065707554</v>
      </c>
      <c r="CE118" s="62">
        <f t="shared" si="94"/>
        <v>294.28794439094878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-3.4106051316484809E-13</v>
      </c>
      <c r="CU118" s="18">
        <f>CT118*VLOOKUP('Données projet'!$B$13,Paramètres!$A$1:$I$89,3,0)*VLOOKUP('Données projet'!$B$13,Paramètres!$A$1:$I$89,5,0)</f>
        <v>-2.5006556825246659E-13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376.5422416541544</v>
      </c>
      <c r="CZ118" s="62">
        <f t="shared" si="96"/>
        <v>365.76175372075869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1.8152435147176211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1.8152435147176211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439.06700232017681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2.0572770154103635E-13</v>
      </c>
      <c r="AK119" s="14">
        <f t="shared" si="89"/>
        <v>2.8416956338469711E-12</v>
      </c>
      <c r="AL119" s="22">
        <f t="shared" si="58"/>
        <v>5.3075956424674458E-12</v>
      </c>
      <c r="AM119" s="62">
        <f t="shared" si="59"/>
        <v>293.3333333333386</v>
      </c>
      <c r="AN119" s="62">
        <f ca="1">AVERAGE(OFFSET($AM$3,0,0,'Données projet'!$E$10+1,1))-AVERAGE(OFFSET($H$3,0,0,'Données projet'!$E$10+1,1))</f>
        <v>436.23918637269577</v>
      </c>
      <c r="AO119" s="62">
        <f t="shared" si="90"/>
        <v>611.43967996341894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0.1530048807519665</v>
      </c>
      <c r="AV119" s="23">
        <f>EXP(-LN(2)/25)*AV118+(1-EXP(-LN(2)/25))/(LN(2)/25)*Calculateur!AQ119*Calculateur!AS119*VLOOKUP('Données projet'!$B$10,Paramètres!$A$1:$I$89,3,0)*0.475*44/12</f>
        <v>0.13494614848860337</v>
      </c>
      <c r="AW119" s="23">
        <f>EXP(-LN(2)/2)*AW118+(1-EXP(-LN(2)/2))/(LN(2)/2)*AQ119*AT119*VLOOKUP('Données projet'!$B$10,Paramètres!$A$1:$I$89,3,0)*0.475*44/12</f>
        <v>6.7938368219355285E-13</v>
      </c>
      <c r="AX119" s="23">
        <f t="shared" si="60"/>
        <v>0.28795102924124927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4.4337866711430253E-14</v>
      </c>
      <c r="BF119" s="14">
        <f t="shared" si="91"/>
        <v>7.3222115536967035E-13</v>
      </c>
      <c r="BG119" s="22">
        <f t="shared" si="61"/>
        <v>1.3525069634579169E-12</v>
      </c>
      <c r="BH119" s="62">
        <f t="shared" si="62"/>
        <v>293.33333333333468</v>
      </c>
      <c r="BI119" s="62">
        <f ca="1">AVERAGE(OFFSET($BH$3,0,0,'Données projet'!$E$11+1,1))-AVERAGE(OFFSET($H$3,0,0,'Données projet'!$E$11+1,1))</f>
        <v>288.82868507674738</v>
      </c>
      <c r="BJ119" s="62">
        <f t="shared" si="92"/>
        <v>283.48738729114024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projet'!$B$12,Paramètres!$A$1:$I$89,3,0)*VLOOKUP('Données projet'!$B$12,Paramètres!$A$1:$I$89,5,0)</f>
        <v>-1.8089849618263545E-13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298.89893065707554</v>
      </c>
      <c r="CE119" s="62">
        <f t="shared" si="94"/>
        <v>294.28794439094878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-3.4106051316484809E-13</v>
      </c>
      <c r="CU119" s="18">
        <f>CT119*VLOOKUP('Données projet'!$B$13,Paramètres!$A$1:$I$89,3,0)*VLOOKUP('Données projet'!$B$13,Paramètres!$A$1:$I$89,5,0)</f>
        <v>-2.5006556825246659E-13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376.5422416541544</v>
      </c>
      <c r="CZ119" s="62">
        <f t="shared" si="96"/>
        <v>365.76175372075869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1.76560558534816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1.76560558534816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439.06700232017681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2.0572770154103635E-13</v>
      </c>
      <c r="AK120" s="14">
        <f t="shared" si="89"/>
        <v>2.8416956338469711E-12</v>
      </c>
      <c r="AL120" s="22">
        <f t="shared" si="58"/>
        <v>5.3075956424674458E-12</v>
      </c>
      <c r="AM120" s="62">
        <f t="shared" si="59"/>
        <v>293.3333333333386</v>
      </c>
      <c r="AN120" s="62">
        <f ca="1">AVERAGE(OFFSET($AM$3,0,0,'Données projet'!$E$10+1,1))-AVERAGE(OFFSET($H$3,0,0,'Données projet'!$E$10+1,1))</f>
        <v>436.23918637269577</v>
      </c>
      <c r="AO120" s="62">
        <f t="shared" si="90"/>
        <v>611.43967996341894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0.15000454836418273</v>
      </c>
      <c r="AV120" s="23">
        <f>EXP(-LN(2)/25)*AV119+(1-EXP(-LN(2)/25))/(LN(2)/25)*Calculateur!AQ120*Calculateur!AS120*VLOOKUP('Données projet'!$B$10,Paramètres!$A$1:$I$89,3,0)*0.475*44/12</f>
        <v>0.13125603896167298</v>
      </c>
      <c r="AW120" s="23">
        <f>EXP(-LN(2)/2)*AW119+(1-EXP(-LN(2)/2))/(LN(2)/2)*AQ120*AT120*VLOOKUP('Données projet'!$B$10,Paramètres!$A$1:$I$89,3,0)*0.475*44/12</f>
        <v>4.8039680870654752E-13</v>
      </c>
      <c r="AX120" s="23">
        <f t="shared" si="60"/>
        <v>0.28126058732633608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4.4337866711430253E-14</v>
      </c>
      <c r="BF120" s="14">
        <f t="shared" si="91"/>
        <v>7.3222115536967035E-13</v>
      </c>
      <c r="BG120" s="22">
        <f t="shared" si="61"/>
        <v>1.3525069634579169E-12</v>
      </c>
      <c r="BH120" s="62">
        <f t="shared" si="62"/>
        <v>293.33333333333468</v>
      </c>
      <c r="BI120" s="62">
        <f ca="1">AVERAGE(OFFSET($BH$3,0,0,'Données projet'!$E$11+1,1))-AVERAGE(OFFSET($H$3,0,0,'Données projet'!$E$11+1,1))</f>
        <v>288.82868507674738</v>
      </c>
      <c r="BJ120" s="62">
        <f t="shared" si="92"/>
        <v>283.48738729114024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projet'!$B$12,Paramètres!$A$1:$I$89,3,0)*VLOOKUP('Données projet'!$B$12,Paramètres!$A$1:$I$89,5,0)</f>
        <v>-1.8089849618263545E-13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298.89893065707554</v>
      </c>
      <c r="CE120" s="62">
        <f t="shared" si="94"/>
        <v>294.28794439094878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-3.4106051316484809E-13</v>
      </c>
      <c r="CU120" s="18">
        <f>CT120*VLOOKUP('Données projet'!$B$13,Paramètres!$A$1:$I$89,3,0)*VLOOKUP('Données projet'!$B$13,Paramètres!$A$1:$I$89,5,0)</f>
        <v>-2.5006556825246659E-13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376.5422416541544</v>
      </c>
      <c r="CZ120" s="62">
        <f t="shared" si="96"/>
        <v>365.76175372075869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1.7173250077676523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1.7173250077676523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439.06700232017681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2.0572770154103635E-13</v>
      </c>
      <c r="AK121" s="14">
        <f t="shared" si="89"/>
        <v>2.8416956338469711E-12</v>
      </c>
      <c r="AL121" s="22">
        <f t="shared" si="58"/>
        <v>5.3075956424674458E-12</v>
      </c>
      <c r="AM121" s="62">
        <f t="shared" si="59"/>
        <v>293.3333333333386</v>
      </c>
      <c r="AN121" s="62">
        <f ca="1">AVERAGE(OFFSET($AM$3,0,0,'Données projet'!$E$10+1,1))-AVERAGE(OFFSET($H$3,0,0,'Données projet'!$E$10+1,1))</f>
        <v>436.23918637269577</v>
      </c>
      <c r="AO121" s="62">
        <f t="shared" si="90"/>
        <v>611.43967996341894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0.14706305066450134</v>
      </c>
      <c r="AV121" s="23">
        <f>EXP(-LN(2)/25)*AV120+(1-EXP(-LN(2)/25))/(LN(2)/25)*Calculateur!AQ121*Calculateur!AS121*VLOOKUP('Données projet'!$B$10,Paramètres!$A$1:$I$89,3,0)*0.475*44/12</f>
        <v>0.12766683567381093</v>
      </c>
      <c r="AW121" s="23">
        <f>EXP(-LN(2)/2)*AW120+(1-EXP(-LN(2)/2))/(LN(2)/2)*AQ121*AT121*VLOOKUP('Données projet'!$B$10,Paramètres!$A$1:$I$89,3,0)*0.475*44/12</f>
        <v>3.3969184109677643E-13</v>
      </c>
      <c r="AX121" s="23">
        <f t="shared" si="60"/>
        <v>0.27472988633865197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4.4337866711430253E-14</v>
      </c>
      <c r="BF121" s="14">
        <f t="shared" si="91"/>
        <v>7.3222115536967035E-13</v>
      </c>
      <c r="BG121" s="22">
        <f t="shared" si="61"/>
        <v>1.3525069634579169E-12</v>
      </c>
      <c r="BH121" s="62">
        <f t="shared" si="62"/>
        <v>293.33333333333468</v>
      </c>
      <c r="BI121" s="62">
        <f ca="1">AVERAGE(OFFSET($BH$3,0,0,'Données projet'!$E$11+1,1))-AVERAGE(OFFSET($H$3,0,0,'Données projet'!$E$11+1,1))</f>
        <v>288.82868507674738</v>
      </c>
      <c r="BJ121" s="62">
        <f t="shared" si="92"/>
        <v>283.48738729114024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projet'!$B$12,Paramètres!$A$1:$I$89,3,0)*VLOOKUP('Données projet'!$B$12,Paramètres!$A$1:$I$89,5,0)</f>
        <v>-1.8089849618263545E-13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298.89893065707554</v>
      </c>
      <c r="CE121" s="62">
        <f t="shared" si="94"/>
        <v>294.28794439094878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-3.4106051316484809E-13</v>
      </c>
      <c r="CU121" s="18">
        <f>CT121*VLOOKUP('Données projet'!$B$13,Paramètres!$A$1:$I$89,3,0)*VLOOKUP('Données projet'!$B$13,Paramètres!$A$1:$I$89,5,0)</f>
        <v>-2.5006556825246659E-13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376.5422416541544</v>
      </c>
      <c r="CZ121" s="62">
        <f t="shared" si="96"/>
        <v>365.76175372075869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1.6703646651200488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1.6703646651200488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439.06700232017681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2.0572770154103635E-13</v>
      </c>
      <c r="AK122" s="14">
        <f t="shared" si="89"/>
        <v>2.8416956338469711E-12</v>
      </c>
      <c r="AL122" s="22">
        <f t="shared" si="58"/>
        <v>5.3075956424674458E-12</v>
      </c>
      <c r="AM122" s="62">
        <f t="shared" si="59"/>
        <v>293.3333333333386</v>
      </c>
      <c r="AN122" s="62">
        <f ca="1">AVERAGE(OFFSET($AM$3,0,0,'Données projet'!$E$10+1,1))-AVERAGE(OFFSET($H$3,0,0,'Données projet'!$E$10+1,1))</f>
        <v>436.23918637269577</v>
      </c>
      <c r="AO122" s="62">
        <f t="shared" si="90"/>
        <v>611.43967996341894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0.14417923394057428</v>
      </c>
      <c r="AV122" s="23">
        <f>EXP(-LN(2)/25)*AV121+(1-EXP(-LN(2)/25))/(LN(2)/25)*Calculateur!AQ122*Calculateur!AS122*VLOOKUP('Données projet'!$B$10,Paramètres!$A$1:$I$89,3,0)*0.475*44/12</f>
        <v>0.12417577933860346</v>
      </c>
      <c r="AW122" s="23">
        <f>EXP(-LN(2)/2)*AW121+(1-EXP(-LN(2)/2))/(LN(2)/2)*AQ122*AT122*VLOOKUP('Données projet'!$B$10,Paramètres!$A$1:$I$89,3,0)*0.475*44/12</f>
        <v>2.4019840435327376E-13</v>
      </c>
      <c r="AX122" s="23">
        <f t="shared" si="60"/>
        <v>0.26835501327941796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4.4337866711430253E-14</v>
      </c>
      <c r="BF122" s="14">
        <f t="shared" si="91"/>
        <v>7.3222115536967035E-13</v>
      </c>
      <c r="BG122" s="22">
        <f t="shared" si="61"/>
        <v>1.3525069634579169E-12</v>
      </c>
      <c r="BH122" s="62">
        <f t="shared" si="62"/>
        <v>293.33333333333468</v>
      </c>
      <c r="BI122" s="62">
        <f ca="1">AVERAGE(OFFSET($BH$3,0,0,'Données projet'!$E$11+1,1))-AVERAGE(OFFSET($H$3,0,0,'Données projet'!$E$11+1,1))</f>
        <v>288.82868507674738</v>
      </c>
      <c r="BJ122" s="62">
        <f t="shared" si="92"/>
        <v>283.48738729114024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projet'!$B$12,Paramètres!$A$1:$I$89,3,0)*VLOOKUP('Données projet'!$B$12,Paramètres!$A$1:$I$89,5,0)</f>
        <v>-1.8089849618263545E-13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298.89893065707554</v>
      </c>
      <c r="CE122" s="62">
        <f t="shared" si="94"/>
        <v>294.28794439094878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-3.4106051316484809E-13</v>
      </c>
      <c r="CU122" s="18">
        <f>CT122*VLOOKUP('Données projet'!$B$13,Paramètres!$A$1:$I$89,3,0)*VLOOKUP('Données projet'!$B$13,Paramètres!$A$1:$I$89,5,0)</f>
        <v>-2.5006556825246659E-13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376.5422416541544</v>
      </c>
      <c r="CZ122" s="62">
        <f t="shared" si="96"/>
        <v>365.76175372075869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1.624688455511681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1.624688455511681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439.06700232017681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2.0572770154103635E-13</v>
      </c>
      <c r="AK123" s="14">
        <f t="shared" si="89"/>
        <v>2.8416956338469711E-12</v>
      </c>
      <c r="AL123" s="22">
        <f t="shared" si="58"/>
        <v>5.3075956424674458E-12</v>
      </c>
      <c r="AM123" s="62">
        <f t="shared" si="59"/>
        <v>293.3333333333386</v>
      </c>
      <c r="AN123" s="62">
        <f ca="1">AVERAGE(OFFSET($AM$3,0,0,'Données projet'!$E$10+1,1))-AVERAGE(OFFSET($H$3,0,0,'Données projet'!$E$10+1,1))</f>
        <v>436.23918637269577</v>
      </c>
      <c r="AO123" s="62">
        <f t="shared" si="90"/>
        <v>611.43967996341894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0.14135196710364889</v>
      </c>
      <c r="AV123" s="23">
        <f>EXP(-LN(2)/25)*AV122+(1-EXP(-LN(2)/25))/(LN(2)/25)*Calculateur!AQ123*Calculateur!AS123*VLOOKUP('Données projet'!$B$10,Paramètres!$A$1:$I$89,3,0)*0.475*44/12</f>
        <v>0.12078018612246892</v>
      </c>
      <c r="AW123" s="23">
        <f>EXP(-LN(2)/2)*AW122+(1-EXP(-LN(2)/2))/(LN(2)/2)*AQ123*AT123*VLOOKUP('Données projet'!$B$10,Paramètres!$A$1:$I$89,3,0)*0.475*44/12</f>
        <v>1.6984592054838821E-13</v>
      </c>
      <c r="AX123" s="23">
        <f t="shared" si="60"/>
        <v>0.26213215322628769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4.4337866711430253E-14</v>
      </c>
      <c r="BF123" s="14">
        <f t="shared" si="91"/>
        <v>7.3222115536967035E-13</v>
      </c>
      <c r="BG123" s="22">
        <f t="shared" si="61"/>
        <v>1.3525069634579169E-12</v>
      </c>
      <c r="BH123" s="62">
        <f t="shared" si="62"/>
        <v>293.33333333333468</v>
      </c>
      <c r="BI123" s="62">
        <f ca="1">AVERAGE(OFFSET($BH$3,0,0,'Données projet'!$E$11+1,1))-AVERAGE(OFFSET($H$3,0,0,'Données projet'!$E$11+1,1))</f>
        <v>288.82868507674738</v>
      </c>
      <c r="BJ123" s="62">
        <f t="shared" si="92"/>
        <v>283.48738729114024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projet'!$B$12,Paramètres!$A$1:$I$89,3,0)*VLOOKUP('Données projet'!$B$12,Paramètres!$A$1:$I$89,5,0)</f>
        <v>-1.8089849618263545E-13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298.89893065707554</v>
      </c>
      <c r="CE123" s="62">
        <f t="shared" si="94"/>
        <v>294.28794439094878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-3.4106051316484809E-13</v>
      </c>
      <c r="CU123" s="18">
        <f>CT123*VLOOKUP('Données projet'!$B$13,Paramètres!$A$1:$I$89,3,0)*VLOOKUP('Données projet'!$B$13,Paramètres!$A$1:$I$89,5,0)</f>
        <v>-2.5006556825246659E-13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376.5422416541544</v>
      </c>
      <c r="CZ123" s="62">
        <f t="shared" si="96"/>
        <v>365.76175372075869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1.5802612642570615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1.5802612642570615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439.06700232017681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2.0572770154103635E-13</v>
      </c>
      <c r="AK124" s="14">
        <f t="shared" si="89"/>
        <v>2.8416956338469711E-12</v>
      </c>
      <c r="AL124" s="22">
        <f t="shared" si="58"/>
        <v>5.3075956424674458E-12</v>
      </c>
      <c r="AM124" s="62">
        <f t="shared" si="59"/>
        <v>293.3333333333386</v>
      </c>
      <c r="AN124" s="62">
        <f ca="1">AVERAGE(OFFSET($AM$3,0,0,'Données projet'!$E$10+1,1))-AVERAGE(OFFSET($H$3,0,0,'Données projet'!$E$10+1,1))</f>
        <v>436.23918637269577</v>
      </c>
      <c r="AO124" s="62">
        <f t="shared" si="90"/>
        <v>611.43967996341894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0.13858014124493312</v>
      </c>
      <c r="AV124" s="23">
        <f>EXP(-LN(2)/25)*AV123+(1-EXP(-LN(2)/25))/(LN(2)/25)*Calculateur!AQ124*Calculateur!AS124*VLOOKUP('Données projet'!$B$10,Paramètres!$A$1:$I$89,3,0)*0.475*44/12</f>
        <v>0.11747744558139607</v>
      </c>
      <c r="AW124" s="23">
        <f>EXP(-LN(2)/2)*AW123+(1-EXP(-LN(2)/2))/(LN(2)/2)*AQ124*AT124*VLOOKUP('Données projet'!$B$10,Paramètres!$A$1:$I$89,3,0)*0.475*44/12</f>
        <v>1.2009920217663688E-13</v>
      </c>
      <c r="AX124" s="23">
        <f t="shared" si="60"/>
        <v>0.2560575868264493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4.4337866711430253E-14</v>
      </c>
      <c r="BF124" s="14">
        <f t="shared" si="91"/>
        <v>7.3222115536967035E-13</v>
      </c>
      <c r="BG124" s="22">
        <f t="shared" si="61"/>
        <v>1.3525069634579169E-12</v>
      </c>
      <c r="BH124" s="62">
        <f t="shared" si="62"/>
        <v>293.33333333333468</v>
      </c>
      <c r="BI124" s="62">
        <f ca="1">AVERAGE(OFFSET($BH$3,0,0,'Données projet'!$E$11+1,1))-AVERAGE(OFFSET($H$3,0,0,'Données projet'!$E$11+1,1))</f>
        <v>288.82868507674738</v>
      </c>
      <c r="BJ124" s="62">
        <f t="shared" si="92"/>
        <v>283.48738729114024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projet'!$B$12,Paramètres!$A$1:$I$89,3,0)*VLOOKUP('Données projet'!$B$12,Paramètres!$A$1:$I$89,5,0)</f>
        <v>-1.8089849618263545E-13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298.89893065707554</v>
      </c>
      <c r="CE124" s="62">
        <f t="shared" si="94"/>
        <v>294.28794439094878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-3.4106051316484809E-13</v>
      </c>
      <c r="CU124" s="18">
        <f>CT124*VLOOKUP('Données projet'!$B$13,Paramètres!$A$1:$I$89,3,0)*VLOOKUP('Données projet'!$B$13,Paramètres!$A$1:$I$89,5,0)</f>
        <v>-2.5006556825246659E-13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376.5422416541544</v>
      </c>
      <c r="CZ124" s="62">
        <f t="shared" si="96"/>
        <v>365.76175372075869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1.537048936883624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1.537048936883624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439.06700232017681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2.0572770154103635E-13</v>
      </c>
      <c r="AK125" s="14">
        <f t="shared" si="89"/>
        <v>2.8416956338469711E-12</v>
      </c>
      <c r="AL125" s="22">
        <f t="shared" si="58"/>
        <v>5.3075956424674458E-12</v>
      </c>
      <c r="AM125" s="62">
        <f t="shared" si="59"/>
        <v>293.3333333333386</v>
      </c>
      <c r="AN125" s="62">
        <f ca="1">AVERAGE(OFFSET($AM$3,0,0,'Données projet'!$E$10+1,1))-AVERAGE(OFFSET($H$3,0,0,'Données projet'!$E$10+1,1))</f>
        <v>436.23918637269577</v>
      </c>
      <c r="AO125" s="62">
        <f t="shared" si="90"/>
        <v>611.43967996341894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0.13586266920065992</v>
      </c>
      <c r="AV125" s="23">
        <f>EXP(-LN(2)/25)*AV124+(1-EXP(-LN(2)/25))/(LN(2)/25)*Calculateur!AQ125*Calculateur!AS125*VLOOKUP('Données projet'!$B$10,Paramètres!$A$1:$I$89,3,0)*0.475*44/12</f>
        <v>0.11426501865410243</v>
      </c>
      <c r="AW125" s="23">
        <f>EXP(-LN(2)/2)*AW124+(1-EXP(-LN(2)/2))/(LN(2)/2)*AQ125*AT125*VLOOKUP('Données projet'!$B$10,Paramètres!$A$1:$I$89,3,0)*0.475*44/12</f>
        <v>8.4922960274194106E-14</v>
      </c>
      <c r="AX125" s="23">
        <f t="shared" si="60"/>
        <v>0.25012768785484729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4.4337866711430253E-14</v>
      </c>
      <c r="BF125" s="14">
        <f t="shared" si="91"/>
        <v>7.3222115536967035E-13</v>
      </c>
      <c r="BG125" s="22">
        <f t="shared" si="61"/>
        <v>1.3525069634579169E-12</v>
      </c>
      <c r="BH125" s="62">
        <f t="shared" si="62"/>
        <v>293.33333333333468</v>
      </c>
      <c r="BI125" s="62">
        <f ca="1">AVERAGE(OFFSET($BH$3,0,0,'Données projet'!$E$11+1,1))-AVERAGE(OFFSET($H$3,0,0,'Données projet'!$E$11+1,1))</f>
        <v>288.82868507674738</v>
      </c>
      <c r="BJ125" s="62">
        <f t="shared" si="92"/>
        <v>283.48738729114024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projet'!$B$12,Paramètres!$A$1:$I$89,3,0)*VLOOKUP('Données projet'!$B$12,Paramètres!$A$1:$I$89,5,0)</f>
        <v>-1.8089849618263545E-13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298.89893065707554</v>
      </c>
      <c r="CE125" s="62">
        <f t="shared" si="94"/>
        <v>294.28794439094878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-3.4106051316484809E-13</v>
      </c>
      <c r="CU125" s="18">
        <f>CT125*VLOOKUP('Données projet'!$B$13,Paramètres!$A$1:$I$89,3,0)*VLOOKUP('Données projet'!$B$13,Paramètres!$A$1:$I$89,5,0)</f>
        <v>-2.5006556825246659E-13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376.5422416541544</v>
      </c>
      <c r="CZ125" s="62">
        <f t="shared" si="96"/>
        <v>365.76175372075869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1.4950182528746507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1.4950182528746507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439.06700232017681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2.0572770154103635E-13</v>
      </c>
      <c r="AK126" s="14">
        <f t="shared" si="89"/>
        <v>2.8416956338469711E-12</v>
      </c>
      <c r="AL126" s="22">
        <f t="shared" si="58"/>
        <v>5.3075956424674458E-12</v>
      </c>
      <c r="AM126" s="62">
        <f t="shared" si="59"/>
        <v>293.3333333333386</v>
      </c>
      <c r="AN126" s="62">
        <f ca="1">AVERAGE(OFFSET($AM$3,0,0,'Données projet'!$E$10+1,1))-AVERAGE(OFFSET($H$3,0,0,'Données projet'!$E$10+1,1))</f>
        <v>436.23918637269577</v>
      </c>
      <c r="AO126" s="62">
        <f t="shared" si="90"/>
        <v>611.43967996341894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0.13319848512568067</v>
      </c>
      <c r="AV126" s="23">
        <f>EXP(-LN(2)/25)*AV125+(1-EXP(-LN(2)/25))/(LN(2)/25)*Calculateur!AQ126*Calculateur!AS126*VLOOKUP('Données projet'!$B$10,Paramètres!$A$1:$I$89,3,0)*0.475*44/12</f>
        <v>0.11114043571006983</v>
      </c>
      <c r="AW126" s="23">
        <f>EXP(-LN(2)/2)*AW125+(1-EXP(-LN(2)/2))/(LN(2)/2)*AQ126*AT126*VLOOKUP('Données projet'!$B$10,Paramètres!$A$1:$I$89,3,0)*0.475*44/12</f>
        <v>6.004960108831844E-14</v>
      </c>
      <c r="AX126" s="23">
        <f t="shared" si="60"/>
        <v>0.24433892083581055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4.4337866711430253E-14</v>
      </c>
      <c r="BF126" s="14">
        <f t="shared" si="91"/>
        <v>7.3222115536967035E-13</v>
      </c>
      <c r="BG126" s="22">
        <f t="shared" si="61"/>
        <v>1.3525069634579169E-12</v>
      </c>
      <c r="BH126" s="62">
        <f t="shared" si="62"/>
        <v>293.33333333333468</v>
      </c>
      <c r="BI126" s="62">
        <f ca="1">AVERAGE(OFFSET($BH$3,0,0,'Données projet'!$E$11+1,1))-AVERAGE(OFFSET($H$3,0,0,'Données projet'!$E$11+1,1))</f>
        <v>288.82868507674738</v>
      </c>
      <c r="BJ126" s="62">
        <f t="shared" si="92"/>
        <v>283.48738729114024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projet'!$B$12,Paramètres!$A$1:$I$89,3,0)*VLOOKUP('Données projet'!$B$12,Paramètres!$A$1:$I$89,5,0)</f>
        <v>-1.8089849618263545E-13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298.89893065707554</v>
      </c>
      <c r="CE126" s="62">
        <f t="shared" si="94"/>
        <v>294.28794439094878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-3.4106051316484809E-13</v>
      </c>
      <c r="CU126" s="18">
        <f>CT126*VLOOKUP('Données projet'!$B$13,Paramètres!$A$1:$I$89,3,0)*VLOOKUP('Données projet'!$B$13,Paramètres!$A$1:$I$89,5,0)</f>
        <v>-2.5006556825246659E-13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376.5422416541544</v>
      </c>
      <c r="CZ126" s="62">
        <f t="shared" si="96"/>
        <v>365.76175372075869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1.4541369001302005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1.4541369001302005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439.06700232017681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2.0572770154103635E-13</v>
      </c>
      <c r="AK127" s="14">
        <f t="shared" si="89"/>
        <v>2.8416956338469711E-12</v>
      </c>
      <c r="AL127" s="22">
        <f t="shared" si="58"/>
        <v>5.3075956424674458E-12</v>
      </c>
      <c r="AM127" s="62">
        <f t="shared" si="59"/>
        <v>293.3333333333386</v>
      </c>
      <c r="AN127" s="62">
        <f ca="1">AVERAGE(OFFSET($AM$3,0,0,'Données projet'!$E$10+1,1))-AVERAGE(OFFSET($H$3,0,0,'Données projet'!$E$10+1,1))</f>
        <v>436.23918637269577</v>
      </c>
      <c r="AO127" s="62">
        <f t="shared" si="90"/>
        <v>611.43967996341894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0.13058654407541992</v>
      </c>
      <c r="AV127" s="23">
        <f>EXP(-LN(2)/25)*AV126+(1-EXP(-LN(2)/25))/(LN(2)/25)*Calculateur!AQ127*Calculateur!AS127*VLOOKUP('Données projet'!$B$10,Paramètres!$A$1:$I$89,3,0)*0.475*44/12</f>
        <v>0.10810129465095647</v>
      </c>
      <c r="AW127" s="23">
        <f>EXP(-LN(2)/2)*AW126+(1-EXP(-LN(2)/2))/(LN(2)/2)*AQ127*AT127*VLOOKUP('Données projet'!$B$10,Paramètres!$A$1:$I$89,3,0)*0.475*44/12</f>
        <v>4.2461480137097053E-14</v>
      </c>
      <c r="AX127" s="23">
        <f t="shared" si="60"/>
        <v>0.23868783872641886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4.4337866711430253E-14</v>
      </c>
      <c r="BF127" s="14">
        <f t="shared" si="91"/>
        <v>7.3222115536967035E-13</v>
      </c>
      <c r="BG127" s="22">
        <f t="shared" si="61"/>
        <v>1.3525069634579169E-12</v>
      </c>
      <c r="BH127" s="62">
        <f t="shared" si="62"/>
        <v>293.33333333333468</v>
      </c>
      <c r="BI127" s="62">
        <f ca="1">AVERAGE(OFFSET($BH$3,0,0,'Données projet'!$E$11+1,1))-AVERAGE(OFFSET($H$3,0,0,'Données projet'!$E$11+1,1))</f>
        <v>288.82868507674738</v>
      </c>
      <c r="BJ127" s="62">
        <f t="shared" si="92"/>
        <v>283.48738729114024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projet'!$B$12,Paramètres!$A$1:$I$89,3,0)*VLOOKUP('Données projet'!$B$12,Paramètres!$A$1:$I$89,5,0)</f>
        <v>-1.8089849618263545E-13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298.89893065707554</v>
      </c>
      <c r="CE127" s="62">
        <f t="shared" si="94"/>
        <v>294.28794439094878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-3.4106051316484809E-13</v>
      </c>
      <c r="CU127" s="18">
        <f>CT127*VLOOKUP('Données projet'!$B$13,Paramètres!$A$1:$I$89,3,0)*VLOOKUP('Données projet'!$B$13,Paramètres!$A$1:$I$89,5,0)</f>
        <v>-2.5006556825246659E-13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376.5422416541544</v>
      </c>
      <c r="CZ127" s="62">
        <f t="shared" si="96"/>
        <v>365.76175372075869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1.414373450126404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1.414373450126404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439.06700232017681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2.0572770154103635E-13</v>
      </c>
      <c r="AK128" s="14">
        <f t="shared" si="89"/>
        <v>2.8416956338469711E-12</v>
      </c>
      <c r="AL128" s="22">
        <f t="shared" si="58"/>
        <v>5.3075956424674458E-12</v>
      </c>
      <c r="AM128" s="62">
        <f t="shared" si="59"/>
        <v>293.3333333333386</v>
      </c>
      <c r="AN128" s="62">
        <f ca="1">AVERAGE(OFFSET($AM$3,0,0,'Données projet'!$E$10+1,1))-AVERAGE(OFFSET($H$3,0,0,'Données projet'!$E$10+1,1))</f>
        <v>436.23918637269577</v>
      </c>
      <c r="AO128" s="62">
        <f t="shared" si="90"/>
        <v>611.43967996341894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0.12802582159602804</v>
      </c>
      <c r="AV128" s="23">
        <f>EXP(-LN(2)/25)*AV127+(1-EXP(-LN(2)/25))/(LN(2)/25)*Calculateur!AQ128*Calculateur!AS128*VLOOKUP('Données projet'!$B$10,Paramètres!$A$1:$I$89,3,0)*0.475*44/12</f>
        <v>0.10514525906392605</v>
      </c>
      <c r="AW128" s="23">
        <f>EXP(-LN(2)/2)*AW127+(1-EXP(-LN(2)/2))/(LN(2)/2)*AQ128*AT128*VLOOKUP('Données projet'!$B$10,Paramètres!$A$1:$I$89,3,0)*0.475*44/12</f>
        <v>3.002480054415922E-14</v>
      </c>
      <c r="AX128" s="23">
        <f t="shared" si="60"/>
        <v>0.23317108065998413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4.4337866711430253E-14</v>
      </c>
      <c r="BF128" s="14">
        <f t="shared" si="91"/>
        <v>7.3222115536967035E-13</v>
      </c>
      <c r="BG128" s="22">
        <f t="shared" si="61"/>
        <v>1.3525069634579169E-12</v>
      </c>
      <c r="BH128" s="62">
        <f t="shared" si="62"/>
        <v>293.33333333333468</v>
      </c>
      <c r="BI128" s="62">
        <f ca="1">AVERAGE(OFFSET($BH$3,0,0,'Données projet'!$E$11+1,1))-AVERAGE(OFFSET($H$3,0,0,'Données projet'!$E$11+1,1))</f>
        <v>288.82868507674738</v>
      </c>
      <c r="BJ128" s="62">
        <f t="shared" si="92"/>
        <v>283.48738729114024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projet'!$B$12,Paramètres!$A$1:$I$89,3,0)*VLOOKUP('Données projet'!$B$12,Paramètres!$A$1:$I$89,5,0)</f>
        <v>-1.8089849618263545E-13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298.89893065707554</v>
      </c>
      <c r="CE128" s="62">
        <f t="shared" si="94"/>
        <v>294.28794439094878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-3.4106051316484809E-13</v>
      </c>
      <c r="CU128" s="18">
        <f>CT128*VLOOKUP('Données projet'!$B$13,Paramètres!$A$1:$I$89,3,0)*VLOOKUP('Données projet'!$B$13,Paramètres!$A$1:$I$89,5,0)</f>
        <v>-2.5006556825246659E-13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376.5422416541544</v>
      </c>
      <c r="CZ128" s="62">
        <f t="shared" si="96"/>
        <v>365.76175372075869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1.3756973337540304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1.3756973337540304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439.06700232017681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2.0572770154103635E-13</v>
      </c>
      <c r="AK129" s="14">
        <f t="shared" si="89"/>
        <v>2.8416956338469711E-12</v>
      </c>
      <c r="AL129" s="22">
        <f t="shared" si="58"/>
        <v>5.3075956424674458E-12</v>
      </c>
      <c r="AM129" s="62">
        <f t="shared" si="59"/>
        <v>293.3333333333386</v>
      </c>
      <c r="AN129" s="62">
        <f ca="1">AVERAGE(OFFSET($AM$3,0,0,'Données projet'!$E$10+1,1))-AVERAGE(OFFSET($H$3,0,0,'Données projet'!$E$10+1,1))</f>
        <v>436.23918637269577</v>
      </c>
      <c r="AO129" s="62">
        <f t="shared" si="90"/>
        <v>611.43967996341894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0.12551531332257054</v>
      </c>
      <c r="AV129" s="23">
        <f>EXP(-LN(2)/25)*AV128+(1-EXP(-LN(2)/25))/(LN(2)/25)*Calculateur!AQ129*Calculateur!AS129*VLOOKUP('Données projet'!$B$10,Paramètres!$A$1:$I$89,3,0)*0.475*44/12</f>
        <v>0.10227005642547413</v>
      </c>
      <c r="AW129" s="23">
        <f>EXP(-LN(2)/2)*AW128+(1-EXP(-LN(2)/2))/(LN(2)/2)*AQ129*AT129*VLOOKUP('Données projet'!$B$10,Paramètres!$A$1:$I$89,3,0)*0.475*44/12</f>
        <v>2.1230740068548527E-14</v>
      </c>
      <c r="AX129" s="23">
        <f t="shared" si="60"/>
        <v>0.2277853697480659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4.4337866711430253E-14</v>
      </c>
      <c r="BF129" s="14">
        <f t="shared" si="91"/>
        <v>7.3222115536967035E-13</v>
      </c>
      <c r="BG129" s="22">
        <f t="shared" si="61"/>
        <v>1.3525069634579169E-12</v>
      </c>
      <c r="BH129" s="62">
        <f t="shared" si="62"/>
        <v>293.33333333333468</v>
      </c>
      <c r="BI129" s="62">
        <f ca="1">AVERAGE(OFFSET($BH$3,0,0,'Données projet'!$E$11+1,1))-AVERAGE(OFFSET($H$3,0,0,'Données projet'!$E$11+1,1))</f>
        <v>288.82868507674738</v>
      </c>
      <c r="BJ129" s="62">
        <f t="shared" si="92"/>
        <v>283.48738729114024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projet'!$B$12,Paramètres!$A$1:$I$89,3,0)*VLOOKUP('Données projet'!$B$12,Paramètres!$A$1:$I$89,5,0)</f>
        <v>-1.8089849618263545E-13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298.89893065707554</v>
      </c>
      <c r="CE129" s="62">
        <f t="shared" si="94"/>
        <v>294.28794439094878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-3.4106051316484809E-13</v>
      </c>
      <c r="CU129" s="18">
        <f>CT129*VLOOKUP('Données projet'!$B$13,Paramètres!$A$1:$I$89,3,0)*VLOOKUP('Données projet'!$B$13,Paramètres!$A$1:$I$89,5,0)</f>
        <v>-2.5006556825246659E-13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376.5422416541544</v>
      </c>
      <c r="CZ129" s="62">
        <f t="shared" si="96"/>
        <v>365.76175372075869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1.3380788178177478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1.3380788178177478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439.06700232017681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2.0572770154103635E-13</v>
      </c>
      <c r="AK130" s="14">
        <f t="shared" si="89"/>
        <v>2.8416956338469711E-12</v>
      </c>
      <c r="AL130" s="22">
        <f t="shared" si="58"/>
        <v>5.3075956424674458E-12</v>
      </c>
      <c r="AM130" s="62">
        <f t="shared" si="59"/>
        <v>293.3333333333386</v>
      </c>
      <c r="AN130" s="62">
        <f ca="1">AVERAGE(OFFSET($AM$3,0,0,'Données projet'!$E$10+1,1))-AVERAGE(OFFSET($H$3,0,0,'Données projet'!$E$10+1,1))</f>
        <v>436.23918637269577</v>
      </c>
      <c r="AO130" s="62">
        <f t="shared" si="90"/>
        <v>611.43967996341894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0.12305403458509671</v>
      </c>
      <c r="AV130" s="23">
        <f>EXP(-LN(2)/25)*AV129+(1-EXP(-LN(2)/25))/(LN(2)/25)*Calculateur!AQ130*Calculateur!AS130*VLOOKUP('Données projet'!$B$10,Paramètres!$A$1:$I$89,3,0)*0.475*44/12</f>
        <v>9.947347635437101E-2</v>
      </c>
      <c r="AW130" s="23">
        <f>EXP(-LN(2)/2)*AW129+(1-EXP(-LN(2)/2))/(LN(2)/2)*AQ130*AT130*VLOOKUP('Données projet'!$B$10,Paramètres!$A$1:$I$89,3,0)*0.475*44/12</f>
        <v>1.501240027207961E-14</v>
      </c>
      <c r="AX130" s="23">
        <f t="shared" si="60"/>
        <v>0.22252751093948273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4.4337866711430253E-14</v>
      </c>
      <c r="BF130" s="14">
        <f t="shared" si="91"/>
        <v>7.3222115536967035E-13</v>
      </c>
      <c r="BG130" s="22">
        <f t="shared" si="61"/>
        <v>1.3525069634579169E-12</v>
      </c>
      <c r="BH130" s="62">
        <f t="shared" si="62"/>
        <v>293.33333333333468</v>
      </c>
      <c r="BI130" s="62">
        <f ca="1">AVERAGE(OFFSET($BH$3,0,0,'Données projet'!$E$11+1,1))-AVERAGE(OFFSET($H$3,0,0,'Données projet'!$E$11+1,1))</f>
        <v>288.82868507674738</v>
      </c>
      <c r="BJ130" s="62">
        <f t="shared" si="92"/>
        <v>283.48738729114024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projet'!$B$12,Paramètres!$A$1:$I$89,3,0)*VLOOKUP('Données projet'!$B$12,Paramètres!$A$1:$I$89,5,0)</f>
        <v>-1.8089849618263545E-13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298.89893065707554</v>
      </c>
      <c r="CE130" s="62">
        <f t="shared" si="94"/>
        <v>294.28794439094878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-3.4106051316484809E-13</v>
      </c>
      <c r="CU130" s="18">
        <f>CT130*VLOOKUP('Données projet'!$B$13,Paramètres!$A$1:$I$89,3,0)*VLOOKUP('Données projet'!$B$13,Paramètres!$A$1:$I$89,5,0)</f>
        <v>-2.5006556825246659E-13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376.5422416541544</v>
      </c>
      <c r="CZ130" s="62">
        <f t="shared" si="96"/>
        <v>365.76175372075869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1.3014889821780147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1.3014889821780147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439.06700232017681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2.0572770154103635E-13</v>
      </c>
      <c r="AK131" s="14">
        <f t="shared" si="89"/>
        <v>2.8416956338469711E-12</v>
      </c>
      <c r="AL131" s="22">
        <f t="shared" si="58"/>
        <v>5.3075956424674458E-12</v>
      </c>
      <c r="AM131" s="62">
        <f t="shared" si="59"/>
        <v>293.3333333333386</v>
      </c>
      <c r="AN131" s="62">
        <f ca="1">AVERAGE(OFFSET($AM$3,0,0,'Données projet'!$E$10+1,1))-AVERAGE(OFFSET($H$3,0,0,'Données projet'!$E$10+1,1))</f>
        <v>436.23918637269577</v>
      </c>
      <c r="AO131" s="62">
        <f t="shared" si="90"/>
        <v>611.43967996341894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0.12064102002243295</v>
      </c>
      <c r="AV131" s="23">
        <f>EXP(-LN(2)/25)*AV130+(1-EXP(-LN(2)/25))/(LN(2)/25)*Calculateur!AQ131*Calculateur!AS131*VLOOKUP('Données projet'!$B$10,Paramètres!$A$1:$I$89,3,0)*0.475*44/12</f>
        <v>9.6753368912377957E-2</v>
      </c>
      <c r="AW131" s="23">
        <f>EXP(-LN(2)/2)*AW130+(1-EXP(-LN(2)/2))/(LN(2)/2)*AQ131*AT131*VLOOKUP('Données projet'!$B$10,Paramètres!$A$1:$I$89,3,0)*0.475*44/12</f>
        <v>1.0615370034274263E-14</v>
      </c>
      <c r="AX131" s="23">
        <f t="shared" si="60"/>
        <v>0.21739438893482149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4.4337866711430253E-14</v>
      </c>
      <c r="BF131" s="14">
        <f t="shared" si="91"/>
        <v>7.3222115536967035E-13</v>
      </c>
      <c r="BG131" s="22">
        <f t="shared" si="61"/>
        <v>1.3525069634579169E-12</v>
      </c>
      <c r="BH131" s="62">
        <f t="shared" si="62"/>
        <v>293.33333333333468</v>
      </c>
      <c r="BI131" s="62">
        <f ca="1">AVERAGE(OFFSET($BH$3,0,0,'Données projet'!$E$11+1,1))-AVERAGE(OFFSET($H$3,0,0,'Données projet'!$E$11+1,1))</f>
        <v>288.82868507674738</v>
      </c>
      <c r="BJ131" s="62">
        <f t="shared" si="92"/>
        <v>283.48738729114024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projet'!$B$12,Paramètres!$A$1:$I$89,3,0)*VLOOKUP('Données projet'!$B$12,Paramètres!$A$1:$I$89,5,0)</f>
        <v>-1.8089849618263545E-13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298.89893065707554</v>
      </c>
      <c r="CE131" s="62">
        <f t="shared" si="94"/>
        <v>294.28794439094878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-3.4106051316484809E-13</v>
      </c>
      <c r="CU131" s="18">
        <f>CT131*VLOOKUP('Données projet'!$B$13,Paramètres!$A$1:$I$89,3,0)*VLOOKUP('Données projet'!$B$13,Paramètres!$A$1:$I$89,5,0)</f>
        <v>-2.5006556825246659E-13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376.5422416541544</v>
      </c>
      <c r="CZ131" s="62">
        <f t="shared" si="96"/>
        <v>365.76175372075869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1.2658996975180259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1.2658996975180259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439.06700232017681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2.0572770154103635E-13</v>
      </c>
      <c r="AK132" s="14">
        <f t="shared" si="89"/>
        <v>2.8416956338469711E-12</v>
      </c>
      <c r="AL132" s="22">
        <f t="shared" ref="AL132:AL153" si="112">(AJ132+AK132)*0.475*44/12</f>
        <v>5.3075956424674458E-12</v>
      </c>
      <c r="AM132" s="62">
        <f t="shared" ref="AM132:AM195" si="113">AL132+(AD132+AE132)*44/12</f>
        <v>293.3333333333386</v>
      </c>
      <c r="AN132" s="62">
        <f ca="1">AVERAGE(OFFSET($AM$3,0,0,'Données projet'!$E$10+1,1))-AVERAGE(OFFSET($H$3,0,0,'Données projet'!$E$10+1,1))</f>
        <v>436.23918637269577</v>
      </c>
      <c r="AO132" s="62">
        <f t="shared" si="90"/>
        <v>611.43967996341894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0.11827532320354946</v>
      </c>
      <c r="AV132" s="23">
        <f>EXP(-LN(2)/25)*AV131+(1-EXP(-LN(2)/25))/(LN(2)/25)*Calculateur!AQ132*Calculateur!AS132*VLOOKUP('Données projet'!$B$10,Paramètres!$A$1:$I$89,3,0)*0.475*44/12</f>
        <v>9.410764295143044E-2</v>
      </c>
      <c r="AW132" s="23">
        <f>EXP(-LN(2)/2)*AW131+(1-EXP(-LN(2)/2))/(LN(2)/2)*AQ132*AT132*VLOOKUP('Données projet'!$B$10,Paramètres!$A$1:$I$89,3,0)*0.475*44/12</f>
        <v>7.506200136039805E-15</v>
      </c>
      <c r="AX132" s="23">
        <f t="shared" ref="AX132:AX153" si="114">SUM(AU132:AW132)</f>
        <v>0.21238296615498739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4.4337866711430253E-14</v>
      </c>
      <c r="BF132" s="14">
        <f t="shared" si="91"/>
        <v>7.3222115536967035E-13</v>
      </c>
      <c r="BG132" s="22">
        <f t="shared" ref="BG132:BG153" si="115">(BE132+BF132)*0.475*44/12</f>
        <v>1.3525069634579169E-12</v>
      </c>
      <c r="BH132" s="62">
        <f t="shared" ref="BH132:BH195" si="116">BG132+(AY132+AZ132)*44/12</f>
        <v>293.33333333333468</v>
      </c>
      <c r="BI132" s="62">
        <f ca="1">AVERAGE(OFFSET($BH$3,0,0,'Données projet'!$E$11+1,1))-AVERAGE(OFFSET($H$3,0,0,'Données projet'!$E$11+1,1))</f>
        <v>288.82868507674738</v>
      </c>
      <c r="BJ132" s="62">
        <f t="shared" si="92"/>
        <v>283.48738729114024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projet'!$B$12,Paramètres!$A$1:$I$89,3,0)*VLOOKUP('Données projet'!$B$12,Paramètres!$A$1:$I$89,5,0)</f>
        <v>-1.8089849618263545E-13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298.89893065707554</v>
      </c>
      <c r="CE132" s="62">
        <f t="shared" si="94"/>
        <v>294.28794439094878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-3.4106051316484809E-13</v>
      </c>
      <c r="CU132" s="18">
        <f>CT132*VLOOKUP('Données projet'!$B$13,Paramètres!$A$1:$I$89,3,0)*VLOOKUP('Données projet'!$B$13,Paramètres!$A$1:$I$89,5,0)</f>
        <v>-2.5006556825246659E-13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376.5422416541544</v>
      </c>
      <c r="CZ132" s="62">
        <f t="shared" si="96"/>
        <v>365.76175372075869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1.2312836037186237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1.2312836037186237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439.06700232017681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2.0572770154103635E-13</v>
      </c>
      <c r="AK133" s="14">
        <f t="shared" ref="AK133:AK153" si="143">EXP(-1.0587+0.8836*LN(AJ133)+0.284)</f>
        <v>2.8416956338469711E-12</v>
      </c>
      <c r="AL133" s="22">
        <f t="shared" si="112"/>
        <v>5.3075956424674458E-12</v>
      </c>
      <c r="AM133" s="62">
        <f t="shared" si="113"/>
        <v>293.3333333333386</v>
      </c>
      <c r="AN133" s="62">
        <f ca="1">AVERAGE(OFFSET($AM$3,0,0,'Données projet'!$E$10+1,1))-AVERAGE(OFFSET($H$3,0,0,'Données projet'!$E$10+1,1))</f>
        <v>436.23918637269577</v>
      </c>
      <c r="AO133" s="62">
        <f t="shared" ref="AO133:AO196" si="144">$AO$3</f>
        <v>611.43967996341894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0.11595601625635168</v>
      </c>
      <c r="AV133" s="23">
        <f>EXP(-LN(2)/25)*AV132+(1-EXP(-LN(2)/25))/(LN(2)/25)*Calculateur!AQ133*Calculateur!AS133*VLOOKUP('Données projet'!$B$10,Paramètres!$A$1:$I$89,3,0)*0.475*44/12</f>
        <v>9.1534264506017718E-2</v>
      </c>
      <c r="AW133" s="23">
        <f>EXP(-LN(2)/2)*AW132+(1-EXP(-LN(2)/2))/(LN(2)/2)*AQ133*AT133*VLOOKUP('Données projet'!$B$10,Paramètres!$A$1:$I$89,3,0)*0.475*44/12</f>
        <v>5.3076850171371317E-15</v>
      </c>
      <c r="AX133" s="23">
        <f t="shared" si="114"/>
        <v>0.20749028076237472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4.4337866711430253E-14</v>
      </c>
      <c r="BF133" s="14">
        <f t="shared" ref="BF133:BF153" si="145">EXP(-1.0587+0.8836*LN(BE133)+0.284)</f>
        <v>7.3222115536967035E-13</v>
      </c>
      <c r="BG133" s="22">
        <f t="shared" si="115"/>
        <v>1.3525069634579169E-12</v>
      </c>
      <c r="BH133" s="62">
        <f t="shared" si="116"/>
        <v>293.33333333333468</v>
      </c>
      <c r="BI133" s="62">
        <f ca="1">AVERAGE(OFFSET($BH$3,0,0,'Données projet'!$E$11+1,1))-AVERAGE(OFFSET($H$3,0,0,'Données projet'!$E$11+1,1))</f>
        <v>288.82868507674738</v>
      </c>
      <c r="BJ133" s="62">
        <f t="shared" ref="BJ133:BJ196" si="146">$BJ$3</f>
        <v>283.48738729114024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projet'!$B$12,Paramètres!$A$1:$I$89,3,0)*VLOOKUP('Données projet'!$B$12,Paramètres!$A$1:$I$89,5,0)</f>
        <v>-1.8089849618263545E-13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298.89893065707554</v>
      </c>
      <c r="CE133" s="62">
        <f t="shared" ref="CE133:CE196" si="148">$CE$3</f>
        <v>294.28794439094878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-3.4106051316484809E-13</v>
      </c>
      <c r="CU133" s="18">
        <f>CT133*VLOOKUP('Données projet'!$B$13,Paramètres!$A$1:$I$89,3,0)*VLOOKUP('Données projet'!$B$13,Paramètres!$A$1:$I$89,5,0)</f>
        <v>-2.5006556825246659E-13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376.5422416541544</v>
      </c>
      <c r="CZ133" s="62">
        <f t="shared" ref="CZ133:CZ196" si="150">$CZ$3</f>
        <v>365.76175372075869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1.1976140888245472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1.1976140888245472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439.06700232017681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2.0572770154103635E-13</v>
      </c>
      <c r="AK134" s="14">
        <f t="shared" si="143"/>
        <v>2.8416956338469711E-12</v>
      </c>
      <c r="AL134" s="22">
        <f t="shared" si="112"/>
        <v>5.3075956424674458E-12</v>
      </c>
      <c r="AM134" s="62">
        <f t="shared" si="113"/>
        <v>293.3333333333386</v>
      </c>
      <c r="AN134" s="62">
        <f ca="1">AVERAGE(OFFSET($AM$3,0,0,'Données projet'!$E$10+1,1))-AVERAGE(OFFSET($H$3,0,0,'Données projet'!$E$10+1,1))</f>
        <v>436.23918637269577</v>
      </c>
      <c r="AO134" s="62">
        <f t="shared" si="144"/>
        <v>611.43967996341894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0.11368218950375092</v>
      </c>
      <c r="AV134" s="23">
        <f>EXP(-LN(2)/25)*AV133+(1-EXP(-LN(2)/25))/(LN(2)/25)*Calculateur!AQ134*Calculateur!AS134*VLOOKUP('Données projet'!$B$10,Paramètres!$A$1:$I$89,3,0)*0.475*44/12</f>
        <v>8.9031255229522904E-2</v>
      </c>
      <c r="AW134" s="23">
        <f>EXP(-LN(2)/2)*AW133+(1-EXP(-LN(2)/2))/(LN(2)/2)*AQ134*AT134*VLOOKUP('Données projet'!$B$10,Paramètres!$A$1:$I$89,3,0)*0.475*44/12</f>
        <v>3.7531000680199025E-15</v>
      </c>
      <c r="AX134" s="23">
        <f t="shared" si="114"/>
        <v>0.20271344473327757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4.4337866711430253E-14</v>
      </c>
      <c r="BF134" s="14">
        <f t="shared" si="145"/>
        <v>7.3222115536967035E-13</v>
      </c>
      <c r="BG134" s="22">
        <f t="shared" si="115"/>
        <v>1.3525069634579169E-12</v>
      </c>
      <c r="BH134" s="62">
        <f t="shared" si="116"/>
        <v>293.33333333333468</v>
      </c>
      <c r="BI134" s="62">
        <f ca="1">AVERAGE(OFFSET($BH$3,0,0,'Données projet'!$E$11+1,1))-AVERAGE(OFFSET($H$3,0,0,'Données projet'!$E$11+1,1))</f>
        <v>288.82868507674738</v>
      </c>
      <c r="BJ134" s="62">
        <f t="shared" si="146"/>
        <v>283.48738729114024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projet'!$B$12,Paramètres!$A$1:$I$89,3,0)*VLOOKUP('Données projet'!$B$12,Paramètres!$A$1:$I$89,5,0)</f>
        <v>-1.8089849618263545E-13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298.89893065707554</v>
      </c>
      <c r="CE134" s="62">
        <f t="shared" si="148"/>
        <v>294.28794439094878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-3.4106051316484809E-13</v>
      </c>
      <c r="CU134" s="18">
        <f>CT134*VLOOKUP('Données projet'!$B$13,Paramètres!$A$1:$I$89,3,0)*VLOOKUP('Données projet'!$B$13,Paramètres!$A$1:$I$89,5,0)</f>
        <v>-2.5006556825246659E-13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376.5422416541544</v>
      </c>
      <c r="CZ134" s="62">
        <f t="shared" si="150"/>
        <v>365.76175372075869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1.1648652685858523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1.1648652685858523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439.06700232017681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2.0572770154103635E-13</v>
      </c>
      <c r="AK135" s="14">
        <f t="shared" si="143"/>
        <v>2.8416956338469711E-12</v>
      </c>
      <c r="AL135" s="22">
        <f t="shared" si="112"/>
        <v>5.3075956424674458E-12</v>
      </c>
      <c r="AM135" s="62">
        <f t="shared" si="113"/>
        <v>293.3333333333386</v>
      </c>
      <c r="AN135" s="62">
        <f ca="1">AVERAGE(OFFSET($AM$3,0,0,'Données projet'!$E$10+1,1))-AVERAGE(OFFSET($H$3,0,0,'Données projet'!$E$10+1,1))</f>
        <v>436.23918637269577</v>
      </c>
      <c r="AO135" s="62">
        <f t="shared" si="144"/>
        <v>611.43967996341894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0.11145295110687127</v>
      </c>
      <c r="AV135" s="23">
        <f>EXP(-LN(2)/25)*AV134+(1-EXP(-LN(2)/25))/(LN(2)/25)*Calculateur!AQ135*Calculateur!AS135*VLOOKUP('Données projet'!$B$10,Paramètres!$A$1:$I$89,3,0)*0.475*44/12</f>
        <v>8.6596690873321377E-2</v>
      </c>
      <c r="AW135" s="23">
        <f>EXP(-LN(2)/2)*AW134+(1-EXP(-LN(2)/2))/(LN(2)/2)*AQ135*AT135*VLOOKUP('Données projet'!$B$10,Paramètres!$A$1:$I$89,3,0)*0.475*44/12</f>
        <v>2.6538425085685658E-15</v>
      </c>
      <c r="AX135" s="23">
        <f t="shared" si="114"/>
        <v>0.19804964198019531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4.4337866711430253E-14</v>
      </c>
      <c r="BF135" s="14">
        <f t="shared" si="145"/>
        <v>7.3222115536967035E-13</v>
      </c>
      <c r="BG135" s="22">
        <f t="shared" si="115"/>
        <v>1.3525069634579169E-12</v>
      </c>
      <c r="BH135" s="62">
        <f t="shared" si="116"/>
        <v>293.33333333333468</v>
      </c>
      <c r="BI135" s="62">
        <f ca="1">AVERAGE(OFFSET($BH$3,0,0,'Données projet'!$E$11+1,1))-AVERAGE(OFFSET($H$3,0,0,'Données projet'!$E$11+1,1))</f>
        <v>288.82868507674738</v>
      </c>
      <c r="BJ135" s="62">
        <f t="shared" si="146"/>
        <v>283.48738729114024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projet'!$B$12,Paramètres!$A$1:$I$89,3,0)*VLOOKUP('Données projet'!$B$12,Paramètres!$A$1:$I$89,5,0)</f>
        <v>-1.8089849618263545E-13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298.89893065707554</v>
      </c>
      <c r="CE135" s="62">
        <f t="shared" si="148"/>
        <v>294.28794439094878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-3.4106051316484809E-13</v>
      </c>
      <c r="CU135" s="18">
        <f>CT135*VLOOKUP('Données projet'!$B$13,Paramètres!$A$1:$I$89,3,0)*VLOOKUP('Données projet'!$B$13,Paramètres!$A$1:$I$89,5,0)</f>
        <v>-2.5006556825246659E-13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376.5422416541544</v>
      </c>
      <c r="CZ135" s="62">
        <f t="shared" si="150"/>
        <v>365.76175372075869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1.1330119665587699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1.1330119665587699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439.06700232017681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2.0572770154103635E-13</v>
      </c>
      <c r="AK136" s="14">
        <f t="shared" si="143"/>
        <v>2.8416956338469711E-12</v>
      </c>
      <c r="AL136" s="22">
        <f t="shared" si="112"/>
        <v>5.3075956424674458E-12</v>
      </c>
      <c r="AM136" s="62">
        <f t="shared" si="113"/>
        <v>293.3333333333386</v>
      </c>
      <c r="AN136" s="62">
        <f ca="1">AVERAGE(OFFSET($AM$3,0,0,'Données projet'!$E$10+1,1))-AVERAGE(OFFSET($H$3,0,0,'Données projet'!$E$10+1,1))</f>
        <v>436.23918637269577</v>
      </c>
      <c r="AO136" s="62">
        <f t="shared" si="144"/>
        <v>611.43967996341894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0.10926742671525327</v>
      </c>
      <c r="AV136" s="23">
        <f>EXP(-LN(2)/25)*AV135+(1-EXP(-LN(2)/25))/(LN(2)/25)*Calculateur!AQ136*Calculateur!AS136*VLOOKUP('Données projet'!$B$10,Paramètres!$A$1:$I$89,3,0)*0.475*44/12</f>
        <v>8.4228699807468346E-2</v>
      </c>
      <c r="AW136" s="23">
        <f>EXP(-LN(2)/2)*AW135+(1-EXP(-LN(2)/2))/(LN(2)/2)*AQ136*AT136*VLOOKUP('Données projet'!$B$10,Paramètres!$A$1:$I$89,3,0)*0.475*44/12</f>
        <v>1.8765500340099513E-15</v>
      </c>
      <c r="AX136" s="23">
        <f t="shared" si="114"/>
        <v>0.19349612652272352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4.4337866711430253E-14</v>
      </c>
      <c r="BF136" s="14">
        <f t="shared" si="145"/>
        <v>7.3222115536967035E-13</v>
      </c>
      <c r="BG136" s="22">
        <f t="shared" si="115"/>
        <v>1.3525069634579169E-12</v>
      </c>
      <c r="BH136" s="62">
        <f t="shared" si="116"/>
        <v>293.33333333333468</v>
      </c>
      <c r="BI136" s="62">
        <f ca="1">AVERAGE(OFFSET($BH$3,0,0,'Données projet'!$E$11+1,1))-AVERAGE(OFFSET($H$3,0,0,'Données projet'!$E$11+1,1))</f>
        <v>288.82868507674738</v>
      </c>
      <c r="BJ136" s="62">
        <f t="shared" si="146"/>
        <v>283.48738729114024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projet'!$B$12,Paramètres!$A$1:$I$89,3,0)*VLOOKUP('Données projet'!$B$12,Paramètres!$A$1:$I$89,5,0)</f>
        <v>-1.8089849618263545E-13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298.89893065707554</v>
      </c>
      <c r="CE136" s="62">
        <f t="shared" si="148"/>
        <v>294.28794439094878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-3.4106051316484809E-13</v>
      </c>
      <c r="CU136" s="18">
        <f>CT136*VLOOKUP('Données projet'!$B$13,Paramètres!$A$1:$I$89,3,0)*VLOOKUP('Données projet'!$B$13,Paramètres!$A$1:$I$89,5,0)</f>
        <v>-2.5006556825246659E-13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376.5422416541544</v>
      </c>
      <c r="CZ136" s="62">
        <f t="shared" si="150"/>
        <v>365.76175372075869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1.1020296947507104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1.1020296947507104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439.06700232017681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2.0572770154103635E-13</v>
      </c>
      <c r="AK137" s="14">
        <f t="shared" si="143"/>
        <v>2.8416956338469711E-12</v>
      </c>
      <c r="AL137" s="22">
        <f t="shared" si="112"/>
        <v>5.3075956424674458E-12</v>
      </c>
      <c r="AM137" s="62">
        <f t="shared" si="113"/>
        <v>293.3333333333386</v>
      </c>
      <c r="AN137" s="62">
        <f ca="1">AVERAGE(OFFSET($AM$3,0,0,'Données projet'!$E$10+1,1))-AVERAGE(OFFSET($H$3,0,0,'Données projet'!$E$10+1,1))</f>
        <v>436.23918637269577</v>
      </c>
      <c r="AO137" s="62">
        <f t="shared" si="144"/>
        <v>611.43967996341894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0.10712475912391665</v>
      </c>
      <c r="AV137" s="23">
        <f>EXP(-LN(2)/25)*AV136+(1-EXP(-LN(2)/25))/(LN(2)/25)*Calculateur!AQ137*Calculateur!AS137*VLOOKUP('Données projet'!$B$10,Paramètres!$A$1:$I$89,3,0)*0.475*44/12</f>
        <v>8.1925461581838305E-2</v>
      </c>
      <c r="AW137" s="23">
        <f>EXP(-LN(2)/2)*AW136+(1-EXP(-LN(2)/2))/(LN(2)/2)*AQ137*AT137*VLOOKUP('Données projet'!$B$10,Paramètres!$A$1:$I$89,3,0)*0.475*44/12</f>
        <v>1.3269212542842829E-15</v>
      </c>
      <c r="AX137" s="23">
        <f t="shared" si="114"/>
        <v>0.18905022070575628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4.4337866711430253E-14</v>
      </c>
      <c r="BF137" s="14">
        <f t="shared" si="145"/>
        <v>7.3222115536967035E-13</v>
      </c>
      <c r="BG137" s="22">
        <f t="shared" si="115"/>
        <v>1.3525069634579169E-12</v>
      </c>
      <c r="BH137" s="62">
        <f t="shared" si="116"/>
        <v>293.33333333333468</v>
      </c>
      <c r="BI137" s="62">
        <f ca="1">AVERAGE(OFFSET($BH$3,0,0,'Données projet'!$E$11+1,1))-AVERAGE(OFFSET($H$3,0,0,'Données projet'!$E$11+1,1))</f>
        <v>288.82868507674738</v>
      </c>
      <c r="BJ137" s="62">
        <f t="shared" si="146"/>
        <v>283.48738729114024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projet'!$B$12,Paramètres!$A$1:$I$89,3,0)*VLOOKUP('Données projet'!$B$12,Paramètres!$A$1:$I$89,5,0)</f>
        <v>-1.8089849618263545E-13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298.89893065707554</v>
      </c>
      <c r="CE137" s="62">
        <f t="shared" si="148"/>
        <v>294.28794439094878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-3.4106051316484809E-13</v>
      </c>
      <c r="CU137" s="18">
        <f>CT137*VLOOKUP('Données projet'!$B$13,Paramètres!$A$1:$I$89,3,0)*VLOOKUP('Données projet'!$B$13,Paramètres!$A$1:$I$89,5,0)</f>
        <v>-2.5006556825246659E-13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376.5422416541544</v>
      </c>
      <c r="CZ137" s="62">
        <f t="shared" si="150"/>
        <v>365.76175372075869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1.0718946347945293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1.0718946347945293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439.06700232017681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2.0572770154103635E-13</v>
      </c>
      <c r="AK138" s="14">
        <f t="shared" si="143"/>
        <v>2.8416956338469711E-12</v>
      </c>
      <c r="AL138" s="22">
        <f t="shared" si="112"/>
        <v>5.3075956424674458E-12</v>
      </c>
      <c r="AM138" s="62">
        <f t="shared" si="113"/>
        <v>293.3333333333386</v>
      </c>
      <c r="AN138" s="62">
        <f ca="1">AVERAGE(OFFSET($AM$3,0,0,'Données projet'!$E$10+1,1))-AVERAGE(OFFSET($H$3,0,0,'Données projet'!$E$10+1,1))</f>
        <v>436.23918637269577</v>
      </c>
      <c r="AO138" s="62">
        <f t="shared" si="144"/>
        <v>611.43967996341894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0.10502410793714796</v>
      </c>
      <c r="AV138" s="23">
        <f>EXP(-LN(2)/25)*AV137+(1-EXP(-LN(2)/25))/(LN(2)/25)*Calculateur!AQ138*Calculateur!AS138*VLOOKUP('Données projet'!$B$10,Paramètres!$A$1:$I$89,3,0)*0.475*44/12</f>
        <v>7.9685205526610153E-2</v>
      </c>
      <c r="AW138" s="23">
        <f>EXP(-LN(2)/2)*AW137+(1-EXP(-LN(2)/2))/(LN(2)/2)*AQ138*AT138*VLOOKUP('Données projet'!$B$10,Paramètres!$A$1:$I$89,3,0)*0.475*44/12</f>
        <v>9.3827501700497563E-16</v>
      </c>
      <c r="AX138" s="23">
        <f t="shared" si="114"/>
        <v>0.18470931346375907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4.4337866711430253E-14</v>
      </c>
      <c r="BF138" s="14">
        <f t="shared" si="145"/>
        <v>7.3222115536967035E-13</v>
      </c>
      <c r="BG138" s="22">
        <f t="shared" si="115"/>
        <v>1.3525069634579169E-12</v>
      </c>
      <c r="BH138" s="62">
        <f t="shared" si="116"/>
        <v>293.33333333333468</v>
      </c>
      <c r="BI138" s="62">
        <f ca="1">AVERAGE(OFFSET($BH$3,0,0,'Données projet'!$E$11+1,1))-AVERAGE(OFFSET($H$3,0,0,'Données projet'!$E$11+1,1))</f>
        <v>288.82868507674738</v>
      </c>
      <c r="BJ138" s="62">
        <f t="shared" si="146"/>
        <v>283.48738729114024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projet'!$B$12,Paramètres!$A$1:$I$89,3,0)*VLOOKUP('Données projet'!$B$12,Paramètres!$A$1:$I$89,5,0)</f>
        <v>-1.8089849618263545E-13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298.89893065707554</v>
      </c>
      <c r="CE138" s="62">
        <f t="shared" si="148"/>
        <v>294.28794439094878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-3.4106051316484809E-13</v>
      </c>
      <c r="CU138" s="18">
        <f>CT138*VLOOKUP('Données projet'!$B$13,Paramètres!$A$1:$I$89,3,0)*VLOOKUP('Données projet'!$B$13,Paramètres!$A$1:$I$89,5,0)</f>
        <v>-2.5006556825246659E-13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376.5422416541544</v>
      </c>
      <c r="CZ138" s="62">
        <f t="shared" si="150"/>
        <v>365.76175372075869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1.0425836196375839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1.0425836196375839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439.06700232017681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2.0572770154103635E-13</v>
      </c>
      <c r="AK139" s="14">
        <f t="shared" si="143"/>
        <v>2.8416956338469711E-12</v>
      </c>
      <c r="AL139" s="22">
        <f t="shared" si="112"/>
        <v>5.3075956424674458E-12</v>
      </c>
      <c r="AM139" s="62">
        <f t="shared" si="113"/>
        <v>293.3333333333386</v>
      </c>
      <c r="AN139" s="62">
        <f ca="1">AVERAGE(OFFSET($AM$3,0,0,'Données projet'!$E$10+1,1))-AVERAGE(OFFSET($H$3,0,0,'Données projet'!$E$10+1,1))</f>
        <v>436.23918637269577</v>
      </c>
      <c r="AO139" s="62">
        <f t="shared" si="144"/>
        <v>611.43967996341894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0.10296464923888109</v>
      </c>
      <c r="AV139" s="23">
        <f>EXP(-LN(2)/25)*AV138+(1-EXP(-LN(2)/25))/(LN(2)/25)*Calculateur!AQ139*Calculateur!AS139*VLOOKUP('Données projet'!$B$10,Paramètres!$A$1:$I$89,3,0)*0.475*44/12</f>
        <v>7.7506209391022166E-2</v>
      </c>
      <c r="AW139" s="23">
        <f>EXP(-LN(2)/2)*AW138+(1-EXP(-LN(2)/2))/(LN(2)/2)*AQ139*AT139*VLOOKUP('Données projet'!$B$10,Paramètres!$A$1:$I$89,3,0)*0.475*44/12</f>
        <v>6.6346062714214146E-16</v>
      </c>
      <c r="AX139" s="23">
        <f t="shared" si="114"/>
        <v>0.18047085862990392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4.4337866711430253E-14</v>
      </c>
      <c r="BF139" s="14">
        <f t="shared" si="145"/>
        <v>7.3222115536967035E-13</v>
      </c>
      <c r="BG139" s="22">
        <f t="shared" si="115"/>
        <v>1.3525069634579169E-12</v>
      </c>
      <c r="BH139" s="62">
        <f t="shared" si="116"/>
        <v>293.33333333333468</v>
      </c>
      <c r="BI139" s="62">
        <f ca="1">AVERAGE(OFFSET($BH$3,0,0,'Données projet'!$E$11+1,1))-AVERAGE(OFFSET($H$3,0,0,'Données projet'!$E$11+1,1))</f>
        <v>288.82868507674738</v>
      </c>
      <c r="BJ139" s="62">
        <f t="shared" si="146"/>
        <v>283.48738729114024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projet'!$B$12,Paramètres!$A$1:$I$89,3,0)*VLOOKUP('Données projet'!$B$12,Paramètres!$A$1:$I$89,5,0)</f>
        <v>-1.8089849618263545E-13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298.89893065707554</v>
      </c>
      <c r="CE139" s="62">
        <f t="shared" si="148"/>
        <v>294.28794439094878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-3.4106051316484809E-13</v>
      </c>
      <c r="CU139" s="18">
        <f>CT139*VLOOKUP('Données projet'!$B$13,Paramètres!$A$1:$I$89,3,0)*VLOOKUP('Données projet'!$B$13,Paramètres!$A$1:$I$89,5,0)</f>
        <v>-2.5006556825246659E-13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376.5422416541544</v>
      </c>
      <c r="CZ139" s="62">
        <f t="shared" si="150"/>
        <v>365.76175372075869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1.0140741157315045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1.0140741157315045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439.06700232017681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2.0572770154103635E-13</v>
      </c>
      <c r="AK140" s="14">
        <f t="shared" si="143"/>
        <v>2.8416956338469711E-12</v>
      </c>
      <c r="AL140" s="22">
        <f t="shared" si="112"/>
        <v>5.3075956424674458E-12</v>
      </c>
      <c r="AM140" s="62">
        <f t="shared" si="113"/>
        <v>293.3333333333386</v>
      </c>
      <c r="AN140" s="62">
        <f ca="1">AVERAGE(OFFSET($AM$3,0,0,'Données projet'!$E$10+1,1))-AVERAGE(OFFSET($H$3,0,0,'Données projet'!$E$10+1,1))</f>
        <v>436.23918637269577</v>
      </c>
      <c r="AO140" s="62">
        <f t="shared" si="144"/>
        <v>611.43967996341894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0.10094557526954145</v>
      </c>
      <c r="AV140" s="23">
        <f>EXP(-LN(2)/25)*AV139+(1-EXP(-LN(2)/25))/(LN(2)/25)*Calculateur!AQ140*Calculateur!AS140*VLOOKUP('Données projet'!$B$10,Paramètres!$A$1:$I$89,3,0)*0.475*44/12</f>
        <v>7.5386798019350248E-2</v>
      </c>
      <c r="AW140" s="23">
        <f>EXP(-LN(2)/2)*AW139+(1-EXP(-LN(2)/2))/(LN(2)/2)*AQ140*AT140*VLOOKUP('Données projet'!$B$10,Paramètres!$A$1:$I$89,3,0)*0.475*44/12</f>
        <v>4.6913750850248781E-16</v>
      </c>
      <c r="AX140" s="23">
        <f t="shared" si="114"/>
        <v>0.17633237328889217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4.4337866711430253E-14</v>
      </c>
      <c r="BF140" s="14">
        <f t="shared" si="145"/>
        <v>7.3222115536967035E-13</v>
      </c>
      <c r="BG140" s="22">
        <f t="shared" si="115"/>
        <v>1.3525069634579169E-12</v>
      </c>
      <c r="BH140" s="62">
        <f t="shared" si="116"/>
        <v>293.33333333333468</v>
      </c>
      <c r="BI140" s="62">
        <f ca="1">AVERAGE(OFFSET($BH$3,0,0,'Données projet'!$E$11+1,1))-AVERAGE(OFFSET($H$3,0,0,'Données projet'!$E$11+1,1))</f>
        <v>288.82868507674738</v>
      </c>
      <c r="BJ140" s="62">
        <f t="shared" si="146"/>
        <v>283.48738729114024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projet'!$B$12,Paramètres!$A$1:$I$89,3,0)*VLOOKUP('Données projet'!$B$12,Paramètres!$A$1:$I$89,5,0)</f>
        <v>-1.8089849618263545E-13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298.89893065707554</v>
      </c>
      <c r="CE140" s="62">
        <f t="shared" si="148"/>
        <v>294.28794439094878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-3.4106051316484809E-13</v>
      </c>
      <c r="CU140" s="18">
        <f>CT140*VLOOKUP('Données projet'!$B$13,Paramètres!$A$1:$I$89,3,0)*VLOOKUP('Données projet'!$B$13,Paramètres!$A$1:$I$89,5,0)</f>
        <v>-2.5006556825246659E-13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376.5422416541544</v>
      </c>
      <c r="CZ140" s="62">
        <f t="shared" si="150"/>
        <v>365.76175372075869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0.98634420570898651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0.98634420570898651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439.06700232017681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2.0572770154103635E-13</v>
      </c>
      <c r="AK141" s="14">
        <f t="shared" si="143"/>
        <v>2.8416956338469711E-12</v>
      </c>
      <c r="AL141" s="22">
        <f t="shared" si="112"/>
        <v>5.3075956424674458E-12</v>
      </c>
      <c r="AM141" s="62">
        <f t="shared" si="113"/>
        <v>293.3333333333386</v>
      </c>
      <c r="AN141" s="62">
        <f ca="1">AVERAGE(OFFSET($AM$3,0,0,'Données projet'!$E$10+1,1))-AVERAGE(OFFSET($H$3,0,0,'Données projet'!$E$10+1,1))</f>
        <v>436.23918637269577</v>
      </c>
      <c r="AO141" s="62">
        <f t="shared" si="144"/>
        <v>611.43967996341894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9.8966094109227062E-2</v>
      </c>
      <c r="AV141" s="23">
        <f>EXP(-LN(2)/25)*AV140+(1-EXP(-LN(2)/25))/(LN(2)/25)*Calculateur!AQ141*Calculateur!AS141*VLOOKUP('Données projet'!$B$10,Paramètres!$A$1:$I$89,3,0)*0.475*44/12</f>
        <v>7.33253420630917E-2</v>
      </c>
      <c r="AW141" s="23">
        <f>EXP(-LN(2)/2)*AW140+(1-EXP(-LN(2)/2))/(LN(2)/2)*AQ141*AT141*VLOOKUP('Données projet'!$B$10,Paramètres!$A$1:$I$89,3,0)*0.475*44/12</f>
        <v>3.3173031357107073E-16</v>
      </c>
      <c r="AX141" s="23">
        <f t="shared" si="114"/>
        <v>0.1722914361723191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4.4337866711430253E-14</v>
      </c>
      <c r="BF141" s="14">
        <f t="shared" si="145"/>
        <v>7.3222115536967035E-13</v>
      </c>
      <c r="BG141" s="22">
        <f t="shared" si="115"/>
        <v>1.3525069634579169E-12</v>
      </c>
      <c r="BH141" s="62">
        <f t="shared" si="116"/>
        <v>293.33333333333468</v>
      </c>
      <c r="BI141" s="62">
        <f ca="1">AVERAGE(OFFSET($BH$3,0,0,'Données projet'!$E$11+1,1))-AVERAGE(OFFSET($H$3,0,0,'Données projet'!$E$11+1,1))</f>
        <v>288.82868507674738</v>
      </c>
      <c r="BJ141" s="62">
        <f t="shared" si="146"/>
        <v>283.48738729114024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projet'!$B$12,Paramètres!$A$1:$I$89,3,0)*VLOOKUP('Données projet'!$B$12,Paramètres!$A$1:$I$89,5,0)</f>
        <v>-1.8089849618263545E-13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298.89893065707554</v>
      </c>
      <c r="CE141" s="62">
        <f t="shared" si="148"/>
        <v>294.28794439094878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-3.4106051316484809E-13</v>
      </c>
      <c r="CU141" s="18">
        <f>CT141*VLOOKUP('Données projet'!$B$13,Paramètres!$A$1:$I$89,3,0)*VLOOKUP('Données projet'!$B$13,Paramètres!$A$1:$I$89,5,0)</f>
        <v>-2.5006556825246659E-13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376.5422416541544</v>
      </c>
      <c r="CZ141" s="62">
        <f t="shared" si="150"/>
        <v>365.76175372075869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0.95937257153428679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0.95937257153428679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439.06700232017681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2.0572770154103635E-13</v>
      </c>
      <c r="AK142" s="14">
        <f t="shared" si="143"/>
        <v>2.8416956338469711E-12</v>
      </c>
      <c r="AL142" s="22">
        <f t="shared" si="112"/>
        <v>5.3075956424674458E-12</v>
      </c>
      <c r="AM142" s="62">
        <f t="shared" si="113"/>
        <v>293.3333333333386</v>
      </c>
      <c r="AN142" s="62">
        <f ca="1">AVERAGE(OFFSET($AM$3,0,0,'Données projet'!$E$10+1,1))-AVERAGE(OFFSET($H$3,0,0,'Données projet'!$E$10+1,1))</f>
        <v>436.23918637269577</v>
      </c>
      <c r="AO142" s="62">
        <f t="shared" si="144"/>
        <v>611.43967996341894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9.7025429367102137E-2</v>
      </c>
      <c r="AV142" s="23">
        <f>EXP(-LN(2)/25)*AV141+(1-EXP(-LN(2)/25))/(LN(2)/25)*Calculateur!AQ142*Calculateur!AS142*VLOOKUP('Données projet'!$B$10,Paramètres!$A$1:$I$89,3,0)*0.475*44/12</f>
        <v>7.1320256728364312E-2</v>
      </c>
      <c r="AW142" s="23">
        <f>EXP(-LN(2)/2)*AW141+(1-EXP(-LN(2)/2))/(LN(2)/2)*AQ142*AT142*VLOOKUP('Données projet'!$B$10,Paramètres!$A$1:$I$89,3,0)*0.475*44/12</f>
        <v>2.3456875425124391E-16</v>
      </c>
      <c r="AX142" s="23">
        <f t="shared" si="114"/>
        <v>0.16834568609546668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4.4337866711430253E-14</v>
      </c>
      <c r="BF142" s="14">
        <f t="shared" si="145"/>
        <v>7.3222115536967035E-13</v>
      </c>
      <c r="BG142" s="22">
        <f t="shared" si="115"/>
        <v>1.3525069634579169E-12</v>
      </c>
      <c r="BH142" s="62">
        <f t="shared" si="116"/>
        <v>293.33333333333468</v>
      </c>
      <c r="BI142" s="62">
        <f ca="1">AVERAGE(OFFSET($BH$3,0,0,'Données projet'!$E$11+1,1))-AVERAGE(OFFSET($H$3,0,0,'Données projet'!$E$11+1,1))</f>
        <v>288.82868507674738</v>
      </c>
      <c r="BJ142" s="62">
        <f t="shared" si="146"/>
        <v>283.48738729114024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projet'!$B$12,Paramètres!$A$1:$I$89,3,0)*VLOOKUP('Données projet'!$B$12,Paramètres!$A$1:$I$89,5,0)</f>
        <v>-1.8089849618263545E-13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298.89893065707554</v>
      </c>
      <c r="CE142" s="62">
        <f t="shared" si="148"/>
        <v>294.28794439094878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-3.4106051316484809E-13</v>
      </c>
      <c r="CU142" s="18">
        <f>CT142*VLOOKUP('Données projet'!$B$13,Paramètres!$A$1:$I$89,3,0)*VLOOKUP('Données projet'!$B$13,Paramètres!$A$1:$I$89,5,0)</f>
        <v>-2.5006556825246659E-13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376.5422416541544</v>
      </c>
      <c r="CZ142" s="62">
        <f t="shared" si="150"/>
        <v>365.76175372075869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0.93313847811447082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0.93313847811447082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439.06700232017681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2.0572770154103635E-13</v>
      </c>
      <c r="AK143" s="14">
        <f t="shared" si="143"/>
        <v>2.8416956338469711E-12</v>
      </c>
      <c r="AL143" s="22">
        <f t="shared" si="112"/>
        <v>5.3075956424674458E-12</v>
      </c>
      <c r="AM143" s="62">
        <f t="shared" si="113"/>
        <v>293.3333333333386</v>
      </c>
      <c r="AN143" s="62">
        <f ca="1">AVERAGE(OFFSET($AM$3,0,0,'Données projet'!$E$10+1,1))-AVERAGE(OFFSET($H$3,0,0,'Données projet'!$E$10+1,1))</f>
        <v>436.23918637269577</v>
      </c>
      <c r="AO143" s="62">
        <f t="shared" si="144"/>
        <v>611.43967996341894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9.5122819876881676E-2</v>
      </c>
      <c r="AV143" s="23">
        <f>EXP(-LN(2)/25)*AV142+(1-EXP(-LN(2)/25))/(LN(2)/25)*Calculateur!AQ143*Calculateur!AS143*VLOOKUP('Données projet'!$B$10,Paramètres!$A$1:$I$89,3,0)*0.475*44/12</f>
        <v>6.937000055755789E-2</v>
      </c>
      <c r="AW143" s="23">
        <f>EXP(-LN(2)/2)*AW142+(1-EXP(-LN(2)/2))/(LN(2)/2)*AQ143*AT143*VLOOKUP('Données projet'!$B$10,Paramètres!$A$1:$I$89,3,0)*0.475*44/12</f>
        <v>1.6586515678553536E-16</v>
      </c>
      <c r="AX143" s="23">
        <f t="shared" si="114"/>
        <v>0.16449282043443975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4.4337866711430253E-14</v>
      </c>
      <c r="BF143" s="14">
        <f t="shared" si="145"/>
        <v>7.3222115536967035E-13</v>
      </c>
      <c r="BG143" s="22">
        <f t="shared" si="115"/>
        <v>1.3525069634579169E-12</v>
      </c>
      <c r="BH143" s="62">
        <f t="shared" si="116"/>
        <v>293.33333333333468</v>
      </c>
      <c r="BI143" s="62">
        <f ca="1">AVERAGE(OFFSET($BH$3,0,0,'Données projet'!$E$11+1,1))-AVERAGE(OFFSET($H$3,0,0,'Données projet'!$E$11+1,1))</f>
        <v>288.82868507674738</v>
      </c>
      <c r="BJ143" s="62">
        <f t="shared" si="146"/>
        <v>283.48738729114024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projet'!$B$12,Paramètres!$A$1:$I$89,3,0)*VLOOKUP('Données projet'!$B$12,Paramètres!$A$1:$I$89,5,0)</f>
        <v>-1.8089849618263545E-13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298.89893065707554</v>
      </c>
      <c r="CE143" s="62">
        <f t="shared" si="148"/>
        <v>294.28794439094878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-3.4106051316484809E-13</v>
      </c>
      <c r="CU143" s="18">
        <f>CT143*VLOOKUP('Données projet'!$B$13,Paramètres!$A$1:$I$89,3,0)*VLOOKUP('Données projet'!$B$13,Paramètres!$A$1:$I$89,5,0)</f>
        <v>-2.5006556825246659E-13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376.5422416541544</v>
      </c>
      <c r="CZ143" s="62">
        <f t="shared" si="150"/>
        <v>365.76175372075869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0.90762175735881079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0.90762175735881079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439.06700232017681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2.0572770154103635E-13</v>
      </c>
      <c r="AK144" s="14">
        <f t="shared" si="143"/>
        <v>2.8416956338469711E-12</v>
      </c>
      <c r="AL144" s="22">
        <f t="shared" si="112"/>
        <v>5.3075956424674458E-12</v>
      </c>
      <c r="AM144" s="62">
        <f t="shared" si="113"/>
        <v>293.3333333333386</v>
      </c>
      <c r="AN144" s="62">
        <f ca="1">AVERAGE(OFFSET($AM$3,0,0,'Données projet'!$E$10+1,1))-AVERAGE(OFFSET($H$3,0,0,'Données projet'!$E$10+1,1))</f>
        <v>436.23918637269577</v>
      </c>
      <c r="AO144" s="62">
        <f t="shared" si="144"/>
        <v>611.43967996341894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9.3257519398287234E-2</v>
      </c>
      <c r="AV144" s="23">
        <f>EXP(-LN(2)/25)*AV143+(1-EXP(-LN(2)/25))/(LN(2)/25)*Calculateur!AQ144*Calculateur!AS144*VLOOKUP('Données projet'!$B$10,Paramètres!$A$1:$I$89,3,0)*0.475*44/12</f>
        <v>6.7473074244301684E-2</v>
      </c>
      <c r="AW144" s="23">
        <f>EXP(-LN(2)/2)*AW143+(1-EXP(-LN(2)/2))/(LN(2)/2)*AQ144*AT144*VLOOKUP('Données projet'!$B$10,Paramètres!$A$1:$I$89,3,0)*0.475*44/12</f>
        <v>1.1728437712562195E-16</v>
      </c>
      <c r="AX144" s="23">
        <f t="shared" si="114"/>
        <v>0.16073059364258901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4.4337866711430253E-14</v>
      </c>
      <c r="BF144" s="14">
        <f t="shared" si="145"/>
        <v>7.3222115536967035E-13</v>
      </c>
      <c r="BG144" s="22">
        <f t="shared" si="115"/>
        <v>1.3525069634579169E-12</v>
      </c>
      <c r="BH144" s="62">
        <f t="shared" si="116"/>
        <v>293.33333333333468</v>
      </c>
      <c r="BI144" s="62">
        <f ca="1">AVERAGE(OFFSET($BH$3,0,0,'Données projet'!$E$11+1,1))-AVERAGE(OFFSET($H$3,0,0,'Données projet'!$E$11+1,1))</f>
        <v>288.82868507674738</v>
      </c>
      <c r="BJ144" s="62">
        <f t="shared" si="146"/>
        <v>283.48738729114024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projet'!$B$12,Paramètres!$A$1:$I$89,3,0)*VLOOKUP('Données projet'!$B$12,Paramètres!$A$1:$I$89,5,0)</f>
        <v>-1.8089849618263545E-13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298.89893065707554</v>
      </c>
      <c r="CE144" s="62">
        <f t="shared" si="148"/>
        <v>294.28794439094878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-3.4106051316484809E-13</v>
      </c>
      <c r="CU144" s="18">
        <f>CT144*VLOOKUP('Données projet'!$B$13,Paramètres!$A$1:$I$89,3,0)*VLOOKUP('Données projet'!$B$13,Paramètres!$A$1:$I$89,5,0)</f>
        <v>-2.5006556825246659E-13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376.5422416541544</v>
      </c>
      <c r="CZ144" s="62">
        <f t="shared" si="150"/>
        <v>365.76175372075869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0.88280279267408024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0.88280279267408024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439.06700232017681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2.0572770154103635E-13</v>
      </c>
      <c r="AK145" s="14">
        <f t="shared" si="143"/>
        <v>2.8416956338469711E-12</v>
      </c>
      <c r="AL145" s="22">
        <f t="shared" si="112"/>
        <v>5.3075956424674458E-12</v>
      </c>
      <c r="AM145" s="62">
        <f t="shared" si="113"/>
        <v>293.3333333333386</v>
      </c>
      <c r="AN145" s="62">
        <f ca="1">AVERAGE(OFFSET($AM$3,0,0,'Données projet'!$E$10+1,1))-AVERAGE(OFFSET($H$3,0,0,'Données projet'!$E$10+1,1))</f>
        <v>436.23918637269577</v>
      </c>
      <c r="AO145" s="62">
        <f t="shared" si="144"/>
        <v>611.43967996341894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9.1428796324357076E-2</v>
      </c>
      <c r="AV145" s="23">
        <f>EXP(-LN(2)/25)*AV144+(1-EXP(-LN(2)/25))/(LN(2)/25)*Calculateur!AQ145*Calculateur!AS145*VLOOKUP('Données projet'!$B$10,Paramètres!$A$1:$I$89,3,0)*0.475*44/12</f>
        <v>6.5628019480836491E-2</v>
      </c>
      <c r="AW145" s="23">
        <f>EXP(-LN(2)/2)*AW144+(1-EXP(-LN(2)/2))/(LN(2)/2)*AQ145*AT145*VLOOKUP('Données projet'!$B$10,Paramètres!$A$1:$I$89,3,0)*0.475*44/12</f>
        <v>8.2932578392767682E-17</v>
      </c>
      <c r="AX145" s="23">
        <f t="shared" si="114"/>
        <v>0.15705681580519365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4.4337866711430253E-14</v>
      </c>
      <c r="BF145" s="14">
        <f t="shared" si="145"/>
        <v>7.3222115536967035E-13</v>
      </c>
      <c r="BG145" s="22">
        <f t="shared" si="115"/>
        <v>1.3525069634579169E-12</v>
      </c>
      <c r="BH145" s="62">
        <f t="shared" si="116"/>
        <v>293.33333333333468</v>
      </c>
      <c r="BI145" s="62">
        <f ca="1">AVERAGE(OFFSET($BH$3,0,0,'Données projet'!$E$11+1,1))-AVERAGE(OFFSET($H$3,0,0,'Données projet'!$E$11+1,1))</f>
        <v>288.82868507674738</v>
      </c>
      <c r="BJ145" s="62">
        <f t="shared" si="146"/>
        <v>283.48738729114024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projet'!$B$12,Paramètres!$A$1:$I$89,3,0)*VLOOKUP('Données projet'!$B$12,Paramètres!$A$1:$I$89,5,0)</f>
        <v>-1.8089849618263545E-13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298.89893065707554</v>
      </c>
      <c r="CE145" s="62">
        <f t="shared" si="148"/>
        <v>294.28794439094878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-3.4106051316484809E-13</v>
      </c>
      <c r="CU145" s="18">
        <f>CT145*VLOOKUP('Données projet'!$B$13,Paramètres!$A$1:$I$89,3,0)*VLOOKUP('Données projet'!$B$13,Paramètres!$A$1:$I$89,5,0)</f>
        <v>-2.5006556825246659E-13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376.5422416541544</v>
      </c>
      <c r="CZ145" s="62">
        <f t="shared" si="150"/>
        <v>365.76175372075869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0.85866250388382637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0.85866250388382637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439.06700232017681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2.0572770154103635E-13</v>
      </c>
      <c r="AK146" s="14">
        <f t="shared" si="143"/>
        <v>2.8416956338469711E-12</v>
      </c>
      <c r="AL146" s="22">
        <f t="shared" si="112"/>
        <v>5.3075956424674458E-12</v>
      </c>
      <c r="AM146" s="62">
        <f t="shared" si="113"/>
        <v>293.3333333333386</v>
      </c>
      <c r="AN146" s="62">
        <f ca="1">AVERAGE(OFFSET($AM$3,0,0,'Données projet'!$E$10+1,1))-AVERAGE(OFFSET($H$3,0,0,'Données projet'!$E$10+1,1))</f>
        <v>436.23918637269577</v>
      </c>
      <c r="AO146" s="62">
        <f t="shared" si="144"/>
        <v>611.43967996341894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8.9635933394495756E-2</v>
      </c>
      <c r="AV146" s="23">
        <f>EXP(-LN(2)/25)*AV145+(1-EXP(-LN(2)/25))/(LN(2)/25)*Calculateur!AQ146*Calculateur!AS146*VLOOKUP('Données projet'!$B$10,Paramètres!$A$1:$I$89,3,0)*0.475*44/12</f>
        <v>6.3833417836905465E-2</v>
      </c>
      <c r="AW146" s="23">
        <f>EXP(-LN(2)/2)*AW145+(1-EXP(-LN(2)/2))/(LN(2)/2)*AQ146*AT146*VLOOKUP('Données projet'!$B$10,Paramètres!$A$1:$I$89,3,0)*0.475*44/12</f>
        <v>5.8642188562810977E-17</v>
      </c>
      <c r="AX146" s="23">
        <f t="shared" si="114"/>
        <v>0.15346935123140126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4.4337866711430253E-14</v>
      </c>
      <c r="BF146" s="14">
        <f t="shared" si="145"/>
        <v>7.3222115536967035E-13</v>
      </c>
      <c r="BG146" s="22">
        <f t="shared" si="115"/>
        <v>1.3525069634579169E-12</v>
      </c>
      <c r="BH146" s="62">
        <f t="shared" si="116"/>
        <v>293.33333333333468</v>
      </c>
      <c r="BI146" s="62">
        <f ca="1">AVERAGE(OFFSET($BH$3,0,0,'Données projet'!$E$11+1,1))-AVERAGE(OFFSET($H$3,0,0,'Données projet'!$E$11+1,1))</f>
        <v>288.82868507674738</v>
      </c>
      <c r="BJ146" s="62">
        <f t="shared" si="146"/>
        <v>283.48738729114024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projet'!$B$12,Paramètres!$A$1:$I$89,3,0)*VLOOKUP('Données projet'!$B$12,Paramètres!$A$1:$I$89,5,0)</f>
        <v>-1.8089849618263545E-13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298.89893065707554</v>
      </c>
      <c r="CE146" s="62">
        <f t="shared" si="148"/>
        <v>294.28794439094878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-3.4106051316484809E-13</v>
      </c>
      <c r="CU146" s="18">
        <f>CT146*VLOOKUP('Données projet'!$B$13,Paramètres!$A$1:$I$89,3,0)*VLOOKUP('Données projet'!$B$13,Paramètres!$A$1:$I$89,5,0)</f>
        <v>-2.5006556825246659E-13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376.5422416541544</v>
      </c>
      <c r="CZ146" s="62">
        <f t="shared" si="150"/>
        <v>365.76175372075869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0.83518233256002461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0.83518233256002461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439.06700232017681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2.0572770154103635E-13</v>
      </c>
      <c r="AK147" s="14">
        <f t="shared" si="143"/>
        <v>2.8416956338469711E-12</v>
      </c>
      <c r="AL147" s="22">
        <f t="shared" si="112"/>
        <v>5.3075956424674458E-12</v>
      </c>
      <c r="AM147" s="62">
        <f t="shared" si="113"/>
        <v>293.3333333333386</v>
      </c>
      <c r="AN147" s="62">
        <f ca="1">AVERAGE(OFFSET($AM$3,0,0,'Données projet'!$E$10+1,1))-AVERAGE(OFFSET($H$3,0,0,'Données projet'!$E$10+1,1))</f>
        <v>436.23918637269577</v>
      </c>
      <c r="AO147" s="62">
        <f t="shared" si="144"/>
        <v>611.43967996341894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8.78782274131506E-2</v>
      </c>
      <c r="AV147" s="23">
        <f>EXP(-LN(2)/25)*AV146+(1-EXP(-LN(2)/25))/(LN(2)/25)*Calculateur!AQ147*Calculateur!AS147*VLOOKUP('Données projet'!$B$10,Paramètres!$A$1:$I$89,3,0)*0.475*44/12</f>
        <v>6.2087889669301732E-2</v>
      </c>
      <c r="AW147" s="23">
        <f>EXP(-LN(2)/2)*AW146+(1-EXP(-LN(2)/2))/(LN(2)/2)*AQ147*AT147*VLOOKUP('Données projet'!$B$10,Paramètres!$A$1:$I$89,3,0)*0.475*44/12</f>
        <v>4.1466289196383841E-17</v>
      </c>
      <c r="AX147" s="23">
        <f t="shared" si="114"/>
        <v>0.14996611708245236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4.4337866711430253E-14</v>
      </c>
      <c r="BF147" s="14">
        <f t="shared" si="145"/>
        <v>7.3222115536967035E-13</v>
      </c>
      <c r="BG147" s="22">
        <f t="shared" si="115"/>
        <v>1.3525069634579169E-12</v>
      </c>
      <c r="BH147" s="62">
        <f t="shared" si="116"/>
        <v>293.33333333333468</v>
      </c>
      <c r="BI147" s="62">
        <f ca="1">AVERAGE(OFFSET($BH$3,0,0,'Données projet'!$E$11+1,1))-AVERAGE(OFFSET($H$3,0,0,'Données projet'!$E$11+1,1))</f>
        <v>288.82868507674738</v>
      </c>
      <c r="BJ147" s="62">
        <f t="shared" si="146"/>
        <v>283.48738729114024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projet'!$B$12,Paramètres!$A$1:$I$89,3,0)*VLOOKUP('Données projet'!$B$12,Paramètres!$A$1:$I$89,5,0)</f>
        <v>-1.8089849618263545E-13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298.89893065707554</v>
      </c>
      <c r="CE147" s="62">
        <f t="shared" si="148"/>
        <v>294.28794439094878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-3.4106051316484809E-13</v>
      </c>
      <c r="CU147" s="18">
        <f>CT147*VLOOKUP('Données projet'!$B$13,Paramètres!$A$1:$I$89,3,0)*VLOOKUP('Données projet'!$B$13,Paramètres!$A$1:$I$89,5,0)</f>
        <v>-2.5006556825246659E-13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376.5422416541544</v>
      </c>
      <c r="CZ147" s="62">
        <f t="shared" si="150"/>
        <v>365.76175372075869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0.8123442277558407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0.8123442277558407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439.06700232017681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2.0572770154103635E-13</v>
      </c>
      <c r="AK148" s="14">
        <f t="shared" si="143"/>
        <v>2.8416956338469711E-12</v>
      </c>
      <c r="AL148" s="22">
        <f t="shared" si="112"/>
        <v>5.3075956424674458E-12</v>
      </c>
      <c r="AM148" s="62">
        <f t="shared" si="113"/>
        <v>293.3333333333386</v>
      </c>
      <c r="AN148" s="62">
        <f ca="1">AVERAGE(OFFSET($AM$3,0,0,'Données projet'!$E$10+1,1))-AVERAGE(OFFSET($H$3,0,0,'Données projet'!$E$10+1,1))</f>
        <v>436.23918637269577</v>
      </c>
      <c r="AO148" s="62">
        <f t="shared" si="144"/>
        <v>611.43967996341894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8.6154988974004837E-2</v>
      </c>
      <c r="AV148" s="23">
        <f>EXP(-LN(2)/25)*AV147+(1-EXP(-LN(2)/25))/(LN(2)/25)*Calculateur!AQ148*Calculateur!AS148*VLOOKUP('Données projet'!$B$10,Paramètres!$A$1:$I$89,3,0)*0.475*44/12</f>
        <v>6.0390093061234461E-2</v>
      </c>
      <c r="AW148" s="23">
        <f>EXP(-LN(2)/2)*AW147+(1-EXP(-LN(2)/2))/(LN(2)/2)*AQ148*AT148*VLOOKUP('Données projet'!$B$10,Paramètres!$A$1:$I$89,3,0)*0.475*44/12</f>
        <v>2.9321094281405488E-17</v>
      </c>
      <c r="AX148" s="23">
        <f t="shared" si="114"/>
        <v>0.14654508203523933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4.4337866711430253E-14</v>
      </c>
      <c r="BF148" s="14">
        <f t="shared" si="145"/>
        <v>7.3222115536967035E-13</v>
      </c>
      <c r="BG148" s="22">
        <f t="shared" si="115"/>
        <v>1.3525069634579169E-12</v>
      </c>
      <c r="BH148" s="62">
        <f t="shared" si="116"/>
        <v>293.33333333333468</v>
      </c>
      <c r="BI148" s="62">
        <f ca="1">AVERAGE(OFFSET($BH$3,0,0,'Données projet'!$E$11+1,1))-AVERAGE(OFFSET($H$3,0,0,'Données projet'!$E$11+1,1))</f>
        <v>288.82868507674738</v>
      </c>
      <c r="BJ148" s="62">
        <f t="shared" si="146"/>
        <v>283.48738729114024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projet'!$B$12,Paramètres!$A$1:$I$89,3,0)*VLOOKUP('Données projet'!$B$12,Paramètres!$A$1:$I$89,5,0)</f>
        <v>-1.8089849618263545E-13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298.89893065707554</v>
      </c>
      <c r="CE148" s="62">
        <f t="shared" si="148"/>
        <v>294.28794439094878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-3.4106051316484809E-13</v>
      </c>
      <c r="CU148" s="18">
        <f>CT148*VLOOKUP('Données projet'!$B$13,Paramètres!$A$1:$I$89,3,0)*VLOOKUP('Données projet'!$B$13,Paramètres!$A$1:$I$89,5,0)</f>
        <v>-2.5006556825246659E-13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376.5422416541544</v>
      </c>
      <c r="CZ148" s="62">
        <f t="shared" si="150"/>
        <v>365.76175372075869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0.79013063212853096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0.79013063212853096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439.06700232017681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2.0572770154103635E-13</v>
      </c>
      <c r="AK149" s="14">
        <f t="shared" si="143"/>
        <v>2.8416956338469711E-12</v>
      </c>
      <c r="AL149" s="22">
        <f t="shared" si="112"/>
        <v>5.3075956424674458E-12</v>
      </c>
      <c r="AM149" s="62">
        <f t="shared" si="113"/>
        <v>293.3333333333386</v>
      </c>
      <c r="AN149" s="62">
        <f ca="1">AVERAGE(OFFSET($AM$3,0,0,'Données projet'!$E$10+1,1))-AVERAGE(OFFSET($H$3,0,0,'Données projet'!$E$10+1,1))</f>
        <v>436.23918637269577</v>
      </c>
      <c r="AO149" s="62">
        <f t="shared" si="144"/>
        <v>611.43967996341894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8.4465542189579065E-2</v>
      </c>
      <c r="AV149" s="23">
        <f>EXP(-LN(2)/25)*AV148+(1-EXP(-LN(2)/25))/(LN(2)/25)*Calculateur!AQ149*Calculateur!AS149*VLOOKUP('Données projet'!$B$10,Paramètres!$A$1:$I$89,3,0)*0.475*44/12</f>
        <v>5.8738722790698035E-2</v>
      </c>
      <c r="AW149" s="23">
        <f>EXP(-LN(2)/2)*AW148+(1-EXP(-LN(2)/2))/(LN(2)/2)*AQ149*AT149*VLOOKUP('Données projet'!$B$10,Paramètres!$A$1:$I$89,3,0)*0.475*44/12</f>
        <v>2.0733144598191921E-17</v>
      </c>
      <c r="AX149" s="23">
        <f t="shared" si="114"/>
        <v>0.14320426498027714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4.4337866711430253E-14</v>
      </c>
      <c r="BF149" s="14">
        <f t="shared" si="145"/>
        <v>7.3222115536967035E-13</v>
      </c>
      <c r="BG149" s="22">
        <f t="shared" si="115"/>
        <v>1.3525069634579169E-12</v>
      </c>
      <c r="BH149" s="62">
        <f t="shared" si="116"/>
        <v>293.33333333333468</v>
      </c>
      <c r="BI149" s="62">
        <f ca="1">AVERAGE(OFFSET($BH$3,0,0,'Données projet'!$E$11+1,1))-AVERAGE(OFFSET($H$3,0,0,'Données projet'!$E$11+1,1))</f>
        <v>288.82868507674738</v>
      </c>
      <c r="BJ149" s="62">
        <f t="shared" si="146"/>
        <v>283.48738729114024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projet'!$B$12,Paramètres!$A$1:$I$89,3,0)*VLOOKUP('Données projet'!$B$12,Paramètres!$A$1:$I$89,5,0)</f>
        <v>-1.8089849618263545E-13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298.89893065707554</v>
      </c>
      <c r="CE149" s="62">
        <f t="shared" si="148"/>
        <v>294.28794439094878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-3.4106051316484809E-13</v>
      </c>
      <c r="CU149" s="18">
        <f>CT149*VLOOKUP('Données projet'!$B$13,Paramètres!$A$1:$I$89,3,0)*VLOOKUP('Données projet'!$B$13,Paramètres!$A$1:$I$89,5,0)</f>
        <v>-2.5006556825246659E-13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376.5422416541544</v>
      </c>
      <c r="CZ149" s="62">
        <f t="shared" si="150"/>
        <v>365.76175372075869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0.76852446844181221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0.76852446844181221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439.06700232017681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2.0572770154103635E-13</v>
      </c>
      <c r="AK150" s="14">
        <f t="shared" si="143"/>
        <v>2.8416956338469711E-12</v>
      </c>
      <c r="AL150" s="22">
        <f t="shared" si="112"/>
        <v>5.3075956424674458E-12</v>
      </c>
      <c r="AM150" s="62">
        <f t="shared" si="113"/>
        <v>293.3333333333386</v>
      </c>
      <c r="AN150" s="62">
        <f ca="1">AVERAGE(OFFSET($AM$3,0,0,'Données projet'!$E$10+1,1))-AVERAGE(OFFSET($H$3,0,0,'Données projet'!$E$10+1,1))</f>
        <v>436.23918637269577</v>
      </c>
      <c r="AO150" s="62">
        <f t="shared" si="144"/>
        <v>611.43967996341894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8.2809224426135086E-2</v>
      </c>
      <c r="AV150" s="23">
        <f>EXP(-LN(2)/25)*AV149+(1-EXP(-LN(2)/25))/(LN(2)/25)*Calculateur!AQ150*Calculateur!AS150*VLOOKUP('Données projet'!$B$10,Paramètres!$A$1:$I$89,3,0)*0.475*44/12</f>
        <v>5.7132509327051217E-2</v>
      </c>
      <c r="AW150" s="23">
        <f>EXP(-LN(2)/2)*AW149+(1-EXP(-LN(2)/2))/(LN(2)/2)*AQ150*AT150*VLOOKUP('Données projet'!$B$10,Paramètres!$A$1:$I$89,3,0)*0.475*44/12</f>
        <v>1.4660547140702744E-17</v>
      </c>
      <c r="AX150" s="23">
        <f t="shared" si="114"/>
        <v>0.13994173375318633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4.4337866711430253E-14</v>
      </c>
      <c r="BF150" s="14">
        <f t="shared" si="145"/>
        <v>7.3222115536967035E-13</v>
      </c>
      <c r="BG150" s="22">
        <f t="shared" si="115"/>
        <v>1.3525069634579169E-12</v>
      </c>
      <c r="BH150" s="62">
        <f t="shared" si="116"/>
        <v>293.33333333333468</v>
      </c>
      <c r="BI150" s="62">
        <f ca="1">AVERAGE(OFFSET($BH$3,0,0,'Données projet'!$E$11+1,1))-AVERAGE(OFFSET($H$3,0,0,'Données projet'!$E$11+1,1))</f>
        <v>288.82868507674738</v>
      </c>
      <c r="BJ150" s="62">
        <f t="shared" si="146"/>
        <v>283.48738729114024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projet'!$B$12,Paramètres!$A$1:$I$89,3,0)*VLOOKUP('Données projet'!$B$12,Paramètres!$A$1:$I$89,5,0)</f>
        <v>-1.8089849618263545E-13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298.89893065707554</v>
      </c>
      <c r="CE150" s="62">
        <f t="shared" si="148"/>
        <v>294.28794439094878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-3.4106051316484809E-13</v>
      </c>
      <c r="CU150" s="18">
        <f>CT150*VLOOKUP('Données projet'!$B$13,Paramètres!$A$1:$I$89,3,0)*VLOOKUP('Données projet'!$B$13,Paramètres!$A$1:$I$89,5,0)</f>
        <v>-2.5006556825246659E-13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376.5422416541544</v>
      </c>
      <c r="CZ150" s="62">
        <f t="shared" si="150"/>
        <v>365.76175372075869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0.74750912643732559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0.74750912643732559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439.06700232017681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2.0572770154103635E-13</v>
      </c>
      <c r="AK151" s="14">
        <f t="shared" si="143"/>
        <v>2.8416956338469711E-12</v>
      </c>
      <c r="AL151" s="22">
        <f t="shared" si="112"/>
        <v>5.3075956424674458E-12</v>
      </c>
      <c r="AM151" s="62">
        <f t="shared" si="113"/>
        <v>293.3333333333386</v>
      </c>
      <c r="AN151" s="62">
        <f ca="1">AVERAGE(OFFSET($AM$3,0,0,'Données projet'!$E$10+1,1))-AVERAGE(OFFSET($H$3,0,0,'Données projet'!$E$10+1,1))</f>
        <v>436.23918637269577</v>
      </c>
      <c r="AO151" s="62">
        <f t="shared" si="144"/>
        <v>611.43967996341894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8.118538604377816E-2</v>
      </c>
      <c r="AV151" s="23">
        <f>EXP(-LN(2)/25)*AV150+(1-EXP(-LN(2)/25))/(LN(2)/25)*Calculateur!AQ151*Calculateur!AS151*VLOOKUP('Données projet'!$B$10,Paramètres!$A$1:$I$89,3,0)*0.475*44/12</f>
        <v>5.5570217855034916E-2</v>
      </c>
      <c r="AW151" s="23">
        <f>EXP(-LN(2)/2)*AW150+(1-EXP(-LN(2)/2))/(LN(2)/2)*AQ151*AT151*VLOOKUP('Données projet'!$B$10,Paramètres!$A$1:$I$89,3,0)*0.475*44/12</f>
        <v>1.036657229909596E-17</v>
      </c>
      <c r="AX151" s="23">
        <f t="shared" si="114"/>
        <v>0.13675560389881308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4.4337866711430253E-14</v>
      </c>
      <c r="BF151" s="14">
        <f t="shared" si="145"/>
        <v>7.3222115536967035E-13</v>
      </c>
      <c r="BG151" s="22">
        <f t="shared" si="115"/>
        <v>1.3525069634579169E-12</v>
      </c>
      <c r="BH151" s="62">
        <f t="shared" si="116"/>
        <v>293.33333333333468</v>
      </c>
      <c r="BI151" s="62">
        <f ca="1">AVERAGE(OFFSET($BH$3,0,0,'Données projet'!$E$11+1,1))-AVERAGE(OFFSET($H$3,0,0,'Données projet'!$E$11+1,1))</f>
        <v>288.82868507674738</v>
      </c>
      <c r="BJ151" s="62">
        <f t="shared" si="146"/>
        <v>283.48738729114024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projet'!$B$12,Paramètres!$A$1:$I$89,3,0)*VLOOKUP('Données projet'!$B$12,Paramètres!$A$1:$I$89,5,0)</f>
        <v>-1.8089849618263545E-13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298.89893065707554</v>
      </c>
      <c r="CE151" s="62">
        <f t="shared" si="148"/>
        <v>294.28794439094878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-3.4106051316484809E-13</v>
      </c>
      <c r="CU151" s="18">
        <f>CT151*VLOOKUP('Données projet'!$B$13,Paramètres!$A$1:$I$89,3,0)*VLOOKUP('Données projet'!$B$13,Paramètres!$A$1:$I$89,5,0)</f>
        <v>-2.5006556825246659E-13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376.5422416541544</v>
      </c>
      <c r="CZ151" s="62">
        <f t="shared" si="150"/>
        <v>365.76175372075869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0.72706845006510046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0.72706845006510046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439.06700232017681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2.0572770154103635E-13</v>
      </c>
      <c r="AK152" s="14">
        <f t="shared" si="143"/>
        <v>2.8416956338469711E-12</v>
      </c>
      <c r="AL152" s="22">
        <f t="shared" si="112"/>
        <v>5.3075956424674458E-12</v>
      </c>
      <c r="AM152" s="62">
        <f t="shared" si="113"/>
        <v>293.3333333333386</v>
      </c>
      <c r="AN152" s="62">
        <f ca="1">AVERAGE(OFFSET($AM$3,0,0,'Données projet'!$E$10+1,1))-AVERAGE(OFFSET($H$3,0,0,'Données projet'!$E$10+1,1))</f>
        <v>436.23918637269577</v>
      </c>
      <c r="AO152" s="62">
        <f t="shared" si="144"/>
        <v>611.43967996341894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7.9593390141655646E-2</v>
      </c>
      <c r="AV152" s="23">
        <f>EXP(-LN(2)/25)*AV151+(1-EXP(-LN(2)/25))/(LN(2)/25)*Calculateur!AQ152*Calculateur!AS152*VLOOKUP('Données projet'!$B$10,Paramètres!$A$1:$I$89,3,0)*0.475*44/12</f>
        <v>5.4050647325478235E-2</v>
      </c>
      <c r="AW152" s="23">
        <f>EXP(-LN(2)/2)*AW151+(1-EXP(-LN(2)/2))/(LN(2)/2)*AQ152*AT152*VLOOKUP('Données projet'!$B$10,Paramètres!$A$1:$I$89,3,0)*0.475*44/12</f>
        <v>7.3302735703513721E-18</v>
      </c>
      <c r="AX152" s="23">
        <f t="shared" si="114"/>
        <v>0.13364403746713388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4.4337866711430253E-14</v>
      </c>
      <c r="BF152" s="14">
        <f t="shared" si="145"/>
        <v>7.3222115536967035E-13</v>
      </c>
      <c r="BG152" s="22">
        <f t="shared" si="115"/>
        <v>1.3525069634579169E-12</v>
      </c>
      <c r="BH152" s="62">
        <f t="shared" si="116"/>
        <v>293.33333333333468</v>
      </c>
      <c r="BI152" s="62">
        <f ca="1">AVERAGE(OFFSET($BH$3,0,0,'Données projet'!$E$11+1,1))-AVERAGE(OFFSET($H$3,0,0,'Données projet'!$E$11+1,1))</f>
        <v>288.82868507674738</v>
      </c>
      <c r="BJ152" s="62">
        <f t="shared" si="146"/>
        <v>283.48738729114024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projet'!$B$12,Paramètres!$A$1:$I$89,3,0)*VLOOKUP('Données projet'!$B$12,Paramètres!$A$1:$I$89,5,0)</f>
        <v>-1.8089849618263545E-13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298.89893065707554</v>
      </c>
      <c r="CE152" s="62">
        <f t="shared" si="148"/>
        <v>294.28794439094878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-3.4106051316484809E-13</v>
      </c>
      <c r="CU152" s="18">
        <f>CT152*VLOOKUP('Données projet'!$B$13,Paramètres!$A$1:$I$89,3,0)*VLOOKUP('Données projet'!$B$13,Paramètres!$A$1:$I$89,5,0)</f>
        <v>-2.5006556825246659E-13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376.5422416541544</v>
      </c>
      <c r="CZ152" s="62">
        <f t="shared" si="150"/>
        <v>365.76175372075869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0.70718672506320224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0.70718672506320224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439.06700232017681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2.0572770154103635E-13</v>
      </c>
      <c r="AK153" s="14">
        <f t="shared" si="143"/>
        <v>2.8416956338469711E-12</v>
      </c>
      <c r="AL153" s="22">
        <f t="shared" si="112"/>
        <v>5.3075956424674458E-12</v>
      </c>
      <c r="AM153" s="62">
        <f t="shared" si="113"/>
        <v>293.3333333333386</v>
      </c>
      <c r="AN153" s="62">
        <f ca="1">AVERAGE(OFFSET($AM$3,0,0,'Données projet'!$E$10+1,1))-AVERAGE(OFFSET($H$3,0,0,'Données projet'!$E$10+1,1))</f>
        <v>436.23918637269577</v>
      </c>
      <c r="AO153" s="62">
        <f t="shared" si="144"/>
        <v>611.43967996341894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7.803261230815213E-2</v>
      </c>
      <c r="AV153" s="23">
        <f>EXP(-LN(2)/25)*AV152+(1-EXP(-LN(2)/25))/(LN(2)/25)*Calculateur!AQ153*Calculateur!AS153*VLOOKUP('Données projet'!$B$10,Paramètres!$A$1:$I$89,3,0)*0.475*44/12</f>
        <v>5.2572629531963025E-2</v>
      </c>
      <c r="AW153" s="23">
        <f>EXP(-LN(2)/2)*AW152+(1-EXP(-LN(2)/2))/(LN(2)/2)*AQ153*AT153*VLOOKUP('Données projet'!$B$10,Paramètres!$A$1:$I$89,3,0)*0.475*44/12</f>
        <v>5.1832861495479801E-18</v>
      </c>
      <c r="AX153" s="23">
        <f t="shared" si="114"/>
        <v>0.13060524184011515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4.4337866711430253E-14</v>
      </c>
      <c r="BF153" s="14">
        <f t="shared" si="145"/>
        <v>7.3222115536967035E-13</v>
      </c>
      <c r="BG153" s="22">
        <f t="shared" si="115"/>
        <v>1.3525069634579169E-12</v>
      </c>
      <c r="BH153" s="62">
        <f t="shared" si="116"/>
        <v>293.33333333333468</v>
      </c>
      <c r="BI153" s="62">
        <f ca="1">AVERAGE(OFFSET($BH$3,0,0,'Données projet'!$E$11+1,1))-AVERAGE(OFFSET($H$3,0,0,'Données projet'!$E$11+1,1))</f>
        <v>288.82868507674738</v>
      </c>
      <c r="BJ153" s="62">
        <f t="shared" si="146"/>
        <v>283.48738729114024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projet'!$B$12,Paramètres!$A$1:$I$89,3,0)*VLOOKUP('Données projet'!$B$12,Paramètres!$A$1:$I$89,5,0)</f>
        <v>-1.8089849618263545E-13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298.89893065707554</v>
      </c>
      <c r="CE153" s="62">
        <f t="shared" si="148"/>
        <v>294.28794439094878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-3.4106051316484809E-13</v>
      </c>
      <c r="CU153" s="18">
        <f>CT153*VLOOKUP('Données projet'!$B$13,Paramètres!$A$1:$I$89,3,0)*VLOOKUP('Données projet'!$B$13,Paramètres!$A$1:$I$89,5,0)</f>
        <v>-2.5006556825246659E-13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376.5422416541544</v>
      </c>
      <c r="CZ153" s="62">
        <f t="shared" si="150"/>
        <v>365.76175372075869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0.6878486668770154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0.6878486668770154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439.06700232017681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2.0572770154103635E-13</v>
      </c>
      <c r="AK154" s="14">
        <f t="shared" ref="AK154:AK203" si="164">EXP(-1.0587+0.8836*LN(AJ154)+0.284)</f>
        <v>2.8416956338469711E-12</v>
      </c>
      <c r="AL154" s="22">
        <f t="shared" ref="AL154:AL203" si="165">(AJ154+AK154)*0.475*44/12</f>
        <v>5.3075956424674458E-12</v>
      </c>
      <c r="AM154" s="62">
        <f t="shared" si="113"/>
        <v>293.3333333333386</v>
      </c>
      <c r="AN154" s="62">
        <f ca="1">AVERAGE(OFFSET($AM$3,0,0,'Données projet'!$E$10+1,1))-AVERAGE(OFFSET($H$3,0,0,'Données projet'!$E$10+1,1))</f>
        <v>436.23918637269577</v>
      </c>
      <c r="AO154" s="62">
        <f t="shared" si="144"/>
        <v>611.43967996341894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7.6502440375983138E-2</v>
      </c>
      <c r="AV154" s="23">
        <f>EXP(-LN(2)/25)*AV153+(1-EXP(-LN(2)/25))/(LN(2)/25)*Calculateur!AQ154*Calculateur!AS154*VLOOKUP('Données projet'!$B$10,Paramètres!$A$1:$I$89,3,0)*0.475*44/12</f>
        <v>5.1135028212737063E-2</v>
      </c>
      <c r="AW154" s="23">
        <f>EXP(-LN(2)/2)*AW153+(1-EXP(-LN(2)/2))/(LN(2)/2)*AQ154*AT154*VLOOKUP('Données projet'!$B$10,Paramètres!$A$1:$I$89,3,0)*0.475*44/12</f>
        <v>3.665136785175686E-18</v>
      </c>
      <c r="AX154" s="23">
        <f t="shared" ref="AX154:AX203" si="166">SUM(AU154:AW154)</f>
        <v>0.12763746858872022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4.4337866711430253E-14</v>
      </c>
      <c r="BF154" s="14">
        <f t="shared" ref="BF154:BF203" si="167">EXP(-1.0587+0.8836*LN(BE154)+0.284)</f>
        <v>7.3222115536967035E-13</v>
      </c>
      <c r="BG154" s="22">
        <f t="shared" ref="BG154:BG203" si="168">(BE154+BF154)*0.475*44/12</f>
        <v>1.3525069634579169E-12</v>
      </c>
      <c r="BH154" s="62">
        <f t="shared" si="116"/>
        <v>293.33333333333468</v>
      </c>
      <c r="BI154" s="62">
        <f ca="1">AVERAGE(OFFSET($BH$3,0,0,'Données projet'!$E$11+1,1))-AVERAGE(OFFSET($H$3,0,0,'Données projet'!$E$11+1,1))</f>
        <v>288.82868507674738</v>
      </c>
      <c r="BJ154" s="62">
        <f t="shared" si="146"/>
        <v>283.48738729114024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projet'!$B$12,Paramètres!$A$1:$I$89,3,0)*VLOOKUP('Données projet'!$B$12,Paramètres!$A$1:$I$89,5,0)</f>
        <v>-1.8089849618263545E-13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298.89893065707554</v>
      </c>
      <c r="CE154" s="62">
        <f t="shared" si="148"/>
        <v>294.28794439094878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-3.4106051316484809E-13</v>
      </c>
      <c r="CU154" s="18">
        <f>CT154*VLOOKUP('Données projet'!$B$13,Paramètres!$A$1:$I$89,3,0)*VLOOKUP('Données projet'!$B$13,Paramètres!$A$1:$I$89,5,0)</f>
        <v>-2.5006556825246659E-13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376.5422416541544</v>
      </c>
      <c r="CZ154" s="62">
        <f t="shared" si="150"/>
        <v>365.76175372075869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0.66903940890887414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0.66903940890887414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439.06700232017681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2.0572770154103635E-13</v>
      </c>
      <c r="AK155" s="14">
        <f t="shared" si="164"/>
        <v>2.8416956338469711E-12</v>
      </c>
      <c r="AL155" s="22">
        <f t="shared" si="165"/>
        <v>5.3075956424674458E-12</v>
      </c>
      <c r="AM155" s="62">
        <f t="shared" si="113"/>
        <v>293.3333333333386</v>
      </c>
      <c r="AN155" s="62">
        <f ca="1">AVERAGE(OFFSET($AM$3,0,0,'Données projet'!$E$10+1,1))-AVERAGE(OFFSET($H$3,0,0,'Données projet'!$E$10+1,1))</f>
        <v>436.23918637269577</v>
      </c>
      <c r="AO155" s="62">
        <f t="shared" si="144"/>
        <v>611.43967996341894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7.5002274182091266E-2</v>
      </c>
      <c r="AV155" s="23">
        <f>EXP(-LN(2)/25)*AV154+(1-EXP(-LN(2)/25))/(LN(2)/25)*Calculateur!AQ155*Calculateur!AS155*VLOOKUP('Données projet'!$B$10,Paramètres!$A$1:$I$89,3,0)*0.475*44/12</f>
        <v>4.9736738177185505E-2</v>
      </c>
      <c r="AW155" s="23">
        <f>EXP(-LN(2)/2)*AW154+(1-EXP(-LN(2)/2))/(LN(2)/2)*AQ155*AT155*VLOOKUP('Données projet'!$B$10,Paramètres!$A$1:$I$89,3,0)*0.475*44/12</f>
        <v>2.5916430747739901E-18</v>
      </c>
      <c r="AX155" s="23">
        <f t="shared" si="166"/>
        <v>0.12473901235927677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4.4337866711430253E-14</v>
      </c>
      <c r="BF155" s="14">
        <f t="shared" si="167"/>
        <v>7.3222115536967035E-13</v>
      </c>
      <c r="BG155" s="22">
        <f t="shared" si="168"/>
        <v>1.3525069634579169E-12</v>
      </c>
      <c r="BH155" s="62">
        <f t="shared" si="116"/>
        <v>293.33333333333468</v>
      </c>
      <c r="BI155" s="62">
        <f ca="1">AVERAGE(OFFSET($BH$3,0,0,'Données projet'!$E$11+1,1))-AVERAGE(OFFSET($H$3,0,0,'Données projet'!$E$11+1,1))</f>
        <v>288.82868507674738</v>
      </c>
      <c r="BJ155" s="62">
        <f t="shared" si="146"/>
        <v>283.48738729114024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projet'!$B$12,Paramètres!$A$1:$I$89,3,0)*VLOOKUP('Données projet'!$B$12,Paramètres!$A$1:$I$89,5,0)</f>
        <v>-1.8089849618263545E-13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298.89893065707554</v>
      </c>
      <c r="CE155" s="62">
        <f t="shared" si="148"/>
        <v>294.28794439094878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-3.4106051316484809E-13</v>
      </c>
      <c r="CU155" s="18">
        <f>CT155*VLOOKUP('Données projet'!$B$13,Paramètres!$A$1:$I$89,3,0)*VLOOKUP('Données projet'!$B$13,Paramètres!$A$1:$I$89,5,0)</f>
        <v>-2.5006556825246659E-13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376.5422416541544</v>
      </c>
      <c r="CZ155" s="62">
        <f t="shared" si="150"/>
        <v>365.76175372075869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0.65074449108900756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0.65074449108900756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439.06700232017681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2.0572770154103635E-13</v>
      </c>
      <c r="AK156" s="14">
        <f t="shared" si="164"/>
        <v>2.8416956338469711E-12</v>
      </c>
      <c r="AL156" s="22">
        <f t="shared" si="165"/>
        <v>5.3075956424674458E-12</v>
      </c>
      <c r="AM156" s="62">
        <f t="shared" si="113"/>
        <v>293.3333333333386</v>
      </c>
      <c r="AN156" s="62">
        <f ca="1">AVERAGE(OFFSET($AM$3,0,0,'Données projet'!$E$10+1,1))-AVERAGE(OFFSET($H$3,0,0,'Données projet'!$E$10+1,1))</f>
        <v>436.23918637269577</v>
      </c>
      <c r="AO156" s="62">
        <f t="shared" si="144"/>
        <v>611.43967996341894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7.3531525332250575E-2</v>
      </c>
      <c r="AV156" s="23">
        <f>EXP(-LN(2)/25)*AV155+(1-EXP(-LN(2)/25))/(LN(2)/25)*Calculateur!AQ156*Calculateur!AS156*VLOOKUP('Données projet'!$B$10,Paramètres!$A$1:$I$89,3,0)*0.475*44/12</f>
        <v>4.8376684456188979E-2</v>
      </c>
      <c r="AW156" s="23">
        <f>EXP(-LN(2)/2)*AW155+(1-EXP(-LN(2)/2))/(LN(2)/2)*AQ156*AT156*VLOOKUP('Données projet'!$B$10,Paramètres!$A$1:$I$89,3,0)*0.475*44/12</f>
        <v>1.832568392587843E-18</v>
      </c>
      <c r="AX156" s="23">
        <f t="shared" si="166"/>
        <v>0.12190820978843955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4.4337866711430253E-14</v>
      </c>
      <c r="BF156" s="14">
        <f t="shared" si="167"/>
        <v>7.3222115536967035E-13</v>
      </c>
      <c r="BG156" s="22">
        <f t="shared" si="168"/>
        <v>1.3525069634579169E-12</v>
      </c>
      <c r="BH156" s="62">
        <f t="shared" si="116"/>
        <v>293.33333333333468</v>
      </c>
      <c r="BI156" s="62">
        <f ca="1">AVERAGE(OFFSET($BH$3,0,0,'Données projet'!$E$11+1,1))-AVERAGE(OFFSET($H$3,0,0,'Données projet'!$E$11+1,1))</f>
        <v>288.82868507674738</v>
      </c>
      <c r="BJ156" s="62">
        <f t="shared" si="146"/>
        <v>283.48738729114024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projet'!$B$12,Paramètres!$A$1:$I$89,3,0)*VLOOKUP('Données projet'!$B$12,Paramètres!$A$1:$I$89,5,0)</f>
        <v>-1.8089849618263545E-13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298.89893065707554</v>
      </c>
      <c r="CE156" s="62">
        <f t="shared" si="148"/>
        <v>294.28794439094878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-3.4106051316484809E-13</v>
      </c>
      <c r="CU156" s="18">
        <f>CT156*VLOOKUP('Données projet'!$B$13,Paramètres!$A$1:$I$89,3,0)*VLOOKUP('Données projet'!$B$13,Paramètres!$A$1:$I$89,5,0)</f>
        <v>-2.5006556825246659E-13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376.5422416541544</v>
      </c>
      <c r="CZ156" s="62">
        <f t="shared" si="150"/>
        <v>365.76175372075869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0.63294984875901317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0.63294984875901317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439.06700232017681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2.0572770154103635E-13</v>
      </c>
      <c r="AK157" s="14">
        <f t="shared" si="164"/>
        <v>2.8416956338469711E-12</v>
      </c>
      <c r="AL157" s="22">
        <f t="shared" si="165"/>
        <v>5.3075956424674458E-12</v>
      </c>
      <c r="AM157" s="62">
        <f t="shared" si="113"/>
        <v>293.3333333333386</v>
      </c>
      <c r="AN157" s="62">
        <f ca="1">AVERAGE(OFFSET($AM$3,0,0,'Données projet'!$E$10+1,1))-AVERAGE(OFFSET($H$3,0,0,'Données projet'!$E$10+1,1))</f>
        <v>436.23918637269577</v>
      </c>
      <c r="AO157" s="62">
        <f t="shared" si="144"/>
        <v>611.43967996341894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7.208961697028704E-2</v>
      </c>
      <c r="AV157" s="23">
        <f>EXP(-LN(2)/25)*AV156+(1-EXP(-LN(2)/25))/(LN(2)/25)*Calculateur!AQ157*Calculateur!AS157*VLOOKUP('Données projet'!$B$10,Paramètres!$A$1:$I$89,3,0)*0.475*44/12</f>
        <v>4.705382147571522E-2</v>
      </c>
      <c r="AW157" s="23">
        <f>EXP(-LN(2)/2)*AW156+(1-EXP(-LN(2)/2))/(LN(2)/2)*AQ157*AT157*VLOOKUP('Données projet'!$B$10,Paramètres!$A$1:$I$89,3,0)*0.475*44/12</f>
        <v>1.295821537386995E-18</v>
      </c>
      <c r="AX157" s="23">
        <f t="shared" si="166"/>
        <v>0.11914343844600225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4.4337866711430253E-14</v>
      </c>
      <c r="BF157" s="14">
        <f t="shared" si="167"/>
        <v>7.3222115536967035E-13</v>
      </c>
      <c r="BG157" s="22">
        <f t="shared" si="168"/>
        <v>1.3525069634579169E-12</v>
      </c>
      <c r="BH157" s="62">
        <f t="shared" si="116"/>
        <v>293.33333333333468</v>
      </c>
      <c r="BI157" s="62">
        <f ca="1">AVERAGE(OFFSET($BH$3,0,0,'Données projet'!$E$11+1,1))-AVERAGE(OFFSET($H$3,0,0,'Données projet'!$E$11+1,1))</f>
        <v>288.82868507674738</v>
      </c>
      <c r="BJ157" s="62">
        <f t="shared" si="146"/>
        <v>283.48738729114024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projet'!$B$12,Paramètres!$A$1:$I$89,3,0)*VLOOKUP('Données projet'!$B$12,Paramètres!$A$1:$I$89,5,0)</f>
        <v>-1.8089849618263545E-13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298.89893065707554</v>
      </c>
      <c r="CE157" s="62">
        <f t="shared" si="148"/>
        <v>294.28794439094878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-3.4106051316484809E-13</v>
      </c>
      <c r="CU157" s="18">
        <f>CT157*VLOOKUP('Données projet'!$B$13,Paramètres!$A$1:$I$89,3,0)*VLOOKUP('Données projet'!$B$13,Paramètres!$A$1:$I$89,5,0)</f>
        <v>-2.5006556825246659E-13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376.5422416541544</v>
      </c>
      <c r="CZ157" s="62">
        <f t="shared" si="150"/>
        <v>365.76175372075869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0.61564180185931205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0.61564180185931205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439.06700232017681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2.0572770154103635E-13</v>
      </c>
      <c r="AK158" s="14">
        <f t="shared" si="164"/>
        <v>2.8416956338469711E-12</v>
      </c>
      <c r="AL158" s="22">
        <f t="shared" si="165"/>
        <v>5.3075956424674458E-12</v>
      </c>
      <c r="AM158" s="62">
        <f t="shared" si="113"/>
        <v>293.3333333333386</v>
      </c>
      <c r="AN158" s="62">
        <f ca="1">AVERAGE(OFFSET($AM$3,0,0,'Données projet'!$E$10+1,1))-AVERAGE(OFFSET($H$3,0,0,'Données projet'!$E$10+1,1))</f>
        <v>436.23918637269577</v>
      </c>
      <c r="AO158" s="62">
        <f t="shared" si="144"/>
        <v>611.43967996341894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7.0675983551824348E-2</v>
      </c>
      <c r="AV158" s="23">
        <f>EXP(-LN(2)/25)*AV157+(1-EXP(-LN(2)/25))/(LN(2)/25)*Calculateur!AQ158*Calculateur!AS158*VLOOKUP('Données projet'!$B$10,Paramètres!$A$1:$I$89,3,0)*0.475*44/12</f>
        <v>4.5767132253008859E-2</v>
      </c>
      <c r="AW158" s="23">
        <f>EXP(-LN(2)/2)*AW157+(1-EXP(-LN(2)/2))/(LN(2)/2)*AQ158*AT158*VLOOKUP('Données projet'!$B$10,Paramètres!$A$1:$I$89,3,0)*0.475*44/12</f>
        <v>9.1628419629392151E-19</v>
      </c>
      <c r="AX158" s="23">
        <f t="shared" si="166"/>
        <v>0.11644311580483321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4.4337866711430253E-14</v>
      </c>
      <c r="BF158" s="14">
        <f t="shared" si="167"/>
        <v>7.3222115536967035E-13</v>
      </c>
      <c r="BG158" s="22">
        <f t="shared" si="168"/>
        <v>1.3525069634579169E-12</v>
      </c>
      <c r="BH158" s="62">
        <f t="shared" si="116"/>
        <v>293.33333333333468</v>
      </c>
      <c r="BI158" s="62">
        <f ca="1">AVERAGE(OFFSET($BH$3,0,0,'Données projet'!$E$11+1,1))-AVERAGE(OFFSET($H$3,0,0,'Données projet'!$E$11+1,1))</f>
        <v>288.82868507674738</v>
      </c>
      <c r="BJ158" s="62">
        <f t="shared" si="146"/>
        <v>283.48738729114024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projet'!$B$12,Paramètres!$A$1:$I$89,3,0)*VLOOKUP('Données projet'!$B$12,Paramètres!$A$1:$I$89,5,0)</f>
        <v>-1.8089849618263545E-13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298.89893065707554</v>
      </c>
      <c r="CE158" s="62">
        <f t="shared" si="148"/>
        <v>294.28794439094878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-3.4106051316484809E-13</v>
      </c>
      <c r="CU158" s="18">
        <f>CT158*VLOOKUP('Données projet'!$B$13,Paramètres!$A$1:$I$89,3,0)*VLOOKUP('Données projet'!$B$13,Paramètres!$A$1:$I$89,5,0)</f>
        <v>-2.5006556825246659E-13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376.5422416541544</v>
      </c>
      <c r="CZ158" s="62">
        <f t="shared" si="150"/>
        <v>365.76175372075869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0.59880704441227384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0.59880704441227384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439.06700232017681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2.0572770154103635E-13</v>
      </c>
      <c r="AK159" s="14">
        <f t="shared" si="164"/>
        <v>2.8416956338469711E-12</v>
      </c>
      <c r="AL159" s="22">
        <f t="shared" si="165"/>
        <v>5.3075956424674458E-12</v>
      </c>
      <c r="AM159" s="62">
        <f t="shared" si="113"/>
        <v>293.3333333333386</v>
      </c>
      <c r="AN159" s="62">
        <f ca="1">AVERAGE(OFFSET($AM$3,0,0,'Données projet'!$E$10+1,1))-AVERAGE(OFFSET($H$3,0,0,'Données projet'!$E$10+1,1))</f>
        <v>436.23918637269577</v>
      </c>
      <c r="AO159" s="62">
        <f t="shared" si="144"/>
        <v>611.43967996341894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6.9290070622466463E-2</v>
      </c>
      <c r="AV159" s="23">
        <f>EXP(-LN(2)/25)*AV158+(1-EXP(-LN(2)/25))/(LN(2)/25)*Calculateur!AQ159*Calculateur!AS159*VLOOKUP('Données projet'!$B$10,Paramètres!$A$1:$I$89,3,0)*0.475*44/12</f>
        <v>4.4515627614761452E-2</v>
      </c>
      <c r="AW159" s="23">
        <f>EXP(-LN(2)/2)*AW158+(1-EXP(-LN(2)/2))/(LN(2)/2)*AQ159*AT159*VLOOKUP('Données projet'!$B$10,Paramètres!$A$1:$I$89,3,0)*0.475*44/12</f>
        <v>6.4791076869349752E-19</v>
      </c>
      <c r="AX159" s="23">
        <f t="shared" si="166"/>
        <v>0.11380569823722791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4.4337866711430253E-14</v>
      </c>
      <c r="BF159" s="14">
        <f t="shared" si="167"/>
        <v>7.3222115536967035E-13</v>
      </c>
      <c r="BG159" s="22">
        <f t="shared" si="168"/>
        <v>1.3525069634579169E-12</v>
      </c>
      <c r="BH159" s="62">
        <f t="shared" si="116"/>
        <v>293.33333333333468</v>
      </c>
      <c r="BI159" s="62">
        <f ca="1">AVERAGE(OFFSET($BH$3,0,0,'Données projet'!$E$11+1,1))-AVERAGE(OFFSET($H$3,0,0,'Données projet'!$E$11+1,1))</f>
        <v>288.82868507674738</v>
      </c>
      <c r="BJ159" s="62">
        <f t="shared" si="146"/>
        <v>283.48738729114024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projet'!$B$12,Paramètres!$A$1:$I$89,3,0)*VLOOKUP('Données projet'!$B$12,Paramètres!$A$1:$I$89,5,0)</f>
        <v>-1.8089849618263545E-13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298.89893065707554</v>
      </c>
      <c r="CE159" s="62">
        <f t="shared" si="148"/>
        <v>294.28794439094878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-3.4106051316484809E-13</v>
      </c>
      <c r="CU159" s="18">
        <f>CT159*VLOOKUP('Données projet'!$B$13,Paramètres!$A$1:$I$89,3,0)*VLOOKUP('Données projet'!$B$13,Paramètres!$A$1:$I$89,5,0)</f>
        <v>-2.5006556825246659E-13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376.5422416541544</v>
      </c>
      <c r="CZ159" s="62">
        <f t="shared" si="150"/>
        <v>365.76175372075869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0.58243263429292635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0.58243263429292635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439.06700232017681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2.0572770154103635E-13</v>
      </c>
      <c r="AK160" s="14">
        <f t="shared" si="164"/>
        <v>2.8416956338469711E-12</v>
      </c>
      <c r="AL160" s="22">
        <f t="shared" si="165"/>
        <v>5.3075956424674458E-12</v>
      </c>
      <c r="AM160" s="62">
        <f t="shared" si="113"/>
        <v>293.3333333333386</v>
      </c>
      <c r="AN160" s="62">
        <f ca="1">AVERAGE(OFFSET($AM$3,0,0,'Données projet'!$E$10+1,1))-AVERAGE(OFFSET($H$3,0,0,'Données projet'!$E$10+1,1))</f>
        <v>436.23918637269577</v>
      </c>
      <c r="AO160" s="62">
        <f t="shared" si="144"/>
        <v>611.43967996341894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6.7931334600329879E-2</v>
      </c>
      <c r="AV160" s="23">
        <f>EXP(-LN(2)/25)*AV159+(1-EXP(-LN(2)/25))/(LN(2)/25)*Calculateur!AQ160*Calculateur!AS160*VLOOKUP('Données projet'!$B$10,Paramètres!$A$1:$I$89,3,0)*0.475*44/12</f>
        <v>4.3298345436660689E-2</v>
      </c>
      <c r="AW160" s="23">
        <f>EXP(-LN(2)/2)*AW159+(1-EXP(-LN(2)/2))/(LN(2)/2)*AQ160*AT160*VLOOKUP('Données projet'!$B$10,Paramètres!$A$1:$I$89,3,0)*0.475*44/12</f>
        <v>4.5814209814696075E-19</v>
      </c>
      <c r="AX160" s="23">
        <f t="shared" si="166"/>
        <v>0.11122968003699057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4.4337866711430253E-14</v>
      </c>
      <c r="BF160" s="14">
        <f t="shared" si="167"/>
        <v>7.3222115536967035E-13</v>
      </c>
      <c r="BG160" s="22">
        <f t="shared" si="168"/>
        <v>1.3525069634579169E-12</v>
      </c>
      <c r="BH160" s="62">
        <f t="shared" si="116"/>
        <v>293.33333333333468</v>
      </c>
      <c r="BI160" s="62">
        <f ca="1">AVERAGE(OFFSET($BH$3,0,0,'Données projet'!$E$11+1,1))-AVERAGE(OFFSET($H$3,0,0,'Données projet'!$E$11+1,1))</f>
        <v>288.82868507674738</v>
      </c>
      <c r="BJ160" s="62">
        <f t="shared" si="146"/>
        <v>283.48738729114024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projet'!$B$12,Paramètres!$A$1:$I$89,3,0)*VLOOKUP('Données projet'!$B$12,Paramètres!$A$1:$I$89,5,0)</f>
        <v>-1.8089849618263545E-13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298.89893065707554</v>
      </c>
      <c r="CE160" s="62">
        <f t="shared" si="148"/>
        <v>294.28794439094878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-3.4106051316484809E-13</v>
      </c>
      <c r="CU160" s="18">
        <f>CT160*VLOOKUP('Données projet'!$B$13,Paramètres!$A$1:$I$89,3,0)*VLOOKUP('Données projet'!$B$13,Paramètres!$A$1:$I$89,5,0)</f>
        <v>-2.5006556825246659E-13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376.5422416541544</v>
      </c>
      <c r="CZ160" s="62">
        <f t="shared" si="150"/>
        <v>365.76175372075869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0.56650598327938517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0.56650598327938517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439.06700232017681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2.0572770154103635E-13</v>
      </c>
      <c r="AK161" s="14">
        <f t="shared" si="164"/>
        <v>2.8416956338469711E-12</v>
      </c>
      <c r="AL161" s="22">
        <f t="shared" si="165"/>
        <v>5.3075956424674458E-12</v>
      </c>
      <c r="AM161" s="62">
        <f t="shared" si="113"/>
        <v>293.3333333333386</v>
      </c>
      <c r="AN161" s="62">
        <f ca="1">AVERAGE(OFFSET($AM$3,0,0,'Données projet'!$E$10+1,1))-AVERAGE(OFFSET($H$3,0,0,'Données projet'!$E$10+1,1))</f>
        <v>436.23918637269577</v>
      </c>
      <c r="AO161" s="62">
        <f t="shared" si="144"/>
        <v>611.43967996341894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6.659924256284025E-2</v>
      </c>
      <c r="AV161" s="23">
        <f>EXP(-LN(2)/25)*AV160+(1-EXP(-LN(2)/25))/(LN(2)/25)*Calculateur!AQ161*Calculateur!AS161*VLOOKUP('Données projet'!$B$10,Paramètres!$A$1:$I$89,3,0)*0.475*44/12</f>
        <v>4.2114349903734173E-2</v>
      </c>
      <c r="AW161" s="23">
        <f>EXP(-LN(2)/2)*AW160+(1-EXP(-LN(2)/2))/(LN(2)/2)*AQ161*AT161*VLOOKUP('Données projet'!$B$10,Paramètres!$A$1:$I$89,3,0)*0.475*44/12</f>
        <v>3.2395538434674876E-19</v>
      </c>
      <c r="AX161" s="23">
        <f t="shared" si="166"/>
        <v>0.10871359246657442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4.4337866711430253E-14</v>
      </c>
      <c r="BF161" s="14">
        <f t="shared" si="167"/>
        <v>7.3222115536967035E-13</v>
      </c>
      <c r="BG161" s="22">
        <f t="shared" si="168"/>
        <v>1.3525069634579169E-12</v>
      </c>
      <c r="BH161" s="62">
        <f t="shared" si="116"/>
        <v>293.33333333333468</v>
      </c>
      <c r="BI161" s="62">
        <f ca="1">AVERAGE(OFFSET($BH$3,0,0,'Données projet'!$E$11+1,1))-AVERAGE(OFFSET($H$3,0,0,'Données projet'!$E$11+1,1))</f>
        <v>288.82868507674738</v>
      </c>
      <c r="BJ161" s="62">
        <f t="shared" si="146"/>
        <v>283.48738729114024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projet'!$B$12,Paramètres!$A$1:$I$89,3,0)*VLOOKUP('Données projet'!$B$12,Paramètres!$A$1:$I$89,5,0)</f>
        <v>-1.8089849618263545E-13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298.89893065707554</v>
      </c>
      <c r="CE161" s="62">
        <f t="shared" si="148"/>
        <v>294.28794439094878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-3.4106051316484809E-13</v>
      </c>
      <c r="CU161" s="18">
        <f>CT161*VLOOKUP('Données projet'!$B$13,Paramètres!$A$1:$I$89,3,0)*VLOOKUP('Données projet'!$B$13,Paramètres!$A$1:$I$89,5,0)</f>
        <v>-2.5006556825246659E-13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376.5422416541544</v>
      </c>
      <c r="CZ161" s="62">
        <f t="shared" si="150"/>
        <v>365.76175372075869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0.55101484737535544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0.55101484737535544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439.06700232017681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2.0572770154103635E-13</v>
      </c>
      <c r="AK162" s="14">
        <f t="shared" si="164"/>
        <v>2.8416956338469711E-12</v>
      </c>
      <c r="AL162" s="22">
        <f t="shared" si="165"/>
        <v>5.3075956424674458E-12</v>
      </c>
      <c r="AM162" s="62">
        <f t="shared" si="113"/>
        <v>293.3333333333386</v>
      </c>
      <c r="AN162" s="62">
        <f ca="1">AVERAGE(OFFSET($AM$3,0,0,'Données projet'!$E$10+1,1))-AVERAGE(OFFSET($H$3,0,0,'Données projet'!$E$10+1,1))</f>
        <v>436.23918637269577</v>
      </c>
      <c r="AO162" s="62">
        <f t="shared" si="144"/>
        <v>611.43967996341894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6.5293272037709876E-2</v>
      </c>
      <c r="AV162" s="23">
        <f>EXP(-LN(2)/25)*AV161+(1-EXP(-LN(2)/25))/(LN(2)/25)*Calculateur!AQ162*Calculateur!AS162*VLOOKUP('Données projet'!$B$10,Paramètres!$A$1:$I$89,3,0)*0.475*44/12</f>
        <v>4.0962730790919152E-2</v>
      </c>
      <c r="AW162" s="23">
        <f>EXP(-LN(2)/2)*AW161+(1-EXP(-LN(2)/2))/(LN(2)/2)*AQ162*AT162*VLOOKUP('Données projet'!$B$10,Paramètres!$A$1:$I$89,3,0)*0.475*44/12</f>
        <v>2.2907104907348038E-19</v>
      </c>
      <c r="AX162" s="23">
        <f t="shared" si="166"/>
        <v>0.10625600282862903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4.4337866711430253E-14</v>
      </c>
      <c r="BF162" s="14">
        <f t="shared" si="167"/>
        <v>7.3222115536967035E-13</v>
      </c>
      <c r="BG162" s="22">
        <f t="shared" si="168"/>
        <v>1.3525069634579169E-12</v>
      </c>
      <c r="BH162" s="62">
        <f t="shared" si="116"/>
        <v>293.33333333333468</v>
      </c>
      <c r="BI162" s="62">
        <f ca="1">AVERAGE(OFFSET($BH$3,0,0,'Données projet'!$E$11+1,1))-AVERAGE(OFFSET($H$3,0,0,'Données projet'!$E$11+1,1))</f>
        <v>288.82868507674738</v>
      </c>
      <c r="BJ162" s="62">
        <f t="shared" si="146"/>
        <v>283.48738729114024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projet'!$B$12,Paramètres!$A$1:$I$89,3,0)*VLOOKUP('Données projet'!$B$12,Paramètres!$A$1:$I$89,5,0)</f>
        <v>-1.8089849618263545E-13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298.89893065707554</v>
      </c>
      <c r="CE162" s="62">
        <f t="shared" si="148"/>
        <v>294.28794439094878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-3.4106051316484809E-13</v>
      </c>
      <c r="CU162" s="18">
        <f>CT162*VLOOKUP('Données projet'!$B$13,Paramètres!$A$1:$I$89,3,0)*VLOOKUP('Données projet'!$B$13,Paramètres!$A$1:$I$89,5,0)</f>
        <v>-2.5006556825246659E-13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376.5422416541544</v>
      </c>
      <c r="CZ162" s="62">
        <f t="shared" si="150"/>
        <v>365.76175372075869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0.53594731739726487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0.53594731739726487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439.06700232017681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2.0572770154103635E-13</v>
      </c>
      <c r="AK163" s="14">
        <f t="shared" si="164"/>
        <v>2.8416956338469711E-12</v>
      </c>
      <c r="AL163" s="22">
        <f t="shared" si="165"/>
        <v>5.3075956424674458E-12</v>
      </c>
      <c r="AM163" s="62">
        <f t="shared" si="113"/>
        <v>293.3333333333386</v>
      </c>
      <c r="AN163" s="62">
        <f ca="1">AVERAGE(OFFSET($AM$3,0,0,'Données projet'!$E$10+1,1))-AVERAGE(OFFSET($H$3,0,0,'Données projet'!$E$10+1,1))</f>
        <v>436.23918637269577</v>
      </c>
      <c r="AO163" s="62">
        <f t="shared" si="144"/>
        <v>611.43967996341894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6.4012910798013939E-2</v>
      </c>
      <c r="AV163" s="23">
        <f>EXP(-LN(2)/25)*AV162+(1-EXP(-LN(2)/25))/(LN(2)/25)*Calculateur!AQ163*Calculateur!AS163*VLOOKUP('Données projet'!$B$10,Paramètres!$A$1:$I$89,3,0)*0.475*44/12</f>
        <v>3.9842602763305077E-2</v>
      </c>
      <c r="AW163" s="23">
        <f>EXP(-LN(2)/2)*AW162+(1-EXP(-LN(2)/2))/(LN(2)/2)*AQ163*AT163*VLOOKUP('Données projet'!$B$10,Paramètres!$A$1:$I$89,3,0)*0.475*44/12</f>
        <v>1.6197769217337438E-19</v>
      </c>
      <c r="AX163" s="23">
        <f t="shared" si="166"/>
        <v>0.10385551356131902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4.4337866711430253E-14</v>
      </c>
      <c r="BF163" s="14">
        <f t="shared" si="167"/>
        <v>7.3222115536967035E-13</v>
      </c>
      <c r="BG163" s="22">
        <f t="shared" si="168"/>
        <v>1.3525069634579169E-12</v>
      </c>
      <c r="BH163" s="62">
        <f t="shared" si="116"/>
        <v>293.33333333333468</v>
      </c>
      <c r="BI163" s="62">
        <f ca="1">AVERAGE(OFFSET($BH$3,0,0,'Données projet'!$E$11+1,1))-AVERAGE(OFFSET($H$3,0,0,'Données projet'!$E$11+1,1))</f>
        <v>288.82868507674738</v>
      </c>
      <c r="BJ163" s="62">
        <f t="shared" si="146"/>
        <v>283.48738729114024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projet'!$B$12,Paramètres!$A$1:$I$89,3,0)*VLOOKUP('Données projet'!$B$12,Paramètres!$A$1:$I$89,5,0)</f>
        <v>-1.8089849618263545E-13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298.89893065707554</v>
      </c>
      <c r="CE163" s="62">
        <f t="shared" si="148"/>
        <v>294.28794439094878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-3.4106051316484809E-13</v>
      </c>
      <c r="CU163" s="18">
        <f>CT163*VLOOKUP('Données projet'!$B$13,Paramètres!$A$1:$I$89,3,0)*VLOOKUP('Données projet'!$B$13,Paramètres!$A$1:$I$89,5,0)</f>
        <v>-2.5006556825246659E-13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376.5422416541544</v>
      </c>
      <c r="CZ163" s="62">
        <f t="shared" si="150"/>
        <v>365.76175372075869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0.5212918098187922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0.5212918098187922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439.06700232017681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2.0572770154103635E-13</v>
      </c>
      <c r="AK164" s="14">
        <f t="shared" si="164"/>
        <v>2.8416956338469711E-12</v>
      </c>
      <c r="AL164" s="22">
        <f t="shared" si="165"/>
        <v>5.3075956424674458E-12</v>
      </c>
      <c r="AM164" s="62">
        <f t="shared" si="113"/>
        <v>293.3333333333386</v>
      </c>
      <c r="AN164" s="62">
        <f ca="1">AVERAGE(OFFSET($AM$3,0,0,'Données projet'!$E$10+1,1))-AVERAGE(OFFSET($H$3,0,0,'Données projet'!$E$10+1,1))</f>
        <v>436.23918637269577</v>
      </c>
      <c r="AO164" s="62">
        <f t="shared" si="144"/>
        <v>611.43967996341894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6.2757656661285202E-2</v>
      </c>
      <c r="AV164" s="23">
        <f>EXP(-LN(2)/25)*AV163+(1-EXP(-LN(2)/25))/(LN(2)/25)*Calculateur!AQ164*Calculateur!AS164*VLOOKUP('Données projet'!$B$10,Paramètres!$A$1:$I$89,3,0)*0.475*44/12</f>
        <v>3.8753104695511083E-2</v>
      </c>
      <c r="AW164" s="23">
        <f>EXP(-LN(2)/2)*AW163+(1-EXP(-LN(2)/2))/(LN(2)/2)*AQ164*AT164*VLOOKUP('Données projet'!$B$10,Paramètres!$A$1:$I$89,3,0)*0.475*44/12</f>
        <v>1.1453552453674019E-19</v>
      </c>
      <c r="AX164" s="23">
        <f t="shared" si="166"/>
        <v>0.10151076135679629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4.4337866711430253E-14</v>
      </c>
      <c r="BF164" s="14">
        <f t="shared" si="167"/>
        <v>7.3222115536967035E-13</v>
      </c>
      <c r="BG164" s="22">
        <f t="shared" si="168"/>
        <v>1.3525069634579169E-12</v>
      </c>
      <c r="BH164" s="62">
        <f t="shared" si="116"/>
        <v>293.33333333333468</v>
      </c>
      <c r="BI164" s="62">
        <f ca="1">AVERAGE(OFFSET($BH$3,0,0,'Données projet'!$E$11+1,1))-AVERAGE(OFFSET($H$3,0,0,'Données projet'!$E$11+1,1))</f>
        <v>288.82868507674738</v>
      </c>
      <c r="BJ164" s="62">
        <f t="shared" si="146"/>
        <v>283.48738729114024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projet'!$B$12,Paramètres!$A$1:$I$89,3,0)*VLOOKUP('Données projet'!$B$12,Paramètres!$A$1:$I$89,5,0)</f>
        <v>-1.8089849618263545E-13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298.89893065707554</v>
      </c>
      <c r="CE164" s="62">
        <f t="shared" si="148"/>
        <v>294.28794439094878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-3.4106051316484809E-13</v>
      </c>
      <c r="CU164" s="18">
        <f>CT164*VLOOKUP('Données projet'!$B$13,Paramètres!$A$1:$I$89,3,0)*VLOOKUP('Données projet'!$B$13,Paramètres!$A$1:$I$89,5,0)</f>
        <v>-2.5006556825246659E-13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376.5422416541544</v>
      </c>
      <c r="CZ164" s="62">
        <f t="shared" si="150"/>
        <v>365.76175372075869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0.50703705786575248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0.50703705786575248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439.06700232017681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2.0572770154103635E-13</v>
      </c>
      <c r="AK165" s="14">
        <f t="shared" si="164"/>
        <v>2.8416956338469711E-12</v>
      </c>
      <c r="AL165" s="22">
        <f t="shared" si="165"/>
        <v>5.3075956424674458E-12</v>
      </c>
      <c r="AM165" s="62">
        <f t="shared" si="113"/>
        <v>293.3333333333386</v>
      </c>
      <c r="AN165" s="62">
        <f ca="1">AVERAGE(OFFSET($AM$3,0,0,'Données projet'!$E$10+1,1))-AVERAGE(OFFSET($H$3,0,0,'Données projet'!$E$10+1,1))</f>
        <v>436.23918637269577</v>
      </c>
      <c r="AO165" s="62">
        <f t="shared" si="144"/>
        <v>611.43967996341894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6.1527017292548287E-2</v>
      </c>
      <c r="AV165" s="23">
        <f>EXP(-LN(2)/25)*AV164+(1-EXP(-LN(2)/25))/(LN(2)/25)*Calculateur!AQ165*Calculateur!AS165*VLOOKUP('Données projet'!$B$10,Paramètres!$A$1:$I$89,3,0)*0.475*44/12</f>
        <v>3.7693399009675124E-2</v>
      </c>
      <c r="AW165" s="23">
        <f>EXP(-LN(2)/2)*AW164+(1-EXP(-LN(2)/2))/(LN(2)/2)*AQ165*AT165*VLOOKUP('Données projet'!$B$10,Paramètres!$A$1:$I$89,3,0)*0.475*44/12</f>
        <v>8.098884608668719E-20</v>
      </c>
      <c r="AX165" s="23">
        <f t="shared" si="166"/>
        <v>9.9220416302223419E-2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4.4337866711430253E-14</v>
      </c>
      <c r="BF165" s="14">
        <f t="shared" si="167"/>
        <v>7.3222115536967035E-13</v>
      </c>
      <c r="BG165" s="22">
        <f t="shared" si="168"/>
        <v>1.3525069634579169E-12</v>
      </c>
      <c r="BH165" s="62">
        <f t="shared" si="116"/>
        <v>293.33333333333468</v>
      </c>
      <c r="BI165" s="62">
        <f ca="1">AVERAGE(OFFSET($BH$3,0,0,'Données projet'!$E$11+1,1))-AVERAGE(OFFSET($H$3,0,0,'Données projet'!$E$11+1,1))</f>
        <v>288.82868507674738</v>
      </c>
      <c r="BJ165" s="62">
        <f t="shared" si="146"/>
        <v>283.48738729114024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projet'!$B$12,Paramètres!$A$1:$I$89,3,0)*VLOOKUP('Données projet'!$B$12,Paramètres!$A$1:$I$89,5,0)</f>
        <v>-1.8089849618263545E-13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298.89893065707554</v>
      </c>
      <c r="CE165" s="62">
        <f t="shared" si="148"/>
        <v>294.28794439094878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-3.4106051316484809E-13</v>
      </c>
      <c r="CU165" s="18">
        <f>CT165*VLOOKUP('Données projet'!$B$13,Paramètres!$A$1:$I$89,3,0)*VLOOKUP('Données projet'!$B$13,Paramètres!$A$1:$I$89,5,0)</f>
        <v>-2.5006556825246659E-13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376.5422416541544</v>
      </c>
      <c r="CZ165" s="62">
        <f t="shared" si="150"/>
        <v>365.76175372075869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0.49317210285449348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0.49317210285449348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439.06700232017681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2.0572770154103635E-13</v>
      </c>
      <c r="AK166" s="14">
        <f t="shared" si="164"/>
        <v>2.8416956338469711E-12</v>
      </c>
      <c r="AL166" s="22">
        <f t="shared" si="165"/>
        <v>5.3075956424674458E-12</v>
      </c>
      <c r="AM166" s="62">
        <f t="shared" si="113"/>
        <v>293.3333333333386</v>
      </c>
      <c r="AN166" s="62">
        <f ca="1">AVERAGE(OFFSET($AM$3,0,0,'Données projet'!$E$10+1,1))-AVERAGE(OFFSET($H$3,0,0,'Données projet'!$E$10+1,1))</f>
        <v>436.23918637269577</v>
      </c>
      <c r="AO166" s="62">
        <f t="shared" si="144"/>
        <v>611.43967996341894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6.0320510011216404E-2</v>
      </c>
      <c r="AV166" s="23">
        <f>EXP(-LN(2)/25)*AV165+(1-EXP(-LN(2)/25))/(LN(2)/25)*Calculateur!AQ166*Calculateur!AS166*VLOOKUP('Données projet'!$B$10,Paramètres!$A$1:$I$89,3,0)*0.475*44/12</f>
        <v>3.666267103154585E-2</v>
      </c>
      <c r="AW166" s="23">
        <f>EXP(-LN(2)/2)*AW165+(1-EXP(-LN(2)/2))/(LN(2)/2)*AQ166*AT166*VLOOKUP('Données projet'!$B$10,Paramètres!$A$1:$I$89,3,0)*0.475*44/12</f>
        <v>5.7267762268370094E-20</v>
      </c>
      <c r="AX166" s="23">
        <f t="shared" si="166"/>
        <v>9.6983181042762254E-2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4.4337866711430253E-14</v>
      </c>
      <c r="BF166" s="14">
        <f t="shared" si="167"/>
        <v>7.3222115536967035E-13</v>
      </c>
      <c r="BG166" s="22">
        <f t="shared" si="168"/>
        <v>1.3525069634579169E-12</v>
      </c>
      <c r="BH166" s="62">
        <f t="shared" si="116"/>
        <v>293.33333333333468</v>
      </c>
      <c r="BI166" s="62">
        <f ca="1">AVERAGE(OFFSET($BH$3,0,0,'Données projet'!$E$11+1,1))-AVERAGE(OFFSET($H$3,0,0,'Données projet'!$E$11+1,1))</f>
        <v>288.82868507674738</v>
      </c>
      <c r="BJ166" s="62">
        <f t="shared" si="146"/>
        <v>283.48738729114024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projet'!$B$12,Paramètres!$A$1:$I$89,3,0)*VLOOKUP('Données projet'!$B$12,Paramètres!$A$1:$I$89,5,0)</f>
        <v>-1.8089849618263545E-13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298.89893065707554</v>
      </c>
      <c r="CE166" s="62">
        <f t="shared" si="148"/>
        <v>294.28794439094878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-3.4106051316484809E-13</v>
      </c>
      <c r="CU166" s="18">
        <f>CT166*VLOOKUP('Données projet'!$B$13,Paramètres!$A$1:$I$89,3,0)*VLOOKUP('Données projet'!$B$13,Paramètres!$A$1:$I$89,5,0)</f>
        <v>-2.5006556825246659E-13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376.5422416541544</v>
      </c>
      <c r="CZ166" s="62">
        <f t="shared" si="150"/>
        <v>365.76175372075869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0.47968628576714362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0.47968628576714362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439.06700232017681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2.0572770154103635E-13</v>
      </c>
      <c r="AK167" s="14">
        <f t="shared" si="164"/>
        <v>2.8416956338469711E-12</v>
      </c>
      <c r="AL167" s="22">
        <f t="shared" si="165"/>
        <v>5.3075956424674458E-12</v>
      </c>
      <c r="AM167" s="62">
        <f t="shared" si="113"/>
        <v>293.3333333333386</v>
      </c>
      <c r="AN167" s="62">
        <f ca="1">AVERAGE(OFFSET($AM$3,0,0,'Données projet'!$E$10+1,1))-AVERAGE(OFFSET($H$3,0,0,'Données projet'!$E$10+1,1))</f>
        <v>436.23918637269577</v>
      </c>
      <c r="AO167" s="62">
        <f t="shared" si="144"/>
        <v>611.43967996341894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5.9137661601774659E-2</v>
      </c>
      <c r="AV167" s="23">
        <f>EXP(-LN(2)/25)*AV166+(1-EXP(-LN(2)/25))/(LN(2)/25)*Calculateur!AQ167*Calculateur!AS167*VLOOKUP('Données projet'!$B$10,Paramètres!$A$1:$I$89,3,0)*0.475*44/12</f>
        <v>3.5660128364182156E-2</v>
      </c>
      <c r="AW167" s="23">
        <f>EXP(-LN(2)/2)*AW166+(1-EXP(-LN(2)/2))/(LN(2)/2)*AQ167*AT167*VLOOKUP('Données projet'!$B$10,Paramètres!$A$1:$I$89,3,0)*0.475*44/12</f>
        <v>4.0494423043343595E-20</v>
      </c>
      <c r="AX167" s="23">
        <f t="shared" si="166"/>
        <v>9.4797789965956808E-2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4.4337866711430253E-14</v>
      </c>
      <c r="BF167" s="14">
        <f t="shared" si="167"/>
        <v>7.3222115536967035E-13</v>
      </c>
      <c r="BG167" s="22">
        <f t="shared" si="168"/>
        <v>1.3525069634579169E-12</v>
      </c>
      <c r="BH167" s="62">
        <f t="shared" si="116"/>
        <v>293.33333333333468</v>
      </c>
      <c r="BI167" s="62">
        <f ca="1">AVERAGE(OFFSET($BH$3,0,0,'Données projet'!$E$11+1,1))-AVERAGE(OFFSET($H$3,0,0,'Données projet'!$E$11+1,1))</f>
        <v>288.82868507674738</v>
      </c>
      <c r="BJ167" s="62">
        <f t="shared" si="146"/>
        <v>283.48738729114024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projet'!$B$12,Paramètres!$A$1:$I$89,3,0)*VLOOKUP('Données projet'!$B$12,Paramètres!$A$1:$I$89,5,0)</f>
        <v>-1.8089849618263545E-13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298.89893065707554</v>
      </c>
      <c r="CE167" s="62">
        <f t="shared" si="148"/>
        <v>294.28794439094878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-3.4106051316484809E-13</v>
      </c>
      <c r="CU167" s="18">
        <f>CT167*VLOOKUP('Données projet'!$B$13,Paramètres!$A$1:$I$89,3,0)*VLOOKUP('Données projet'!$B$13,Paramètres!$A$1:$I$89,5,0)</f>
        <v>-2.5006556825246659E-13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376.5422416541544</v>
      </c>
      <c r="CZ167" s="62">
        <f t="shared" si="150"/>
        <v>365.76175372075869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0.46656923905723563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0.46656923905723563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439.06700232017681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2.0572770154103635E-13</v>
      </c>
      <c r="AK168" s="14">
        <f t="shared" si="164"/>
        <v>2.8416956338469711E-12</v>
      </c>
      <c r="AL168" s="22">
        <f t="shared" si="165"/>
        <v>5.3075956424674458E-12</v>
      </c>
      <c r="AM168" s="62">
        <f t="shared" si="113"/>
        <v>293.3333333333386</v>
      </c>
      <c r="AN168" s="62">
        <f ca="1">AVERAGE(OFFSET($AM$3,0,0,'Données projet'!$E$10+1,1))-AVERAGE(OFFSET($H$3,0,0,'Données projet'!$E$10+1,1))</f>
        <v>436.23918637269577</v>
      </c>
      <c r="AO168" s="62">
        <f t="shared" si="144"/>
        <v>611.43967996341894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5.797800812817578E-2</v>
      </c>
      <c r="AV168" s="23">
        <f>EXP(-LN(2)/25)*AV167+(1-EXP(-LN(2)/25))/(LN(2)/25)*Calculateur!AQ168*Calculateur!AS168*VLOOKUP('Données projet'!$B$10,Paramètres!$A$1:$I$89,3,0)*0.475*44/12</f>
        <v>3.4685000278778945E-2</v>
      </c>
      <c r="AW168" s="23">
        <f>EXP(-LN(2)/2)*AW167+(1-EXP(-LN(2)/2))/(LN(2)/2)*AQ168*AT168*VLOOKUP('Données projet'!$B$10,Paramètres!$A$1:$I$89,3,0)*0.475*44/12</f>
        <v>2.8633881134185047E-20</v>
      </c>
      <c r="AX168" s="23">
        <f t="shared" si="166"/>
        <v>9.2663008406954725E-2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4.4337866711430253E-14</v>
      </c>
      <c r="BF168" s="14">
        <f t="shared" si="167"/>
        <v>7.3222115536967035E-13</v>
      </c>
      <c r="BG168" s="22">
        <f t="shared" si="168"/>
        <v>1.3525069634579169E-12</v>
      </c>
      <c r="BH168" s="62">
        <f t="shared" si="116"/>
        <v>293.33333333333468</v>
      </c>
      <c r="BI168" s="62">
        <f ca="1">AVERAGE(OFFSET($BH$3,0,0,'Données projet'!$E$11+1,1))-AVERAGE(OFFSET($H$3,0,0,'Données projet'!$E$11+1,1))</f>
        <v>288.82868507674738</v>
      </c>
      <c r="BJ168" s="62">
        <f t="shared" si="146"/>
        <v>283.48738729114024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projet'!$B$12,Paramètres!$A$1:$I$89,3,0)*VLOOKUP('Données projet'!$B$12,Paramètres!$A$1:$I$89,5,0)</f>
        <v>-1.8089849618263545E-13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298.89893065707554</v>
      </c>
      <c r="CE168" s="62">
        <f t="shared" si="148"/>
        <v>294.28794439094878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-3.4106051316484809E-13</v>
      </c>
      <c r="CU168" s="18">
        <f>CT168*VLOOKUP('Données projet'!$B$13,Paramètres!$A$1:$I$89,3,0)*VLOOKUP('Données projet'!$B$13,Paramètres!$A$1:$I$89,5,0)</f>
        <v>-2.5006556825246659E-13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376.5422416541544</v>
      </c>
      <c r="CZ168" s="62">
        <f t="shared" si="150"/>
        <v>365.76175372075869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0.45381087867940562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0.45381087867940562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439.06700232017681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2.0572770154103635E-13</v>
      </c>
      <c r="AK169" s="14">
        <f t="shared" si="164"/>
        <v>2.8416956338469711E-12</v>
      </c>
      <c r="AL169" s="22">
        <f t="shared" si="165"/>
        <v>5.3075956424674458E-12</v>
      </c>
      <c r="AM169" s="62">
        <f t="shared" si="113"/>
        <v>293.3333333333386</v>
      </c>
      <c r="AN169" s="62">
        <f ca="1">AVERAGE(OFFSET($AM$3,0,0,'Données projet'!$E$10+1,1))-AVERAGE(OFFSET($H$3,0,0,'Données projet'!$E$10+1,1))</f>
        <v>436.23918637269577</v>
      </c>
      <c r="AO169" s="62">
        <f t="shared" si="144"/>
        <v>611.43967996341894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5.6841094751875397E-2</v>
      </c>
      <c r="AV169" s="23">
        <f>EXP(-LN(2)/25)*AV168+(1-EXP(-LN(2)/25))/(LN(2)/25)*Calculateur!AQ169*Calculateur!AS169*VLOOKUP('Données projet'!$B$10,Paramètres!$A$1:$I$89,3,0)*0.475*44/12</f>
        <v>3.3736537122150842E-2</v>
      </c>
      <c r="AW169" s="23">
        <f>EXP(-LN(2)/2)*AW168+(1-EXP(-LN(2)/2))/(LN(2)/2)*AQ169*AT169*VLOOKUP('Données projet'!$B$10,Paramètres!$A$1:$I$89,3,0)*0.475*44/12</f>
        <v>2.0247211521671797E-20</v>
      </c>
      <c r="AX169" s="23">
        <f t="shared" si="166"/>
        <v>9.0577631874026232E-2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4.4337866711430253E-14</v>
      </c>
      <c r="BF169" s="14">
        <f t="shared" si="167"/>
        <v>7.3222115536967035E-13</v>
      </c>
      <c r="BG169" s="22">
        <f t="shared" si="168"/>
        <v>1.3525069634579169E-12</v>
      </c>
      <c r="BH169" s="62">
        <f t="shared" si="116"/>
        <v>293.33333333333468</v>
      </c>
      <c r="BI169" s="62">
        <f ca="1">AVERAGE(OFFSET($BH$3,0,0,'Données projet'!$E$11+1,1))-AVERAGE(OFFSET($H$3,0,0,'Données projet'!$E$11+1,1))</f>
        <v>288.82868507674738</v>
      </c>
      <c r="BJ169" s="62">
        <f t="shared" si="146"/>
        <v>283.48738729114024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projet'!$B$12,Paramètres!$A$1:$I$89,3,0)*VLOOKUP('Données projet'!$B$12,Paramètres!$A$1:$I$89,5,0)</f>
        <v>-1.8089849618263545E-13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298.89893065707554</v>
      </c>
      <c r="CE169" s="62">
        <f t="shared" si="148"/>
        <v>294.28794439094878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-3.4106051316484809E-13</v>
      </c>
      <c r="CU169" s="18">
        <f>CT169*VLOOKUP('Données projet'!$B$13,Paramètres!$A$1:$I$89,3,0)*VLOOKUP('Données projet'!$B$13,Paramètres!$A$1:$I$89,5,0)</f>
        <v>-2.5006556825246659E-13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376.5422416541544</v>
      </c>
      <c r="CZ169" s="62">
        <f t="shared" si="150"/>
        <v>365.76175372075869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0.44140139633704034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0.44140139633704034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439.06700232017681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2.0572770154103635E-13</v>
      </c>
      <c r="AK170" s="14">
        <f t="shared" si="164"/>
        <v>2.8416956338469711E-12</v>
      </c>
      <c r="AL170" s="22">
        <f t="shared" si="165"/>
        <v>5.3075956424674458E-12</v>
      </c>
      <c r="AM170" s="62">
        <f t="shared" si="113"/>
        <v>293.3333333333386</v>
      </c>
      <c r="AN170" s="62">
        <f ca="1">AVERAGE(OFFSET($AM$3,0,0,'Données projet'!$E$10+1,1))-AVERAGE(OFFSET($H$3,0,0,'Données projet'!$E$10+1,1))</f>
        <v>436.23918637269577</v>
      </c>
      <c r="AO170" s="62">
        <f t="shared" si="144"/>
        <v>611.43967996341894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5.5726475553435573E-2</v>
      </c>
      <c r="AV170" s="23">
        <f>EXP(-LN(2)/25)*AV169+(1-EXP(-LN(2)/25))/(LN(2)/25)*Calculateur!AQ170*Calculateur!AS170*VLOOKUP('Données projet'!$B$10,Paramètres!$A$1:$I$89,3,0)*0.475*44/12</f>
        <v>3.2814009740418246E-2</v>
      </c>
      <c r="AW170" s="23">
        <f>EXP(-LN(2)/2)*AW169+(1-EXP(-LN(2)/2))/(LN(2)/2)*AQ170*AT170*VLOOKUP('Données projet'!$B$10,Paramètres!$A$1:$I$89,3,0)*0.475*44/12</f>
        <v>1.4316940567092524E-20</v>
      </c>
      <c r="AX170" s="23">
        <f t="shared" si="166"/>
        <v>8.8540485293853818E-2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4.4337866711430253E-14</v>
      </c>
      <c r="BF170" s="14">
        <f t="shared" si="167"/>
        <v>7.3222115536967035E-13</v>
      </c>
      <c r="BG170" s="22">
        <f t="shared" si="168"/>
        <v>1.3525069634579169E-12</v>
      </c>
      <c r="BH170" s="62">
        <f t="shared" si="116"/>
        <v>293.33333333333468</v>
      </c>
      <c r="BI170" s="62">
        <f ca="1">AVERAGE(OFFSET($BH$3,0,0,'Données projet'!$E$11+1,1))-AVERAGE(OFFSET($H$3,0,0,'Données projet'!$E$11+1,1))</f>
        <v>288.82868507674738</v>
      </c>
      <c r="BJ170" s="62">
        <f t="shared" si="146"/>
        <v>283.48738729114024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projet'!$B$12,Paramètres!$A$1:$I$89,3,0)*VLOOKUP('Données projet'!$B$12,Paramètres!$A$1:$I$89,5,0)</f>
        <v>-1.8089849618263545E-13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298.89893065707554</v>
      </c>
      <c r="CE170" s="62">
        <f t="shared" si="148"/>
        <v>294.28794439094878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-3.4106051316484809E-13</v>
      </c>
      <c r="CU170" s="18">
        <f>CT170*VLOOKUP('Données projet'!$B$13,Paramètres!$A$1:$I$89,3,0)*VLOOKUP('Données projet'!$B$13,Paramètres!$A$1:$I$89,5,0)</f>
        <v>-2.5006556825246659E-13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376.5422416541544</v>
      </c>
      <c r="CZ170" s="62">
        <f t="shared" si="150"/>
        <v>365.76175372075869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0.42933125194191335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0.42933125194191335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439.06700232017681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2.0572770154103635E-13</v>
      </c>
      <c r="AK171" s="14">
        <f t="shared" si="164"/>
        <v>2.8416956338469711E-12</v>
      </c>
      <c r="AL171" s="22">
        <f t="shared" si="165"/>
        <v>5.3075956424674458E-12</v>
      </c>
      <c r="AM171" s="62">
        <f t="shared" si="113"/>
        <v>293.3333333333386</v>
      </c>
      <c r="AN171" s="62">
        <f ca="1">AVERAGE(OFFSET($AM$3,0,0,'Données projet'!$E$10+1,1))-AVERAGE(OFFSET($H$3,0,0,'Données projet'!$E$10+1,1))</f>
        <v>436.23918637269577</v>
      </c>
      <c r="AO171" s="62">
        <f t="shared" si="144"/>
        <v>611.43967996341894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5.4633713357626575E-2</v>
      </c>
      <c r="AV171" s="23">
        <f>EXP(-LN(2)/25)*AV170+(1-EXP(-LN(2)/25))/(LN(2)/25)*Calculateur!AQ171*Calculateur!AS171*VLOOKUP('Données projet'!$B$10,Paramètres!$A$1:$I$89,3,0)*0.475*44/12</f>
        <v>3.1916708918452733E-2</v>
      </c>
      <c r="AW171" s="23">
        <f>EXP(-LN(2)/2)*AW170+(1-EXP(-LN(2)/2))/(LN(2)/2)*AQ171*AT171*VLOOKUP('Données projet'!$B$10,Paramètres!$A$1:$I$89,3,0)*0.475*44/12</f>
        <v>1.0123605760835899E-20</v>
      </c>
      <c r="AX171" s="23">
        <f t="shared" si="166"/>
        <v>8.6550422276079314E-2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4.4337866711430253E-14</v>
      </c>
      <c r="BF171" s="14">
        <f t="shared" si="167"/>
        <v>7.3222115536967035E-13</v>
      </c>
      <c r="BG171" s="22">
        <f t="shared" si="168"/>
        <v>1.3525069634579169E-12</v>
      </c>
      <c r="BH171" s="62">
        <f t="shared" si="116"/>
        <v>293.33333333333468</v>
      </c>
      <c r="BI171" s="62">
        <f ca="1">AVERAGE(OFFSET($BH$3,0,0,'Données projet'!$E$11+1,1))-AVERAGE(OFFSET($H$3,0,0,'Données projet'!$E$11+1,1))</f>
        <v>288.82868507674738</v>
      </c>
      <c r="BJ171" s="62">
        <f t="shared" si="146"/>
        <v>283.48738729114024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projet'!$B$12,Paramètres!$A$1:$I$89,3,0)*VLOOKUP('Données projet'!$B$12,Paramètres!$A$1:$I$89,5,0)</f>
        <v>-1.8089849618263545E-13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298.89893065707554</v>
      </c>
      <c r="CE171" s="62">
        <f t="shared" si="148"/>
        <v>294.28794439094878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-3.4106051316484809E-13</v>
      </c>
      <c r="CU171" s="18">
        <f>CT171*VLOOKUP('Données projet'!$B$13,Paramètres!$A$1:$I$89,3,0)*VLOOKUP('Données projet'!$B$13,Paramètres!$A$1:$I$89,5,0)</f>
        <v>-2.5006556825246659E-13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376.5422416541544</v>
      </c>
      <c r="CZ171" s="62">
        <f t="shared" si="150"/>
        <v>365.76175372075869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0.41759116628001242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0.41759116628001242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439.06700232017681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2.0572770154103635E-13</v>
      </c>
      <c r="AK172" s="14">
        <f t="shared" si="164"/>
        <v>2.8416956338469711E-12</v>
      </c>
      <c r="AL172" s="22">
        <f t="shared" si="165"/>
        <v>5.3075956424674458E-12</v>
      </c>
      <c r="AM172" s="62">
        <f t="shared" si="113"/>
        <v>293.3333333333386</v>
      </c>
      <c r="AN172" s="62">
        <f ca="1">AVERAGE(OFFSET($AM$3,0,0,'Données projet'!$E$10+1,1))-AVERAGE(OFFSET($H$3,0,0,'Données projet'!$E$10+1,1))</f>
        <v>436.23918637269577</v>
      </c>
      <c r="AO172" s="62">
        <f t="shared" si="144"/>
        <v>611.43967996341894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5.3562379561958265E-2</v>
      </c>
      <c r="AV172" s="23">
        <f>EXP(-LN(2)/25)*AV171+(1-EXP(-LN(2)/25))/(LN(2)/25)*Calculateur!AQ172*Calculateur!AS172*VLOOKUP('Données projet'!$B$10,Paramètres!$A$1:$I$89,3,0)*0.475*44/12</f>
        <v>3.1043944834650866E-2</v>
      </c>
      <c r="AW172" s="23">
        <f>EXP(-LN(2)/2)*AW171+(1-EXP(-LN(2)/2))/(LN(2)/2)*AQ172*AT172*VLOOKUP('Données projet'!$B$10,Paramètres!$A$1:$I$89,3,0)*0.475*44/12</f>
        <v>7.1584702835462618E-21</v>
      </c>
      <c r="AX172" s="23">
        <f t="shared" si="166"/>
        <v>8.4606324396609131E-2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4.4337866711430253E-14</v>
      </c>
      <c r="BF172" s="14">
        <f t="shared" si="167"/>
        <v>7.3222115536967035E-13</v>
      </c>
      <c r="BG172" s="22">
        <f t="shared" si="168"/>
        <v>1.3525069634579169E-12</v>
      </c>
      <c r="BH172" s="62">
        <f t="shared" si="116"/>
        <v>293.33333333333468</v>
      </c>
      <c r="BI172" s="62">
        <f ca="1">AVERAGE(OFFSET($BH$3,0,0,'Données projet'!$E$11+1,1))-AVERAGE(OFFSET($H$3,0,0,'Données projet'!$E$11+1,1))</f>
        <v>288.82868507674738</v>
      </c>
      <c r="BJ172" s="62">
        <f t="shared" si="146"/>
        <v>283.48738729114024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projet'!$B$12,Paramètres!$A$1:$I$89,3,0)*VLOOKUP('Données projet'!$B$12,Paramètres!$A$1:$I$89,5,0)</f>
        <v>-1.8089849618263545E-13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298.89893065707554</v>
      </c>
      <c r="CE172" s="62">
        <f t="shared" si="148"/>
        <v>294.28794439094878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-3.4106051316484809E-13</v>
      </c>
      <c r="CU172" s="18">
        <f>CT172*VLOOKUP('Données projet'!$B$13,Paramètres!$A$1:$I$89,3,0)*VLOOKUP('Données projet'!$B$13,Paramètres!$A$1:$I$89,5,0)</f>
        <v>-2.5006556825246659E-13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376.5422416541544</v>
      </c>
      <c r="CZ172" s="62">
        <f t="shared" si="150"/>
        <v>365.76175372075869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0.40617211387792046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0.40617211387792046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439.06700232017681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2.0572770154103635E-13</v>
      </c>
      <c r="AK173" s="14">
        <f t="shared" si="164"/>
        <v>2.8416956338469711E-12</v>
      </c>
      <c r="AL173" s="22">
        <f t="shared" si="165"/>
        <v>5.3075956424674458E-12</v>
      </c>
      <c r="AM173" s="62">
        <f t="shared" si="113"/>
        <v>293.3333333333386</v>
      </c>
      <c r="AN173" s="62">
        <f ca="1">AVERAGE(OFFSET($AM$3,0,0,'Données projet'!$E$10+1,1))-AVERAGE(OFFSET($H$3,0,0,'Données projet'!$E$10+1,1))</f>
        <v>436.23918637269577</v>
      </c>
      <c r="AO173" s="62">
        <f t="shared" si="144"/>
        <v>611.43967996341894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5.2512053968573918E-2</v>
      </c>
      <c r="AV173" s="23">
        <f>EXP(-LN(2)/25)*AV172+(1-EXP(-LN(2)/25))/(LN(2)/25)*Calculateur!AQ173*Calculateur!AS173*VLOOKUP('Données projet'!$B$10,Paramètres!$A$1:$I$89,3,0)*0.475*44/12</f>
        <v>3.019504653061723E-2</v>
      </c>
      <c r="AW173" s="23">
        <f>EXP(-LN(2)/2)*AW172+(1-EXP(-LN(2)/2))/(LN(2)/2)*AQ173*AT173*VLOOKUP('Données projet'!$B$10,Paramètres!$A$1:$I$89,3,0)*0.475*44/12</f>
        <v>5.0618028804179493E-21</v>
      </c>
      <c r="AX173" s="23">
        <f t="shared" si="166"/>
        <v>8.2707100499191152E-2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4.4337866711430253E-14</v>
      </c>
      <c r="BF173" s="14">
        <f t="shared" si="167"/>
        <v>7.3222115536967035E-13</v>
      </c>
      <c r="BG173" s="22">
        <f t="shared" si="168"/>
        <v>1.3525069634579169E-12</v>
      </c>
      <c r="BH173" s="62">
        <f t="shared" si="116"/>
        <v>293.33333333333468</v>
      </c>
      <c r="BI173" s="62">
        <f ca="1">AVERAGE(OFFSET($BH$3,0,0,'Données projet'!$E$11+1,1))-AVERAGE(OFFSET($H$3,0,0,'Données projet'!$E$11+1,1))</f>
        <v>288.82868507674738</v>
      </c>
      <c r="BJ173" s="62">
        <f t="shared" si="146"/>
        <v>283.48738729114024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projet'!$B$12,Paramètres!$A$1:$I$89,3,0)*VLOOKUP('Données projet'!$B$12,Paramètres!$A$1:$I$89,5,0)</f>
        <v>-1.8089849618263545E-13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298.89893065707554</v>
      </c>
      <c r="CE173" s="62">
        <f t="shared" si="148"/>
        <v>294.28794439094878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-3.4106051316484809E-13</v>
      </c>
      <c r="CU173" s="18">
        <f>CT173*VLOOKUP('Données projet'!$B$13,Paramètres!$A$1:$I$89,3,0)*VLOOKUP('Données projet'!$B$13,Paramètres!$A$1:$I$89,5,0)</f>
        <v>-2.5006556825246659E-13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376.5422416541544</v>
      </c>
      <c r="CZ173" s="62">
        <f t="shared" si="150"/>
        <v>365.76175372075869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0.39506531606426559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0.39506531606426559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439.06700232017681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2.0572770154103635E-13</v>
      </c>
      <c r="AK174" s="14">
        <f t="shared" si="164"/>
        <v>2.8416956338469711E-12</v>
      </c>
      <c r="AL174" s="22">
        <f t="shared" si="165"/>
        <v>5.3075956424674458E-12</v>
      </c>
      <c r="AM174" s="62">
        <f t="shared" si="113"/>
        <v>293.3333333333386</v>
      </c>
      <c r="AN174" s="62">
        <f ca="1">AVERAGE(OFFSET($AM$3,0,0,'Données projet'!$E$10+1,1))-AVERAGE(OFFSET($H$3,0,0,'Données projet'!$E$10+1,1))</f>
        <v>436.23918637269577</v>
      </c>
      <c r="AO174" s="62">
        <f t="shared" si="144"/>
        <v>611.43967996341894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5.1482324619440488E-2</v>
      </c>
      <c r="AV174" s="23">
        <f>EXP(-LN(2)/25)*AV173+(1-EXP(-LN(2)/25))/(LN(2)/25)*Calculateur!AQ174*Calculateur!AS174*VLOOKUP('Données projet'!$B$10,Paramètres!$A$1:$I$89,3,0)*0.475*44/12</f>
        <v>2.9369361395349017E-2</v>
      </c>
      <c r="AW174" s="23">
        <f>EXP(-LN(2)/2)*AW173+(1-EXP(-LN(2)/2))/(LN(2)/2)*AQ174*AT174*VLOOKUP('Données projet'!$B$10,Paramètres!$A$1:$I$89,3,0)*0.475*44/12</f>
        <v>3.5792351417731309E-21</v>
      </c>
      <c r="AX174" s="23">
        <f t="shared" si="166"/>
        <v>8.0851686014789509E-2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4.4337866711430253E-14</v>
      </c>
      <c r="BF174" s="14">
        <f t="shared" si="167"/>
        <v>7.3222115536967035E-13</v>
      </c>
      <c r="BG174" s="22">
        <f t="shared" si="168"/>
        <v>1.3525069634579169E-12</v>
      </c>
      <c r="BH174" s="62">
        <f t="shared" si="116"/>
        <v>293.33333333333468</v>
      </c>
      <c r="BI174" s="62">
        <f ca="1">AVERAGE(OFFSET($BH$3,0,0,'Données projet'!$E$11+1,1))-AVERAGE(OFFSET($H$3,0,0,'Données projet'!$E$11+1,1))</f>
        <v>288.82868507674738</v>
      </c>
      <c r="BJ174" s="62">
        <f t="shared" si="146"/>
        <v>283.48738729114024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projet'!$B$12,Paramètres!$A$1:$I$89,3,0)*VLOOKUP('Données projet'!$B$12,Paramètres!$A$1:$I$89,5,0)</f>
        <v>-1.8089849618263545E-13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298.89893065707554</v>
      </c>
      <c r="CE174" s="62">
        <f t="shared" si="148"/>
        <v>294.28794439094878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-3.4106051316484809E-13</v>
      </c>
      <c r="CU174" s="18">
        <f>CT174*VLOOKUP('Données projet'!$B$13,Paramètres!$A$1:$I$89,3,0)*VLOOKUP('Données projet'!$B$13,Paramètres!$A$1:$I$89,5,0)</f>
        <v>-2.5006556825246659E-13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376.5422416541544</v>
      </c>
      <c r="CZ174" s="62">
        <f t="shared" si="150"/>
        <v>365.76175372075869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0.38426223422090622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0.38426223422090622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439.06700232017681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2.0572770154103635E-13</v>
      </c>
      <c r="AK175" s="14">
        <f t="shared" si="164"/>
        <v>2.8416956338469711E-12</v>
      </c>
      <c r="AL175" s="22">
        <f t="shared" si="165"/>
        <v>5.3075956424674458E-12</v>
      </c>
      <c r="AM175" s="62">
        <f t="shared" si="113"/>
        <v>293.3333333333386</v>
      </c>
      <c r="AN175" s="62">
        <f ca="1">AVERAGE(OFFSET($AM$3,0,0,'Données projet'!$E$10+1,1))-AVERAGE(OFFSET($H$3,0,0,'Données projet'!$E$10+1,1))</f>
        <v>436.23918637269577</v>
      </c>
      <c r="AO175" s="62">
        <f t="shared" si="144"/>
        <v>611.43967996341894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5.0472787634770672E-2</v>
      </c>
      <c r="AV175" s="23">
        <f>EXP(-LN(2)/25)*AV174+(1-EXP(-LN(2)/25))/(LN(2)/25)*Calculateur!AQ175*Calculateur!AS175*VLOOKUP('Données projet'!$B$10,Paramètres!$A$1:$I$89,3,0)*0.475*44/12</f>
        <v>2.8566254663525609E-2</v>
      </c>
      <c r="AW175" s="23">
        <f>EXP(-LN(2)/2)*AW174+(1-EXP(-LN(2)/2))/(LN(2)/2)*AQ175*AT175*VLOOKUP('Données projet'!$B$10,Paramètres!$A$1:$I$89,3,0)*0.475*44/12</f>
        <v>2.5309014402089747E-21</v>
      </c>
      <c r="AX175" s="23">
        <f t="shared" si="166"/>
        <v>7.903904229829628E-2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4.4337866711430253E-14</v>
      </c>
      <c r="BF175" s="14">
        <f t="shared" si="167"/>
        <v>7.3222115536967035E-13</v>
      </c>
      <c r="BG175" s="22">
        <f t="shared" si="168"/>
        <v>1.3525069634579169E-12</v>
      </c>
      <c r="BH175" s="62">
        <f t="shared" si="116"/>
        <v>293.33333333333468</v>
      </c>
      <c r="BI175" s="62">
        <f ca="1">AVERAGE(OFFSET($BH$3,0,0,'Données projet'!$E$11+1,1))-AVERAGE(OFFSET($H$3,0,0,'Données projet'!$E$11+1,1))</f>
        <v>288.82868507674738</v>
      </c>
      <c r="BJ175" s="62">
        <f t="shared" si="146"/>
        <v>283.48738729114024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projet'!$B$12,Paramètres!$A$1:$I$89,3,0)*VLOOKUP('Données projet'!$B$12,Paramètres!$A$1:$I$89,5,0)</f>
        <v>-1.8089849618263545E-13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298.89893065707554</v>
      </c>
      <c r="CE175" s="62">
        <f t="shared" si="148"/>
        <v>294.28794439094878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-3.4106051316484809E-13</v>
      </c>
      <c r="CU175" s="18">
        <f>CT175*VLOOKUP('Données projet'!$B$13,Paramètres!$A$1:$I$89,3,0)*VLOOKUP('Données projet'!$B$13,Paramètres!$A$1:$I$89,5,0)</f>
        <v>-2.5006556825246659E-13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376.5422416541544</v>
      </c>
      <c r="CZ175" s="62">
        <f t="shared" si="150"/>
        <v>365.76175372075869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0.37375456321866291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0.37375456321866291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439.06700232017681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2.0572770154103635E-13</v>
      </c>
      <c r="AK176" s="14">
        <f t="shared" si="164"/>
        <v>2.8416956338469711E-12</v>
      </c>
      <c r="AL176" s="22">
        <f t="shared" si="165"/>
        <v>5.3075956424674458E-12</v>
      </c>
      <c r="AM176" s="62">
        <f t="shared" si="113"/>
        <v>293.3333333333386</v>
      </c>
      <c r="AN176" s="62">
        <f ca="1">AVERAGE(OFFSET($AM$3,0,0,'Données projet'!$E$10+1,1))-AVERAGE(OFFSET($H$3,0,0,'Données projet'!$E$10+1,1))</f>
        <v>436.23918637269577</v>
      </c>
      <c r="AO176" s="62">
        <f t="shared" si="144"/>
        <v>611.43967996341894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4.9483047054613476E-2</v>
      </c>
      <c r="AV176" s="23">
        <f>EXP(-LN(2)/25)*AV175+(1-EXP(-LN(2)/25))/(LN(2)/25)*Calculateur!AQ176*Calculateur!AS176*VLOOKUP('Données projet'!$B$10,Paramètres!$A$1:$I$89,3,0)*0.475*44/12</f>
        <v>2.7785108927517458E-2</v>
      </c>
      <c r="AW176" s="23">
        <f>EXP(-LN(2)/2)*AW175+(1-EXP(-LN(2)/2))/(LN(2)/2)*AQ176*AT176*VLOOKUP('Données projet'!$B$10,Paramètres!$A$1:$I$89,3,0)*0.475*44/12</f>
        <v>1.7896175708865654E-21</v>
      </c>
      <c r="AX176" s="23">
        <f t="shared" si="166"/>
        <v>7.7268155982130937E-2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4.4337866711430253E-14</v>
      </c>
      <c r="BF176" s="14">
        <f t="shared" si="167"/>
        <v>7.3222115536967035E-13</v>
      </c>
      <c r="BG176" s="22">
        <f t="shared" si="168"/>
        <v>1.3525069634579169E-12</v>
      </c>
      <c r="BH176" s="62">
        <f t="shared" si="116"/>
        <v>293.33333333333468</v>
      </c>
      <c r="BI176" s="62">
        <f ca="1">AVERAGE(OFFSET($BH$3,0,0,'Données projet'!$E$11+1,1))-AVERAGE(OFFSET($H$3,0,0,'Données projet'!$E$11+1,1))</f>
        <v>288.82868507674738</v>
      </c>
      <c r="BJ176" s="62">
        <f t="shared" si="146"/>
        <v>283.48738729114024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projet'!$B$12,Paramètres!$A$1:$I$89,3,0)*VLOOKUP('Données projet'!$B$12,Paramètres!$A$1:$I$89,5,0)</f>
        <v>-1.8089849618263545E-13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298.89893065707554</v>
      </c>
      <c r="CE176" s="62">
        <f t="shared" si="148"/>
        <v>294.28794439094878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-3.4106051316484809E-13</v>
      </c>
      <c r="CU176" s="18">
        <f>CT176*VLOOKUP('Données projet'!$B$13,Paramètres!$A$1:$I$89,3,0)*VLOOKUP('Données projet'!$B$13,Paramètres!$A$1:$I$89,5,0)</f>
        <v>-2.5006556825246659E-13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376.5422416541544</v>
      </c>
      <c r="CZ176" s="62">
        <f t="shared" si="150"/>
        <v>365.76175372075869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0.36353422503255034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0.36353422503255034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439.06700232017681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2.0572770154103635E-13</v>
      </c>
      <c r="AK177" s="14">
        <f t="shared" si="164"/>
        <v>2.8416956338469711E-12</v>
      </c>
      <c r="AL177" s="22">
        <f t="shared" si="165"/>
        <v>5.3075956424674458E-12</v>
      </c>
      <c r="AM177" s="62">
        <f t="shared" si="113"/>
        <v>293.3333333333386</v>
      </c>
      <c r="AN177" s="62">
        <f ca="1">AVERAGE(OFFSET($AM$3,0,0,'Données projet'!$E$10+1,1))-AVERAGE(OFFSET($H$3,0,0,'Données projet'!$E$10+1,1))</f>
        <v>436.23918637269577</v>
      </c>
      <c r="AO177" s="62">
        <f t="shared" si="144"/>
        <v>611.43967996341894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4.8512714683551013E-2</v>
      </c>
      <c r="AV177" s="23">
        <f>EXP(-LN(2)/25)*AV176+(1-EXP(-LN(2)/25))/(LN(2)/25)*Calculateur!AQ177*Calculateur!AS177*VLOOKUP('Données projet'!$B$10,Paramètres!$A$1:$I$89,3,0)*0.475*44/12</f>
        <v>2.7025323662739117E-2</v>
      </c>
      <c r="AW177" s="23">
        <f>EXP(-LN(2)/2)*AW176+(1-EXP(-LN(2)/2))/(LN(2)/2)*AQ177*AT177*VLOOKUP('Données projet'!$B$10,Paramètres!$A$1:$I$89,3,0)*0.475*44/12</f>
        <v>1.2654507201044873E-21</v>
      </c>
      <c r="AX177" s="23">
        <f t="shared" si="166"/>
        <v>7.5538038346290137E-2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4.4337866711430253E-14</v>
      </c>
      <c r="BF177" s="14">
        <f t="shared" si="167"/>
        <v>7.3222115536967035E-13</v>
      </c>
      <c r="BG177" s="22">
        <f t="shared" si="168"/>
        <v>1.3525069634579169E-12</v>
      </c>
      <c r="BH177" s="62">
        <f t="shared" si="116"/>
        <v>293.33333333333468</v>
      </c>
      <c r="BI177" s="62">
        <f ca="1">AVERAGE(OFFSET($BH$3,0,0,'Données projet'!$E$11+1,1))-AVERAGE(OFFSET($H$3,0,0,'Données projet'!$E$11+1,1))</f>
        <v>288.82868507674738</v>
      </c>
      <c r="BJ177" s="62">
        <f t="shared" si="146"/>
        <v>283.48738729114024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projet'!$B$12,Paramètres!$A$1:$I$89,3,0)*VLOOKUP('Données projet'!$B$12,Paramètres!$A$1:$I$89,5,0)</f>
        <v>-1.8089849618263545E-13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298.89893065707554</v>
      </c>
      <c r="CE177" s="62">
        <f t="shared" si="148"/>
        <v>294.28794439094878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-3.4106051316484809E-13</v>
      </c>
      <c r="CU177" s="18">
        <f>CT177*VLOOKUP('Données projet'!$B$13,Paramètres!$A$1:$I$89,3,0)*VLOOKUP('Données projet'!$B$13,Paramètres!$A$1:$I$89,5,0)</f>
        <v>-2.5006556825246659E-13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376.5422416541544</v>
      </c>
      <c r="CZ177" s="62">
        <f t="shared" si="150"/>
        <v>365.76175372075869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0.35359336253160123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0.35359336253160123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439.06700232017681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2.0572770154103635E-13</v>
      </c>
      <c r="AK178" s="14">
        <f t="shared" si="164"/>
        <v>2.8416956338469711E-12</v>
      </c>
      <c r="AL178" s="22">
        <f t="shared" si="165"/>
        <v>5.3075956424674458E-12</v>
      </c>
      <c r="AM178" s="62">
        <f t="shared" si="113"/>
        <v>293.3333333333386</v>
      </c>
      <c r="AN178" s="62">
        <f ca="1">AVERAGE(OFFSET($AM$3,0,0,'Données projet'!$E$10+1,1))-AVERAGE(OFFSET($H$3,0,0,'Données projet'!$E$10+1,1))</f>
        <v>436.23918637269577</v>
      </c>
      <c r="AO178" s="62">
        <f t="shared" si="144"/>
        <v>611.43967996341894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4.7561409938440782E-2</v>
      </c>
      <c r="AV178" s="23">
        <f>EXP(-LN(2)/25)*AV177+(1-EXP(-LN(2)/25))/(LN(2)/25)*Calculateur!AQ178*Calculateur!AS178*VLOOKUP('Données projet'!$B$10,Paramètres!$A$1:$I$89,3,0)*0.475*44/12</f>
        <v>2.6286314765981512E-2</v>
      </c>
      <c r="AW178" s="23">
        <f>EXP(-LN(2)/2)*AW177+(1-EXP(-LN(2)/2))/(LN(2)/2)*AQ178*AT178*VLOOKUP('Données projet'!$B$10,Paramètres!$A$1:$I$89,3,0)*0.475*44/12</f>
        <v>8.9480878544328272E-22</v>
      </c>
      <c r="AX178" s="23">
        <f t="shared" si="166"/>
        <v>7.3847724704422302E-2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4.4337866711430253E-14</v>
      </c>
      <c r="BF178" s="14">
        <f t="shared" si="167"/>
        <v>7.3222115536967035E-13</v>
      </c>
      <c r="BG178" s="22">
        <f t="shared" si="168"/>
        <v>1.3525069634579169E-12</v>
      </c>
      <c r="BH178" s="62">
        <f t="shared" si="116"/>
        <v>293.33333333333468</v>
      </c>
      <c r="BI178" s="62">
        <f ca="1">AVERAGE(OFFSET($BH$3,0,0,'Données projet'!$E$11+1,1))-AVERAGE(OFFSET($H$3,0,0,'Données projet'!$E$11+1,1))</f>
        <v>288.82868507674738</v>
      </c>
      <c r="BJ178" s="62">
        <f t="shared" si="146"/>
        <v>283.48738729114024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projet'!$B$12,Paramètres!$A$1:$I$89,3,0)*VLOOKUP('Données projet'!$B$12,Paramètres!$A$1:$I$89,5,0)</f>
        <v>-1.8089849618263545E-13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298.89893065707554</v>
      </c>
      <c r="CE178" s="62">
        <f t="shared" si="148"/>
        <v>294.28794439094878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-3.4106051316484809E-13</v>
      </c>
      <c r="CU178" s="18">
        <f>CT178*VLOOKUP('Données projet'!$B$13,Paramètres!$A$1:$I$89,3,0)*VLOOKUP('Données projet'!$B$13,Paramètres!$A$1:$I$89,5,0)</f>
        <v>-2.5006556825246659E-13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376.5422416541544</v>
      </c>
      <c r="CZ178" s="62">
        <f t="shared" si="150"/>
        <v>365.76175372075869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0.34392433343850781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0.34392433343850781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439.06700232017681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2.0572770154103635E-13</v>
      </c>
      <c r="AK179" s="14">
        <f t="shared" si="164"/>
        <v>2.8416956338469711E-12</v>
      </c>
      <c r="AL179" s="22">
        <f t="shared" si="165"/>
        <v>5.3075956424674458E-12</v>
      </c>
      <c r="AM179" s="62">
        <f t="shared" si="113"/>
        <v>293.3333333333386</v>
      </c>
      <c r="AN179" s="62">
        <f ca="1">AVERAGE(OFFSET($AM$3,0,0,'Données projet'!$E$10+1,1))-AVERAGE(OFFSET($H$3,0,0,'Données projet'!$E$10+1,1))</f>
        <v>436.23918637269577</v>
      </c>
      <c r="AO179" s="62">
        <f t="shared" si="144"/>
        <v>611.43967996341894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4.6628759699143561E-2</v>
      </c>
      <c r="AV179" s="23">
        <f>EXP(-LN(2)/25)*AV178+(1-EXP(-LN(2)/25))/(LN(2)/25)*Calculateur!AQ179*Calculateur!AS179*VLOOKUP('Données projet'!$B$10,Paramètres!$A$1:$I$89,3,0)*0.475*44/12</f>
        <v>2.5567514106368532E-2</v>
      </c>
      <c r="AW179" s="23">
        <f>EXP(-LN(2)/2)*AW178+(1-EXP(-LN(2)/2))/(LN(2)/2)*AQ179*AT179*VLOOKUP('Données projet'!$B$10,Paramètres!$A$1:$I$89,3,0)*0.475*44/12</f>
        <v>6.3272536005224367E-22</v>
      </c>
      <c r="AX179" s="23">
        <f t="shared" si="166"/>
        <v>7.2196273805512093E-2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4.4337866711430253E-14</v>
      </c>
      <c r="BF179" s="14">
        <f t="shared" si="167"/>
        <v>7.3222115536967035E-13</v>
      </c>
      <c r="BG179" s="22">
        <f t="shared" si="168"/>
        <v>1.3525069634579169E-12</v>
      </c>
      <c r="BH179" s="62">
        <f t="shared" si="116"/>
        <v>293.33333333333468</v>
      </c>
      <c r="BI179" s="62">
        <f ca="1">AVERAGE(OFFSET($BH$3,0,0,'Données projet'!$E$11+1,1))-AVERAGE(OFFSET($H$3,0,0,'Données projet'!$E$11+1,1))</f>
        <v>288.82868507674738</v>
      </c>
      <c r="BJ179" s="62">
        <f t="shared" si="146"/>
        <v>283.48738729114024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projet'!$B$12,Paramètres!$A$1:$I$89,3,0)*VLOOKUP('Données projet'!$B$12,Paramètres!$A$1:$I$89,5,0)</f>
        <v>-1.8089849618263545E-13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298.89893065707554</v>
      </c>
      <c r="CE179" s="62">
        <f t="shared" si="148"/>
        <v>294.28794439094878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-3.4106051316484809E-13</v>
      </c>
      <c r="CU179" s="18">
        <f>CT179*VLOOKUP('Données projet'!$B$13,Paramètres!$A$1:$I$89,3,0)*VLOOKUP('Données projet'!$B$13,Paramètres!$A$1:$I$89,5,0)</f>
        <v>-2.5006556825246659E-13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376.5422416541544</v>
      </c>
      <c r="CZ179" s="62">
        <f t="shared" si="150"/>
        <v>365.76175372075869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0.33451970445443718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0.33451970445443718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439.06700232017681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2.0572770154103635E-13</v>
      </c>
      <c r="AK180" s="14">
        <f t="shared" si="164"/>
        <v>2.8416956338469711E-12</v>
      </c>
      <c r="AL180" s="22">
        <f t="shared" si="165"/>
        <v>5.3075956424674458E-12</v>
      </c>
      <c r="AM180" s="62">
        <f t="shared" si="113"/>
        <v>293.3333333333386</v>
      </c>
      <c r="AN180" s="62">
        <f ca="1">AVERAGE(OFFSET($AM$3,0,0,'Données projet'!$E$10+1,1))-AVERAGE(OFFSET($H$3,0,0,'Données projet'!$E$10+1,1))</f>
        <v>436.23918637269577</v>
      </c>
      <c r="AO180" s="62">
        <f t="shared" si="144"/>
        <v>611.43967996341894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4.5714398162178482E-2</v>
      </c>
      <c r="AV180" s="23">
        <f>EXP(-LN(2)/25)*AV179+(1-EXP(-LN(2)/25))/(LN(2)/25)*Calculateur!AQ180*Calculateur!AS180*VLOOKUP('Données projet'!$B$10,Paramètres!$A$1:$I$89,3,0)*0.475*44/12</f>
        <v>2.4868369088592752E-2</v>
      </c>
      <c r="AW180" s="23">
        <f>EXP(-LN(2)/2)*AW179+(1-EXP(-LN(2)/2))/(LN(2)/2)*AQ180*AT180*VLOOKUP('Données projet'!$B$10,Paramètres!$A$1:$I$89,3,0)*0.475*44/12</f>
        <v>4.4740439272164136E-22</v>
      </c>
      <c r="AX180" s="23">
        <f t="shared" si="166"/>
        <v>7.0582767250771228E-2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4.4337866711430253E-14</v>
      </c>
      <c r="BF180" s="14">
        <f t="shared" si="167"/>
        <v>7.3222115536967035E-13</v>
      </c>
      <c r="BG180" s="22">
        <f t="shared" si="168"/>
        <v>1.3525069634579169E-12</v>
      </c>
      <c r="BH180" s="62">
        <f t="shared" si="116"/>
        <v>293.33333333333468</v>
      </c>
      <c r="BI180" s="62">
        <f ca="1">AVERAGE(OFFSET($BH$3,0,0,'Données projet'!$E$11+1,1))-AVERAGE(OFFSET($H$3,0,0,'Données projet'!$E$11+1,1))</f>
        <v>288.82868507674738</v>
      </c>
      <c r="BJ180" s="62">
        <f t="shared" si="146"/>
        <v>283.48738729114024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projet'!$B$12,Paramètres!$A$1:$I$89,3,0)*VLOOKUP('Données projet'!$B$12,Paramètres!$A$1:$I$89,5,0)</f>
        <v>-1.8089849618263545E-13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298.89893065707554</v>
      </c>
      <c r="CE180" s="62">
        <f t="shared" si="148"/>
        <v>294.28794439094878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-3.4106051316484809E-13</v>
      </c>
      <c r="CU180" s="18">
        <f>CT180*VLOOKUP('Données projet'!$B$13,Paramètres!$A$1:$I$89,3,0)*VLOOKUP('Données projet'!$B$13,Paramètres!$A$1:$I$89,5,0)</f>
        <v>-2.5006556825246659E-13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376.5422416541544</v>
      </c>
      <c r="CZ180" s="62">
        <f t="shared" si="150"/>
        <v>365.76175372075869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0.32537224554450389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0.32537224554450389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439.06700232017681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2.0572770154103635E-13</v>
      </c>
      <c r="AK181" s="14">
        <f t="shared" si="164"/>
        <v>2.8416956338469711E-12</v>
      </c>
      <c r="AL181" s="22">
        <f t="shared" si="165"/>
        <v>5.3075956424674458E-12</v>
      </c>
      <c r="AM181" s="62">
        <f t="shared" si="113"/>
        <v>293.3333333333386</v>
      </c>
      <c r="AN181" s="62">
        <f ca="1">AVERAGE(OFFSET($AM$3,0,0,'Données projet'!$E$10+1,1))-AVERAGE(OFFSET($H$3,0,0,'Données projet'!$E$10+1,1))</f>
        <v>436.23918637269577</v>
      </c>
      <c r="AO181" s="62">
        <f t="shared" si="144"/>
        <v>611.43967996341894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4.4817966697247823E-2</v>
      </c>
      <c r="AV181" s="23">
        <f>EXP(-LN(2)/25)*AV180+(1-EXP(-LN(2)/25))/(LN(2)/25)*Calculateur!AQ181*Calculateur!AS181*VLOOKUP('Données projet'!$B$10,Paramètres!$A$1:$I$89,3,0)*0.475*44/12</f>
        <v>2.4188342228094489E-2</v>
      </c>
      <c r="AW181" s="23">
        <f>EXP(-LN(2)/2)*AW180+(1-EXP(-LN(2)/2))/(LN(2)/2)*AQ181*AT181*VLOOKUP('Données projet'!$B$10,Paramètres!$A$1:$I$89,3,0)*0.475*44/12</f>
        <v>3.1636268002612183E-22</v>
      </c>
      <c r="AX181" s="23">
        <f t="shared" si="166"/>
        <v>6.9006308925342319E-2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4.4337866711430253E-14</v>
      </c>
      <c r="BF181" s="14">
        <f t="shared" si="167"/>
        <v>7.3222115536967035E-13</v>
      </c>
      <c r="BG181" s="22">
        <f t="shared" si="168"/>
        <v>1.3525069634579169E-12</v>
      </c>
      <c r="BH181" s="62">
        <f t="shared" si="116"/>
        <v>293.33333333333468</v>
      </c>
      <c r="BI181" s="62">
        <f ca="1">AVERAGE(OFFSET($BH$3,0,0,'Données projet'!$E$11+1,1))-AVERAGE(OFFSET($H$3,0,0,'Données projet'!$E$11+1,1))</f>
        <v>288.82868507674738</v>
      </c>
      <c r="BJ181" s="62">
        <f t="shared" si="146"/>
        <v>283.48738729114024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projet'!$B$12,Paramètres!$A$1:$I$89,3,0)*VLOOKUP('Données projet'!$B$12,Paramètres!$A$1:$I$89,5,0)</f>
        <v>-1.8089849618263545E-13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298.89893065707554</v>
      </c>
      <c r="CE181" s="62">
        <f t="shared" si="148"/>
        <v>294.28794439094878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-3.4106051316484809E-13</v>
      </c>
      <c r="CU181" s="18">
        <f>CT181*VLOOKUP('Données projet'!$B$13,Paramètres!$A$1:$I$89,3,0)*VLOOKUP('Données projet'!$B$13,Paramètres!$A$1:$I$89,5,0)</f>
        <v>-2.5006556825246659E-13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376.5422416541544</v>
      </c>
      <c r="CZ181" s="62">
        <f t="shared" si="150"/>
        <v>365.76175372075869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0.31647492437950669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0.31647492437950669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439.06700232017681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2.0572770154103635E-13</v>
      </c>
      <c r="AK182" s="14">
        <f t="shared" si="164"/>
        <v>2.8416956338469711E-12</v>
      </c>
      <c r="AL182" s="22">
        <f t="shared" si="165"/>
        <v>5.3075956424674458E-12</v>
      </c>
      <c r="AM182" s="62">
        <f t="shared" si="113"/>
        <v>293.3333333333386</v>
      </c>
      <c r="AN182" s="62">
        <f ca="1">AVERAGE(OFFSET($AM$3,0,0,'Données projet'!$E$10+1,1))-AVERAGE(OFFSET($H$3,0,0,'Données projet'!$E$10+1,1))</f>
        <v>436.23918637269577</v>
      </c>
      <c r="AO182" s="62">
        <f t="shared" si="144"/>
        <v>611.43967996341894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4.3939113706575245E-2</v>
      </c>
      <c r="AV182" s="23">
        <f>EXP(-LN(2)/25)*AV181+(1-EXP(-LN(2)/25))/(LN(2)/25)*Calculateur!AQ182*Calculateur!AS182*VLOOKUP('Données projet'!$B$10,Paramètres!$A$1:$I$89,3,0)*0.475*44/12</f>
        <v>2.352691073785761E-2</v>
      </c>
      <c r="AW182" s="23">
        <f>EXP(-LN(2)/2)*AW181+(1-EXP(-LN(2)/2))/(LN(2)/2)*AQ182*AT182*VLOOKUP('Données projet'!$B$10,Paramètres!$A$1:$I$89,3,0)*0.475*44/12</f>
        <v>2.2370219636082068E-22</v>
      </c>
      <c r="AX182" s="23">
        <f t="shared" si="166"/>
        <v>6.7466024444432851E-2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4.4337866711430253E-14</v>
      </c>
      <c r="BF182" s="14">
        <f t="shared" si="167"/>
        <v>7.3222115536967035E-13</v>
      </c>
      <c r="BG182" s="22">
        <f t="shared" si="168"/>
        <v>1.3525069634579169E-12</v>
      </c>
      <c r="BH182" s="62">
        <f t="shared" si="116"/>
        <v>293.33333333333468</v>
      </c>
      <c r="BI182" s="62">
        <f ca="1">AVERAGE(OFFSET($BH$3,0,0,'Données projet'!$E$11+1,1))-AVERAGE(OFFSET($H$3,0,0,'Données projet'!$E$11+1,1))</f>
        <v>288.82868507674738</v>
      </c>
      <c r="BJ182" s="62">
        <f t="shared" si="146"/>
        <v>283.48738729114024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projet'!$B$12,Paramètres!$A$1:$I$89,3,0)*VLOOKUP('Données projet'!$B$12,Paramètres!$A$1:$I$89,5,0)</f>
        <v>-1.8089849618263545E-13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298.89893065707554</v>
      </c>
      <c r="CE182" s="62">
        <f t="shared" si="148"/>
        <v>294.28794439094878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-3.4106051316484809E-13</v>
      </c>
      <c r="CU182" s="18">
        <f>CT182*VLOOKUP('Données projet'!$B$13,Paramètres!$A$1:$I$89,3,0)*VLOOKUP('Données projet'!$B$13,Paramètres!$A$1:$I$89,5,0)</f>
        <v>-2.5006556825246659E-13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376.5422416541544</v>
      </c>
      <c r="CZ182" s="62">
        <f t="shared" si="150"/>
        <v>365.76175372075869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0.30782090092965614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0.30782090092965614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439.06700232017681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2.0572770154103635E-13</v>
      </c>
      <c r="AK183" s="14">
        <f t="shared" si="164"/>
        <v>2.8416956338469711E-12</v>
      </c>
      <c r="AL183" s="22">
        <f t="shared" si="165"/>
        <v>5.3075956424674458E-12</v>
      </c>
      <c r="AM183" s="62">
        <f t="shared" si="113"/>
        <v>293.3333333333386</v>
      </c>
      <c r="AN183" s="62">
        <f ca="1">AVERAGE(OFFSET($AM$3,0,0,'Données projet'!$E$10+1,1))-AVERAGE(OFFSET($H$3,0,0,'Données projet'!$E$10+1,1))</f>
        <v>436.23918637269577</v>
      </c>
      <c r="AO183" s="62">
        <f t="shared" si="144"/>
        <v>611.43967996341894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4.3077494487002363E-2</v>
      </c>
      <c r="AV183" s="23">
        <f>EXP(-LN(2)/25)*AV182+(1-EXP(-LN(2)/25))/(LN(2)/25)*Calculateur!AQ183*Calculateur!AS183*VLOOKUP('Données projet'!$B$10,Paramètres!$A$1:$I$89,3,0)*0.475*44/12</f>
        <v>2.2883566126504429E-2</v>
      </c>
      <c r="AW183" s="23">
        <f>EXP(-LN(2)/2)*AW182+(1-EXP(-LN(2)/2))/(LN(2)/2)*AQ183*AT183*VLOOKUP('Données projet'!$B$10,Paramètres!$A$1:$I$89,3,0)*0.475*44/12</f>
        <v>1.5818134001306092E-22</v>
      </c>
      <c r="AX183" s="23">
        <f t="shared" si="166"/>
        <v>6.5961060613506789E-2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4.4337866711430253E-14</v>
      </c>
      <c r="BF183" s="14">
        <f t="shared" si="167"/>
        <v>7.3222115536967035E-13</v>
      </c>
      <c r="BG183" s="22">
        <f t="shared" si="168"/>
        <v>1.3525069634579169E-12</v>
      </c>
      <c r="BH183" s="62">
        <f t="shared" si="116"/>
        <v>293.33333333333468</v>
      </c>
      <c r="BI183" s="62">
        <f ca="1">AVERAGE(OFFSET($BH$3,0,0,'Données projet'!$E$11+1,1))-AVERAGE(OFFSET($H$3,0,0,'Données projet'!$E$11+1,1))</f>
        <v>288.82868507674738</v>
      </c>
      <c r="BJ183" s="62">
        <f t="shared" si="146"/>
        <v>283.48738729114024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projet'!$B$12,Paramètres!$A$1:$I$89,3,0)*VLOOKUP('Données projet'!$B$12,Paramètres!$A$1:$I$89,5,0)</f>
        <v>-1.8089849618263545E-13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298.89893065707554</v>
      </c>
      <c r="CE183" s="62">
        <f t="shared" si="148"/>
        <v>294.28794439094878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-3.4106051316484809E-13</v>
      </c>
      <c r="CU183" s="18">
        <f>CT183*VLOOKUP('Données projet'!$B$13,Paramètres!$A$1:$I$89,3,0)*VLOOKUP('Données projet'!$B$13,Paramètres!$A$1:$I$89,5,0)</f>
        <v>-2.5006556825246659E-13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376.5422416541544</v>
      </c>
      <c r="CZ183" s="62">
        <f t="shared" si="150"/>
        <v>365.76175372075869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0.29940352220613703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0.29940352220613703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439.06700232017681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2.0572770154103635E-13</v>
      </c>
      <c r="AK184" s="14">
        <f t="shared" si="164"/>
        <v>2.8416956338469711E-12</v>
      </c>
      <c r="AL184" s="22">
        <f t="shared" si="165"/>
        <v>5.3075956424674458E-12</v>
      </c>
      <c r="AM184" s="62">
        <f t="shared" si="113"/>
        <v>293.3333333333386</v>
      </c>
      <c r="AN184" s="62">
        <f ca="1">AVERAGE(OFFSET($AM$3,0,0,'Données projet'!$E$10+1,1))-AVERAGE(OFFSET($H$3,0,0,'Données projet'!$E$10+1,1))</f>
        <v>436.23918637269577</v>
      </c>
      <c r="AO184" s="62">
        <f t="shared" si="144"/>
        <v>611.43967996341894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4.2232771094789477E-2</v>
      </c>
      <c r="AV184" s="23">
        <f>EXP(-LN(2)/25)*AV183+(1-EXP(-LN(2)/25))/(LN(2)/25)*Calculateur!AQ184*Calculateur!AS184*VLOOKUP('Données projet'!$B$10,Paramètres!$A$1:$I$89,3,0)*0.475*44/12</f>
        <v>2.2257813807380726E-2</v>
      </c>
      <c r="AW184" s="23">
        <f>EXP(-LN(2)/2)*AW183+(1-EXP(-LN(2)/2))/(LN(2)/2)*AQ184*AT184*VLOOKUP('Données projet'!$B$10,Paramètres!$A$1:$I$89,3,0)*0.475*44/12</f>
        <v>1.1185109818041034E-22</v>
      </c>
      <c r="AX184" s="23">
        <f t="shared" si="166"/>
        <v>6.4490584902170203E-2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4.4337866711430253E-14</v>
      </c>
      <c r="BF184" s="14">
        <f t="shared" si="167"/>
        <v>7.3222115536967035E-13</v>
      </c>
      <c r="BG184" s="22">
        <f t="shared" si="168"/>
        <v>1.3525069634579169E-12</v>
      </c>
      <c r="BH184" s="62">
        <f t="shared" si="116"/>
        <v>293.33333333333468</v>
      </c>
      <c r="BI184" s="62">
        <f ca="1">AVERAGE(OFFSET($BH$3,0,0,'Données projet'!$E$11+1,1))-AVERAGE(OFFSET($H$3,0,0,'Données projet'!$E$11+1,1))</f>
        <v>288.82868507674738</v>
      </c>
      <c r="BJ184" s="62">
        <f t="shared" si="146"/>
        <v>283.48738729114024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projet'!$B$12,Paramètres!$A$1:$I$89,3,0)*VLOOKUP('Données projet'!$B$12,Paramètres!$A$1:$I$89,5,0)</f>
        <v>-1.8089849618263545E-13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298.89893065707554</v>
      </c>
      <c r="CE184" s="62">
        <f t="shared" si="148"/>
        <v>294.28794439094878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-3.4106051316484809E-13</v>
      </c>
      <c r="CU184" s="18">
        <f>CT184*VLOOKUP('Données projet'!$B$13,Paramètres!$A$1:$I$89,3,0)*VLOOKUP('Données projet'!$B$13,Paramètres!$A$1:$I$89,5,0)</f>
        <v>-2.5006556825246659E-13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376.5422416541544</v>
      </c>
      <c r="CZ184" s="62">
        <f t="shared" si="150"/>
        <v>365.76175372075869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0.29121631714646329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0.29121631714646329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439.06700232017681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2.0572770154103635E-13</v>
      </c>
      <c r="AK185" s="14">
        <f t="shared" si="164"/>
        <v>2.8416956338469711E-12</v>
      </c>
      <c r="AL185" s="22">
        <f t="shared" si="165"/>
        <v>5.3075956424674458E-12</v>
      </c>
      <c r="AM185" s="62">
        <f t="shared" si="113"/>
        <v>293.3333333333386</v>
      </c>
      <c r="AN185" s="62">
        <f ca="1">AVERAGE(OFFSET($AM$3,0,0,'Données projet'!$E$10+1,1))-AVERAGE(OFFSET($H$3,0,0,'Données projet'!$E$10+1,1))</f>
        <v>436.23918637269577</v>
      </c>
      <c r="AO185" s="62">
        <f t="shared" si="144"/>
        <v>611.43967996341894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4.1404612213067488E-2</v>
      </c>
      <c r="AV185" s="23">
        <f>EXP(-LN(2)/25)*AV184+(1-EXP(-LN(2)/25))/(LN(2)/25)*Calculateur!AQ185*Calculateur!AS185*VLOOKUP('Données projet'!$B$10,Paramètres!$A$1:$I$89,3,0)*0.475*44/12</f>
        <v>2.1649172718330344E-2</v>
      </c>
      <c r="AW185" s="23">
        <f>EXP(-LN(2)/2)*AW184+(1-EXP(-LN(2)/2))/(LN(2)/2)*AQ185*AT185*VLOOKUP('Données projet'!$B$10,Paramètres!$A$1:$I$89,3,0)*0.475*44/12</f>
        <v>7.9090670006530459E-23</v>
      </c>
      <c r="AX185" s="23">
        <f t="shared" si="166"/>
        <v>6.3053784931397835E-2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4.4337866711430253E-14</v>
      </c>
      <c r="BF185" s="14">
        <f t="shared" si="167"/>
        <v>7.3222115536967035E-13</v>
      </c>
      <c r="BG185" s="22">
        <f t="shared" si="168"/>
        <v>1.3525069634579169E-12</v>
      </c>
      <c r="BH185" s="62">
        <f t="shared" si="116"/>
        <v>293.33333333333468</v>
      </c>
      <c r="BI185" s="62">
        <f ca="1">AVERAGE(OFFSET($BH$3,0,0,'Données projet'!$E$11+1,1))-AVERAGE(OFFSET($H$3,0,0,'Données projet'!$E$11+1,1))</f>
        <v>288.82868507674738</v>
      </c>
      <c r="BJ185" s="62">
        <f t="shared" si="146"/>
        <v>283.48738729114024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projet'!$B$12,Paramètres!$A$1:$I$89,3,0)*VLOOKUP('Données projet'!$B$12,Paramètres!$A$1:$I$89,5,0)</f>
        <v>-1.8089849618263545E-13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298.89893065707554</v>
      </c>
      <c r="CE185" s="62">
        <f t="shared" si="148"/>
        <v>294.28794439094878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-3.4106051316484809E-13</v>
      </c>
      <c r="CU185" s="18">
        <f>CT185*VLOOKUP('Données projet'!$B$13,Paramètres!$A$1:$I$89,3,0)*VLOOKUP('Données projet'!$B$13,Paramètres!$A$1:$I$89,5,0)</f>
        <v>-2.5006556825246659E-13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376.5422416541544</v>
      </c>
      <c r="CZ185" s="62">
        <f t="shared" si="150"/>
        <v>365.76175372075869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0.2832529916396927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0.2832529916396927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439.06700232017681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2.0572770154103635E-13</v>
      </c>
      <c r="AK186" s="14">
        <f t="shared" si="164"/>
        <v>2.8416956338469711E-12</v>
      </c>
      <c r="AL186" s="22">
        <f t="shared" si="165"/>
        <v>5.3075956424674458E-12</v>
      </c>
      <c r="AM186" s="62">
        <f t="shared" si="113"/>
        <v>293.3333333333386</v>
      </c>
      <c r="AN186" s="62">
        <f ca="1">AVERAGE(OFFSET($AM$3,0,0,'Données projet'!$E$10+1,1))-AVERAGE(OFFSET($H$3,0,0,'Données projet'!$E$10+1,1))</f>
        <v>436.23918637269577</v>
      </c>
      <c r="AO186" s="62">
        <f t="shared" si="144"/>
        <v>611.43967996341894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4.0592693021889024E-2</v>
      </c>
      <c r="AV186" s="23">
        <f>EXP(-LN(2)/25)*AV185+(1-EXP(-LN(2)/25))/(LN(2)/25)*Calculateur!AQ186*Calculateur!AS186*VLOOKUP('Données projet'!$B$10,Paramètres!$A$1:$I$89,3,0)*0.475*44/12</f>
        <v>2.1057174951867087E-2</v>
      </c>
      <c r="AW186" s="23">
        <f>EXP(-LN(2)/2)*AW185+(1-EXP(-LN(2)/2))/(LN(2)/2)*AQ186*AT186*VLOOKUP('Données projet'!$B$10,Paramètres!$A$1:$I$89,3,0)*0.475*44/12</f>
        <v>5.592554909020517E-23</v>
      </c>
      <c r="AX186" s="23">
        <f t="shared" si="166"/>
        <v>6.1649867973756114E-2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4.4337866711430253E-14</v>
      </c>
      <c r="BF186" s="14">
        <f t="shared" si="167"/>
        <v>7.3222115536967035E-13</v>
      </c>
      <c r="BG186" s="22">
        <f t="shared" si="168"/>
        <v>1.3525069634579169E-12</v>
      </c>
      <c r="BH186" s="62">
        <f t="shared" si="116"/>
        <v>293.33333333333468</v>
      </c>
      <c r="BI186" s="62">
        <f ca="1">AVERAGE(OFFSET($BH$3,0,0,'Données projet'!$E$11+1,1))-AVERAGE(OFFSET($H$3,0,0,'Données projet'!$E$11+1,1))</f>
        <v>288.82868507674738</v>
      </c>
      <c r="BJ186" s="62">
        <f t="shared" si="146"/>
        <v>283.48738729114024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projet'!$B$12,Paramètres!$A$1:$I$89,3,0)*VLOOKUP('Données projet'!$B$12,Paramètres!$A$1:$I$89,5,0)</f>
        <v>-1.8089849618263545E-13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298.89893065707554</v>
      </c>
      <c r="CE186" s="62">
        <f t="shared" si="148"/>
        <v>294.28794439094878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-3.4106051316484809E-13</v>
      </c>
      <c r="CU186" s="18">
        <f>CT186*VLOOKUP('Données projet'!$B$13,Paramètres!$A$1:$I$89,3,0)*VLOOKUP('Données projet'!$B$13,Paramètres!$A$1:$I$89,5,0)</f>
        <v>-2.5006556825246659E-13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376.5422416541544</v>
      </c>
      <c r="CZ186" s="62">
        <f t="shared" si="150"/>
        <v>365.76175372075869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0.27550742368767783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0.27550742368767783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439.06700232017681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2.0572770154103635E-13</v>
      </c>
      <c r="AK187" s="14">
        <f t="shared" si="164"/>
        <v>2.8416956338469711E-12</v>
      </c>
      <c r="AL187" s="22">
        <f t="shared" si="165"/>
        <v>5.3075956424674458E-12</v>
      </c>
      <c r="AM187" s="62">
        <f t="shared" si="113"/>
        <v>293.3333333333386</v>
      </c>
      <c r="AN187" s="62">
        <f ca="1">AVERAGE(OFFSET($AM$3,0,0,'Données projet'!$E$10+1,1))-AVERAGE(OFFSET($H$3,0,0,'Données projet'!$E$10+1,1))</f>
        <v>436.23918637269577</v>
      </c>
      <c r="AO187" s="62">
        <f t="shared" si="144"/>
        <v>611.43967996341894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3.9796695070827767E-2</v>
      </c>
      <c r="AV187" s="23">
        <f>EXP(-LN(2)/25)*AV186+(1-EXP(-LN(2)/25))/(LN(2)/25)*Calculateur!AQ187*Calculateur!AS187*VLOOKUP('Données projet'!$B$10,Paramètres!$A$1:$I$89,3,0)*0.475*44/12</f>
        <v>2.0481365395459576E-2</v>
      </c>
      <c r="AW187" s="23">
        <f>EXP(-LN(2)/2)*AW186+(1-EXP(-LN(2)/2))/(LN(2)/2)*AQ187*AT187*VLOOKUP('Données projet'!$B$10,Paramètres!$A$1:$I$89,3,0)*0.475*44/12</f>
        <v>3.9545335003265229E-23</v>
      </c>
      <c r="AX187" s="23">
        <f t="shared" si="166"/>
        <v>6.0278060466287343E-2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4.4337866711430253E-14</v>
      </c>
      <c r="BF187" s="14">
        <f t="shared" si="167"/>
        <v>7.3222115536967035E-13</v>
      </c>
      <c r="BG187" s="22">
        <f t="shared" si="168"/>
        <v>1.3525069634579169E-12</v>
      </c>
      <c r="BH187" s="62">
        <f t="shared" si="116"/>
        <v>293.33333333333468</v>
      </c>
      <c r="BI187" s="62">
        <f ca="1">AVERAGE(OFFSET($BH$3,0,0,'Données projet'!$E$11+1,1))-AVERAGE(OFFSET($H$3,0,0,'Données projet'!$E$11+1,1))</f>
        <v>288.82868507674738</v>
      </c>
      <c r="BJ187" s="62">
        <f t="shared" si="146"/>
        <v>283.48738729114024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projet'!$B$12,Paramètres!$A$1:$I$89,3,0)*VLOOKUP('Données projet'!$B$12,Paramètres!$A$1:$I$89,5,0)</f>
        <v>-1.8089849618263545E-13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298.89893065707554</v>
      </c>
      <c r="CE187" s="62">
        <f t="shared" si="148"/>
        <v>294.28794439094878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-3.4106051316484809E-13</v>
      </c>
      <c r="CU187" s="18">
        <f>CT187*VLOOKUP('Données projet'!$B$13,Paramètres!$A$1:$I$89,3,0)*VLOOKUP('Données projet'!$B$13,Paramètres!$A$1:$I$89,5,0)</f>
        <v>-2.5006556825246659E-13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376.5422416541544</v>
      </c>
      <c r="CZ187" s="62">
        <f t="shared" si="150"/>
        <v>365.76175372075869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0.26797365869863254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0.26797365869863254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439.06700232017681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2.0572770154103635E-13</v>
      </c>
      <c r="AK188" s="14">
        <f t="shared" si="164"/>
        <v>2.8416956338469711E-12</v>
      </c>
      <c r="AL188" s="22">
        <f t="shared" si="165"/>
        <v>5.3075956424674458E-12</v>
      </c>
      <c r="AM188" s="62">
        <f t="shared" si="113"/>
        <v>293.3333333333386</v>
      </c>
      <c r="AN188" s="62">
        <f ca="1">AVERAGE(OFFSET($AM$3,0,0,'Données projet'!$E$10+1,1))-AVERAGE(OFFSET($H$3,0,0,'Données projet'!$E$10+1,1))</f>
        <v>436.23918637269577</v>
      </c>
      <c r="AO188" s="62">
        <f t="shared" si="144"/>
        <v>611.43967996341894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3.9016306154076009E-2</v>
      </c>
      <c r="AV188" s="23">
        <f>EXP(-LN(2)/25)*AV187+(1-EXP(-LN(2)/25))/(LN(2)/25)*Calculateur!AQ188*Calculateur!AS188*VLOOKUP('Données projet'!$B$10,Paramètres!$A$1:$I$89,3,0)*0.475*44/12</f>
        <v>1.9921301381652538E-2</v>
      </c>
      <c r="AW188" s="23">
        <f>EXP(-LN(2)/2)*AW187+(1-EXP(-LN(2)/2))/(LN(2)/2)*AQ188*AT188*VLOOKUP('Données projet'!$B$10,Paramètres!$A$1:$I$89,3,0)*0.475*44/12</f>
        <v>2.7962774545102585E-23</v>
      </c>
      <c r="AX188" s="23">
        <f t="shared" si="166"/>
        <v>5.8937607535728548E-2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4.4337866711430253E-14</v>
      </c>
      <c r="BF188" s="14">
        <f t="shared" si="167"/>
        <v>7.3222115536967035E-13</v>
      </c>
      <c r="BG188" s="22">
        <f t="shared" si="168"/>
        <v>1.3525069634579169E-12</v>
      </c>
      <c r="BH188" s="62">
        <f t="shared" si="116"/>
        <v>293.33333333333468</v>
      </c>
      <c r="BI188" s="62">
        <f ca="1">AVERAGE(OFFSET($BH$3,0,0,'Données projet'!$E$11+1,1))-AVERAGE(OFFSET($H$3,0,0,'Données projet'!$E$11+1,1))</f>
        <v>288.82868507674738</v>
      </c>
      <c r="BJ188" s="62">
        <f t="shared" si="146"/>
        <v>283.48738729114024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projet'!$B$12,Paramètres!$A$1:$I$89,3,0)*VLOOKUP('Données projet'!$B$12,Paramètres!$A$1:$I$89,5,0)</f>
        <v>-1.8089849618263545E-13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298.89893065707554</v>
      </c>
      <c r="CE188" s="62">
        <f t="shared" si="148"/>
        <v>294.28794439094878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-3.4106051316484809E-13</v>
      </c>
      <c r="CU188" s="18">
        <f>CT188*VLOOKUP('Données projet'!$B$13,Paramètres!$A$1:$I$89,3,0)*VLOOKUP('Données projet'!$B$13,Paramètres!$A$1:$I$89,5,0)</f>
        <v>-2.5006556825246659E-13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376.5422416541544</v>
      </c>
      <c r="CZ188" s="62">
        <f t="shared" si="150"/>
        <v>365.76175372075869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0.26064590490939621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0.26064590490939621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439.06700232017681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2.0572770154103635E-13</v>
      </c>
      <c r="AK189" s="14">
        <f t="shared" si="164"/>
        <v>2.8416956338469711E-12</v>
      </c>
      <c r="AL189" s="22">
        <f t="shared" si="165"/>
        <v>5.3075956424674458E-12</v>
      </c>
      <c r="AM189" s="62">
        <f t="shared" si="113"/>
        <v>293.3333333333386</v>
      </c>
      <c r="AN189" s="62">
        <f ca="1">AVERAGE(OFFSET($AM$3,0,0,'Données projet'!$E$10+1,1))-AVERAGE(OFFSET($H$3,0,0,'Données projet'!$E$10+1,1))</f>
        <v>436.23918637269577</v>
      </c>
      <c r="AO189" s="62">
        <f t="shared" si="144"/>
        <v>611.43967996341894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3.8251220187991514E-2</v>
      </c>
      <c r="AV189" s="23">
        <f>EXP(-LN(2)/25)*AV188+(1-EXP(-LN(2)/25))/(LN(2)/25)*Calculateur!AQ189*Calculateur!AS189*VLOOKUP('Données projet'!$B$10,Paramètres!$A$1:$I$89,3,0)*0.475*44/12</f>
        <v>1.9376552347755541E-2</v>
      </c>
      <c r="AW189" s="23">
        <f>EXP(-LN(2)/2)*AW188+(1-EXP(-LN(2)/2))/(LN(2)/2)*AQ189*AT189*VLOOKUP('Données projet'!$B$10,Paramètres!$A$1:$I$89,3,0)*0.475*44/12</f>
        <v>1.9772667501632615E-23</v>
      </c>
      <c r="AX189" s="23">
        <f t="shared" si="166"/>
        <v>5.7627772535747052E-2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4.4337866711430253E-14</v>
      </c>
      <c r="BF189" s="14">
        <f t="shared" si="167"/>
        <v>7.3222115536967035E-13</v>
      </c>
      <c r="BG189" s="22">
        <f t="shared" si="168"/>
        <v>1.3525069634579169E-12</v>
      </c>
      <c r="BH189" s="62">
        <f t="shared" si="116"/>
        <v>293.33333333333468</v>
      </c>
      <c r="BI189" s="62">
        <f ca="1">AVERAGE(OFFSET($BH$3,0,0,'Données projet'!$E$11+1,1))-AVERAGE(OFFSET($H$3,0,0,'Données projet'!$E$11+1,1))</f>
        <v>288.82868507674738</v>
      </c>
      <c r="BJ189" s="62">
        <f t="shared" si="146"/>
        <v>283.48738729114024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projet'!$B$12,Paramètres!$A$1:$I$89,3,0)*VLOOKUP('Données projet'!$B$12,Paramètres!$A$1:$I$89,5,0)</f>
        <v>-1.8089849618263545E-13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298.89893065707554</v>
      </c>
      <c r="CE189" s="62">
        <f t="shared" si="148"/>
        <v>294.28794439094878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-3.4106051316484809E-13</v>
      </c>
      <c r="CU189" s="18">
        <f>CT189*VLOOKUP('Données projet'!$B$13,Paramètres!$A$1:$I$89,3,0)*VLOOKUP('Données projet'!$B$13,Paramètres!$A$1:$I$89,5,0)</f>
        <v>-2.5006556825246659E-13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376.5422416541544</v>
      </c>
      <c r="CZ189" s="62">
        <f t="shared" si="150"/>
        <v>365.76175372075869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0.25351852893287635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0.25351852893287635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439.06700232017681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2.0572770154103635E-13</v>
      </c>
      <c r="AK190" s="14">
        <f t="shared" si="164"/>
        <v>2.8416956338469711E-12</v>
      </c>
      <c r="AL190" s="22">
        <f t="shared" si="165"/>
        <v>5.3075956424674458E-12</v>
      </c>
      <c r="AM190" s="62">
        <f t="shared" si="113"/>
        <v>293.3333333333386</v>
      </c>
      <c r="AN190" s="62">
        <f ca="1">AVERAGE(OFFSET($AM$3,0,0,'Données projet'!$E$10+1,1))-AVERAGE(OFFSET($H$3,0,0,'Données projet'!$E$10+1,1))</f>
        <v>436.23918637269577</v>
      </c>
      <c r="AO190" s="62">
        <f t="shared" si="144"/>
        <v>611.43967996341894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3.7501137091045578E-2</v>
      </c>
      <c r="AV190" s="23">
        <f>EXP(-LN(2)/25)*AV189+(1-EXP(-LN(2)/25))/(LN(2)/25)*Calculateur!AQ190*Calculateur!AS190*VLOOKUP('Données projet'!$B$10,Paramètres!$A$1:$I$89,3,0)*0.475*44/12</f>
        <v>1.8846699504837562E-2</v>
      </c>
      <c r="AW190" s="23">
        <f>EXP(-LN(2)/2)*AW189+(1-EXP(-LN(2)/2))/(LN(2)/2)*AQ190*AT190*VLOOKUP('Données projet'!$B$10,Paramètres!$A$1:$I$89,3,0)*0.475*44/12</f>
        <v>1.3981387272551293E-23</v>
      </c>
      <c r="AX190" s="23">
        <f t="shared" si="166"/>
        <v>5.634783659588314E-2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4.4337866711430253E-14</v>
      </c>
      <c r="BF190" s="14">
        <f t="shared" si="167"/>
        <v>7.3222115536967035E-13</v>
      </c>
      <c r="BG190" s="22">
        <f t="shared" si="168"/>
        <v>1.3525069634579169E-12</v>
      </c>
      <c r="BH190" s="62">
        <f t="shared" si="116"/>
        <v>293.33333333333468</v>
      </c>
      <c r="BI190" s="62">
        <f ca="1">AVERAGE(OFFSET($BH$3,0,0,'Données projet'!$E$11+1,1))-AVERAGE(OFFSET($H$3,0,0,'Données projet'!$E$11+1,1))</f>
        <v>288.82868507674738</v>
      </c>
      <c r="BJ190" s="62">
        <f t="shared" si="146"/>
        <v>283.48738729114024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projet'!$B$12,Paramètres!$A$1:$I$89,3,0)*VLOOKUP('Données projet'!$B$12,Paramètres!$A$1:$I$89,5,0)</f>
        <v>-1.8089849618263545E-13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298.89893065707554</v>
      </c>
      <c r="CE190" s="62">
        <f t="shared" si="148"/>
        <v>294.28794439094878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-3.4106051316484809E-13</v>
      </c>
      <c r="CU190" s="18">
        <f>CT190*VLOOKUP('Données projet'!$B$13,Paramètres!$A$1:$I$89,3,0)*VLOOKUP('Données projet'!$B$13,Paramètres!$A$1:$I$89,5,0)</f>
        <v>-2.5006556825246659E-13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376.5422416541544</v>
      </c>
      <c r="CZ190" s="62">
        <f t="shared" si="150"/>
        <v>365.76175372075869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0.24658605142724685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0.24658605142724685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439.06700232017681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2.0572770154103635E-13</v>
      </c>
      <c r="AK191" s="14">
        <f t="shared" si="164"/>
        <v>2.8416956338469711E-12</v>
      </c>
      <c r="AL191" s="22">
        <f t="shared" si="165"/>
        <v>5.3075956424674458E-12</v>
      </c>
      <c r="AM191" s="62">
        <f t="shared" si="113"/>
        <v>293.3333333333386</v>
      </c>
      <c r="AN191" s="62">
        <f ca="1">AVERAGE(OFFSET($AM$3,0,0,'Données projet'!$E$10+1,1))-AVERAGE(OFFSET($H$3,0,0,'Données projet'!$E$10+1,1))</f>
        <v>436.23918637269577</v>
      </c>
      <c r="AO191" s="62">
        <f t="shared" si="144"/>
        <v>611.43967996341894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3.6765762666125239E-2</v>
      </c>
      <c r="AV191" s="23">
        <f>EXP(-LN(2)/25)*AV190+(1-EXP(-LN(2)/25))/(LN(2)/25)*Calculateur!AQ191*Calculateur!AS191*VLOOKUP('Données projet'!$B$10,Paramètres!$A$1:$I$89,3,0)*0.475*44/12</f>
        <v>1.8331335515772925E-2</v>
      </c>
      <c r="AW191" s="23">
        <f>EXP(-LN(2)/2)*AW190+(1-EXP(-LN(2)/2))/(LN(2)/2)*AQ191*AT191*VLOOKUP('Données projet'!$B$10,Paramètres!$A$1:$I$89,3,0)*0.475*44/12</f>
        <v>9.8863337508163073E-24</v>
      </c>
      <c r="AX191" s="23">
        <f t="shared" si="166"/>
        <v>5.509709818189816E-2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4.4337866711430253E-14</v>
      </c>
      <c r="BF191" s="14">
        <f t="shared" si="167"/>
        <v>7.3222115536967035E-13</v>
      </c>
      <c r="BG191" s="22">
        <f t="shared" si="168"/>
        <v>1.3525069634579169E-12</v>
      </c>
      <c r="BH191" s="62">
        <f t="shared" si="116"/>
        <v>293.33333333333468</v>
      </c>
      <c r="BI191" s="62">
        <f ca="1">AVERAGE(OFFSET($BH$3,0,0,'Données projet'!$E$11+1,1))-AVERAGE(OFFSET($H$3,0,0,'Données projet'!$E$11+1,1))</f>
        <v>288.82868507674738</v>
      </c>
      <c r="BJ191" s="62">
        <f t="shared" si="146"/>
        <v>283.48738729114024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projet'!$B$12,Paramètres!$A$1:$I$89,3,0)*VLOOKUP('Données projet'!$B$12,Paramètres!$A$1:$I$89,5,0)</f>
        <v>-1.8089849618263545E-13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298.89893065707554</v>
      </c>
      <c r="CE191" s="62">
        <f t="shared" si="148"/>
        <v>294.28794439094878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-3.4106051316484809E-13</v>
      </c>
      <c r="CU191" s="18">
        <f>CT191*VLOOKUP('Données projet'!$B$13,Paramètres!$A$1:$I$89,3,0)*VLOOKUP('Données projet'!$B$13,Paramètres!$A$1:$I$89,5,0)</f>
        <v>-2.5006556825246659E-13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376.5422416541544</v>
      </c>
      <c r="CZ191" s="62">
        <f t="shared" si="150"/>
        <v>365.76175372075869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0.23984314288357192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0.23984314288357192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439.06700232017681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2.0572770154103635E-13</v>
      </c>
      <c r="AK192" s="14">
        <f t="shared" si="164"/>
        <v>2.8416956338469711E-12</v>
      </c>
      <c r="AL192" s="22">
        <f t="shared" si="165"/>
        <v>5.3075956424674458E-12</v>
      </c>
      <c r="AM192" s="62">
        <f t="shared" si="113"/>
        <v>293.3333333333386</v>
      </c>
      <c r="AN192" s="62">
        <f ca="1">AVERAGE(OFFSET($AM$3,0,0,'Données projet'!$E$10+1,1))-AVERAGE(OFFSET($H$3,0,0,'Données projet'!$E$10+1,1))</f>
        <v>436.23918637269577</v>
      </c>
      <c r="AO192" s="62">
        <f t="shared" si="144"/>
        <v>611.43967996341894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3.6044808485143472E-2</v>
      </c>
      <c r="AV192" s="23">
        <f>EXP(-LN(2)/25)*AV191+(1-EXP(-LN(2)/25))/(LN(2)/25)*Calculateur!AQ192*Calculateur!AS192*VLOOKUP('Données projet'!$B$10,Paramètres!$A$1:$I$89,3,0)*0.475*44/12</f>
        <v>1.7830064182091078E-2</v>
      </c>
      <c r="AW192" s="23">
        <f>EXP(-LN(2)/2)*AW191+(1-EXP(-LN(2)/2))/(LN(2)/2)*AQ192*AT192*VLOOKUP('Données projet'!$B$10,Paramètres!$A$1:$I$89,3,0)*0.475*44/12</f>
        <v>6.9906936362756463E-24</v>
      </c>
      <c r="AX192" s="23">
        <f t="shared" si="166"/>
        <v>5.387487266723455E-2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4.4337866711430253E-14</v>
      </c>
      <c r="BF192" s="14">
        <f t="shared" si="167"/>
        <v>7.3222115536967035E-13</v>
      </c>
      <c r="BG192" s="22">
        <f t="shared" si="168"/>
        <v>1.3525069634579169E-12</v>
      </c>
      <c r="BH192" s="62">
        <f t="shared" si="116"/>
        <v>293.33333333333468</v>
      </c>
      <c r="BI192" s="62">
        <f ca="1">AVERAGE(OFFSET($BH$3,0,0,'Données projet'!$E$11+1,1))-AVERAGE(OFFSET($H$3,0,0,'Données projet'!$E$11+1,1))</f>
        <v>288.82868507674738</v>
      </c>
      <c r="BJ192" s="62">
        <f t="shared" si="146"/>
        <v>283.48738729114024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projet'!$B$12,Paramètres!$A$1:$I$89,3,0)*VLOOKUP('Données projet'!$B$12,Paramètres!$A$1:$I$89,5,0)</f>
        <v>-1.8089849618263545E-13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298.89893065707554</v>
      </c>
      <c r="CE192" s="62">
        <f t="shared" si="148"/>
        <v>294.28794439094878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-3.4106051316484809E-13</v>
      </c>
      <c r="CU192" s="18">
        <f>CT192*VLOOKUP('Données projet'!$B$13,Paramètres!$A$1:$I$89,3,0)*VLOOKUP('Données projet'!$B$13,Paramètres!$A$1:$I$89,5,0)</f>
        <v>-2.5006556825246659E-13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376.5422416541544</v>
      </c>
      <c r="CZ192" s="62">
        <f t="shared" si="150"/>
        <v>365.76175372075869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0.23328461952861793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0.23328461952861793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439.06700232017681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2.0572770154103635E-13</v>
      </c>
      <c r="AK193" s="14">
        <f t="shared" si="164"/>
        <v>2.8416956338469711E-12</v>
      </c>
      <c r="AL193" s="22">
        <f t="shared" si="165"/>
        <v>5.3075956424674458E-12</v>
      </c>
      <c r="AM193" s="62">
        <f t="shared" si="113"/>
        <v>293.3333333333386</v>
      </c>
      <c r="AN193" s="62">
        <f ca="1">AVERAGE(OFFSET($AM$3,0,0,'Données projet'!$E$10+1,1))-AVERAGE(OFFSET($H$3,0,0,'Données projet'!$E$10+1,1))</f>
        <v>436.23918637269577</v>
      </c>
      <c r="AO193" s="62">
        <f t="shared" si="144"/>
        <v>611.43967996341894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3.5337991775912132E-2</v>
      </c>
      <c r="AV193" s="23">
        <f>EXP(-LN(2)/25)*AV192+(1-EXP(-LN(2)/25))/(LN(2)/25)*Calculateur!AQ193*Calculateur!AS193*VLOOKUP('Données projet'!$B$10,Paramètres!$A$1:$I$89,3,0)*0.475*44/12</f>
        <v>1.7342500139389472E-2</v>
      </c>
      <c r="AW193" s="23">
        <f>EXP(-LN(2)/2)*AW192+(1-EXP(-LN(2)/2))/(LN(2)/2)*AQ193*AT193*VLOOKUP('Données projet'!$B$10,Paramètres!$A$1:$I$89,3,0)*0.475*44/12</f>
        <v>4.9431668754081537E-24</v>
      </c>
      <c r="AX193" s="23">
        <f t="shared" si="166"/>
        <v>5.2680491915301608E-2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4.4337866711430253E-14</v>
      </c>
      <c r="BF193" s="14">
        <f t="shared" si="167"/>
        <v>7.3222115536967035E-13</v>
      </c>
      <c r="BG193" s="22">
        <f t="shared" si="168"/>
        <v>1.3525069634579169E-12</v>
      </c>
      <c r="BH193" s="62">
        <f t="shared" si="116"/>
        <v>293.33333333333468</v>
      </c>
      <c r="BI193" s="62">
        <f ca="1">AVERAGE(OFFSET($BH$3,0,0,'Données projet'!$E$11+1,1))-AVERAGE(OFFSET($H$3,0,0,'Données projet'!$E$11+1,1))</f>
        <v>288.82868507674738</v>
      </c>
      <c r="BJ193" s="62">
        <f t="shared" si="146"/>
        <v>283.48738729114024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projet'!$B$12,Paramètres!$A$1:$I$89,3,0)*VLOOKUP('Données projet'!$B$12,Paramètres!$A$1:$I$89,5,0)</f>
        <v>-1.8089849618263545E-13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298.89893065707554</v>
      </c>
      <c r="CE193" s="62">
        <f t="shared" si="148"/>
        <v>294.28794439094878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-3.4106051316484809E-13</v>
      </c>
      <c r="CU193" s="18">
        <f>CT193*VLOOKUP('Données projet'!$B$13,Paramètres!$A$1:$I$89,3,0)*VLOOKUP('Données projet'!$B$13,Paramètres!$A$1:$I$89,5,0)</f>
        <v>-2.5006556825246659E-13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376.5422416541544</v>
      </c>
      <c r="CZ193" s="62">
        <f t="shared" si="150"/>
        <v>365.76175372075869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0.22690543933970292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0.22690543933970292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439.06700232017681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2.0572770154103635E-13</v>
      </c>
      <c r="AK194" s="14">
        <f t="shared" si="164"/>
        <v>2.8416956338469711E-12</v>
      </c>
      <c r="AL194" s="22">
        <f t="shared" si="165"/>
        <v>5.3075956424674458E-12</v>
      </c>
      <c r="AM194" s="62">
        <f t="shared" si="113"/>
        <v>293.3333333333386</v>
      </c>
      <c r="AN194" s="62">
        <f ca="1">AVERAGE(OFFSET($AM$3,0,0,'Données projet'!$E$10+1,1))-AVERAGE(OFFSET($H$3,0,0,'Données projet'!$E$10+1,1))</f>
        <v>436.23918637269577</v>
      </c>
      <c r="AO194" s="62">
        <f t="shared" si="144"/>
        <v>611.43967996341894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3.4645035311233197E-2</v>
      </c>
      <c r="AV194" s="23">
        <f>EXP(-LN(2)/25)*AV193+(1-EXP(-LN(2)/25))/(LN(2)/25)*Calculateur!AQ194*Calculateur!AS194*VLOOKUP('Données projet'!$B$10,Paramètres!$A$1:$I$89,3,0)*0.475*44/12</f>
        <v>1.6868268561075421E-2</v>
      </c>
      <c r="AW194" s="23">
        <f>EXP(-LN(2)/2)*AW193+(1-EXP(-LN(2)/2))/(LN(2)/2)*AQ194*AT194*VLOOKUP('Données projet'!$B$10,Paramètres!$A$1:$I$89,3,0)*0.475*44/12</f>
        <v>3.4953468181378231E-24</v>
      </c>
      <c r="AX194" s="23">
        <f t="shared" si="166"/>
        <v>5.1513303872308618E-2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4.4337866711430253E-14</v>
      </c>
      <c r="BF194" s="14">
        <f t="shared" si="167"/>
        <v>7.3222115536967035E-13</v>
      </c>
      <c r="BG194" s="22">
        <f t="shared" si="168"/>
        <v>1.3525069634579169E-12</v>
      </c>
      <c r="BH194" s="62">
        <f t="shared" si="116"/>
        <v>293.33333333333468</v>
      </c>
      <c r="BI194" s="62">
        <f ca="1">AVERAGE(OFFSET($BH$3,0,0,'Données projet'!$E$11+1,1))-AVERAGE(OFFSET($H$3,0,0,'Données projet'!$E$11+1,1))</f>
        <v>288.82868507674738</v>
      </c>
      <c r="BJ194" s="62">
        <f t="shared" si="146"/>
        <v>283.48738729114024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projet'!$B$12,Paramètres!$A$1:$I$89,3,0)*VLOOKUP('Données projet'!$B$12,Paramètres!$A$1:$I$89,5,0)</f>
        <v>-1.8089849618263545E-13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298.89893065707554</v>
      </c>
      <c r="CE194" s="62">
        <f t="shared" si="148"/>
        <v>294.28794439094878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-3.4106051316484809E-13</v>
      </c>
      <c r="CU194" s="18">
        <f>CT194*VLOOKUP('Données projet'!$B$13,Paramètres!$A$1:$I$89,3,0)*VLOOKUP('Données projet'!$B$13,Paramètres!$A$1:$I$89,5,0)</f>
        <v>-2.5006556825246659E-13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376.5422416541544</v>
      </c>
      <c r="CZ194" s="62">
        <f t="shared" si="150"/>
        <v>365.76175372075869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0.22070069816852028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0.22070069816852028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439.06700232017681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2.0572770154103635E-13</v>
      </c>
      <c r="AK195" s="14">
        <f t="shared" si="164"/>
        <v>2.8416956338469711E-12</v>
      </c>
      <c r="AL195" s="22">
        <f t="shared" si="165"/>
        <v>5.3075956424674458E-12</v>
      </c>
      <c r="AM195" s="62">
        <f t="shared" si="113"/>
        <v>293.3333333333386</v>
      </c>
      <c r="AN195" s="62">
        <f ca="1">AVERAGE(OFFSET($AM$3,0,0,'Données projet'!$E$10+1,1))-AVERAGE(OFFSET($H$3,0,0,'Données projet'!$E$10+1,1))</f>
        <v>436.23918637269577</v>
      </c>
      <c r="AO195" s="62">
        <f t="shared" si="144"/>
        <v>611.43967996341894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3.3965667300164905E-2</v>
      </c>
      <c r="AV195" s="23">
        <f>EXP(-LN(2)/25)*AV194+(1-EXP(-LN(2)/25))/(LN(2)/25)*Calculateur!AQ195*Calculateur!AS195*VLOOKUP('Données projet'!$B$10,Paramètres!$A$1:$I$89,3,0)*0.475*44/12</f>
        <v>1.6407004870209123E-2</v>
      </c>
      <c r="AW195" s="23">
        <f>EXP(-LN(2)/2)*AW194+(1-EXP(-LN(2)/2))/(LN(2)/2)*AQ195*AT195*VLOOKUP('Données projet'!$B$10,Paramètres!$A$1:$I$89,3,0)*0.475*44/12</f>
        <v>2.4715834377040768E-24</v>
      </c>
      <c r="AX195" s="23">
        <f t="shared" si="166"/>
        <v>5.0372672170374028E-2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4.4337866711430253E-14</v>
      </c>
      <c r="BF195" s="14">
        <f t="shared" si="167"/>
        <v>7.3222115536967035E-13</v>
      </c>
      <c r="BG195" s="22">
        <f t="shared" si="168"/>
        <v>1.3525069634579169E-12</v>
      </c>
      <c r="BH195" s="62">
        <f t="shared" si="116"/>
        <v>293.33333333333468</v>
      </c>
      <c r="BI195" s="62">
        <f ca="1">AVERAGE(OFFSET($BH$3,0,0,'Données projet'!$E$11+1,1))-AVERAGE(OFFSET($H$3,0,0,'Données projet'!$E$11+1,1))</f>
        <v>288.82868507674738</v>
      </c>
      <c r="BJ195" s="62">
        <f t="shared" si="146"/>
        <v>283.48738729114024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projet'!$B$12,Paramètres!$A$1:$I$89,3,0)*VLOOKUP('Données projet'!$B$12,Paramètres!$A$1:$I$89,5,0)</f>
        <v>-1.8089849618263545E-13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298.89893065707554</v>
      </c>
      <c r="CE195" s="62">
        <f t="shared" si="148"/>
        <v>294.28794439094878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-3.4106051316484809E-13</v>
      </c>
      <c r="CU195" s="18">
        <f>CT195*VLOOKUP('Données projet'!$B$13,Paramètres!$A$1:$I$89,3,0)*VLOOKUP('Données projet'!$B$13,Paramètres!$A$1:$I$89,5,0)</f>
        <v>-2.5006556825246659E-13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376.5422416541544</v>
      </c>
      <c r="CZ195" s="62">
        <f t="shared" si="150"/>
        <v>365.76175372075869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0.21466562597095679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0.21466562597095679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439.06700232017681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2.0572770154103635E-13</v>
      </c>
      <c r="AK196" s="14">
        <f t="shared" si="164"/>
        <v>2.8416956338469711E-12</v>
      </c>
      <c r="AL196" s="22">
        <f t="shared" si="165"/>
        <v>5.3075956424674458E-12</v>
      </c>
      <c r="AM196" s="62">
        <f t="shared" ref="AM196:AM203" si="193">AL196+(AD196+AE196)*44/12</f>
        <v>293.3333333333386</v>
      </c>
      <c r="AN196" s="62">
        <f ca="1">AVERAGE(OFFSET($AM$3,0,0,'Données projet'!$E$10+1,1))-AVERAGE(OFFSET($H$3,0,0,'Données projet'!$E$10+1,1))</f>
        <v>436.23918637269577</v>
      </c>
      <c r="AO196" s="62">
        <f t="shared" si="144"/>
        <v>611.43967996341894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3.329962128142009E-2</v>
      </c>
      <c r="AV196" s="23">
        <f>EXP(-LN(2)/25)*AV195+(1-EXP(-LN(2)/25))/(LN(2)/25)*Calculateur!AQ196*Calculateur!AS196*VLOOKUP('Données projet'!$B$10,Paramètres!$A$1:$I$89,3,0)*0.475*44/12</f>
        <v>1.5958354459226366E-2</v>
      </c>
      <c r="AW196" s="23">
        <f>EXP(-LN(2)/2)*AW195+(1-EXP(-LN(2)/2))/(LN(2)/2)*AQ196*AT196*VLOOKUP('Données projet'!$B$10,Paramètres!$A$1:$I$89,3,0)*0.475*44/12</f>
        <v>1.7476734090689116E-24</v>
      </c>
      <c r="AX196" s="23">
        <f t="shared" si="166"/>
        <v>4.9257975740646456E-2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4.4337866711430253E-14</v>
      </c>
      <c r="BF196" s="14">
        <f t="shared" si="167"/>
        <v>7.3222115536967035E-13</v>
      </c>
      <c r="BG196" s="22">
        <f t="shared" si="168"/>
        <v>1.3525069634579169E-12</v>
      </c>
      <c r="BH196" s="62">
        <f t="shared" ref="BH196:BH203" si="194">BG196+(AY196+AZ196)*44/12</f>
        <v>293.33333333333468</v>
      </c>
      <c r="BI196" s="62">
        <f ca="1">AVERAGE(OFFSET($BH$3,0,0,'Données projet'!$E$11+1,1))-AVERAGE(OFFSET($H$3,0,0,'Données projet'!$E$11+1,1))</f>
        <v>288.82868507674738</v>
      </c>
      <c r="BJ196" s="62">
        <f t="shared" si="146"/>
        <v>283.48738729114024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projet'!$B$12,Paramètres!$A$1:$I$89,3,0)*VLOOKUP('Données projet'!$B$12,Paramètres!$A$1:$I$89,5,0)</f>
        <v>-1.8089849618263545E-13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298.89893065707554</v>
      </c>
      <c r="CE196" s="62">
        <f t="shared" si="148"/>
        <v>294.28794439094878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-3.4106051316484809E-13</v>
      </c>
      <c r="CU196" s="18">
        <f>CT196*VLOOKUP('Données projet'!$B$13,Paramètres!$A$1:$I$89,3,0)*VLOOKUP('Données projet'!$B$13,Paramètres!$A$1:$I$89,5,0)</f>
        <v>-2.5006556825246659E-13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376.5422416541544</v>
      </c>
      <c r="CZ196" s="62">
        <f t="shared" si="150"/>
        <v>365.76175372075869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0.20879558314000632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0.20879558314000632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439.06700232017681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2.0572770154103635E-13</v>
      </c>
      <c r="AK197" s="14">
        <f t="shared" si="164"/>
        <v>2.8416956338469711E-12</v>
      </c>
      <c r="AL197" s="22">
        <f t="shared" si="165"/>
        <v>5.3075956424674458E-12</v>
      </c>
      <c r="AM197" s="62">
        <f t="shared" si="193"/>
        <v>293.3333333333386</v>
      </c>
      <c r="AN197" s="62">
        <f ca="1">AVERAGE(OFFSET($AM$3,0,0,'Données projet'!$E$10+1,1))-AVERAGE(OFFSET($H$3,0,0,'Données projet'!$E$10+1,1))</f>
        <v>436.23918637269577</v>
      </c>
      <c r="AO197" s="62">
        <f t="shared" ref="AO197:AO203" si="205">$AO$3</f>
        <v>611.43967996341894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3.2646636018854903E-2</v>
      </c>
      <c r="AV197" s="23">
        <f>EXP(-LN(2)/25)*AV196+(1-EXP(-LN(2)/25))/(LN(2)/25)*Calculateur!AQ197*Calculateur!AS197*VLOOKUP('Données projet'!$B$10,Paramètres!$A$1:$I$89,3,0)*0.475*44/12</f>
        <v>1.5521972417325433E-2</v>
      </c>
      <c r="AW197" s="23">
        <f>EXP(-LN(2)/2)*AW196+(1-EXP(-LN(2)/2))/(LN(2)/2)*AQ197*AT197*VLOOKUP('Données projet'!$B$10,Paramètres!$A$1:$I$89,3,0)*0.475*44/12</f>
        <v>1.2357917188520384E-24</v>
      </c>
      <c r="AX197" s="23">
        <f t="shared" si="166"/>
        <v>4.8168608436180337E-2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4.4337866711430253E-14</v>
      </c>
      <c r="BF197" s="14">
        <f t="shared" si="167"/>
        <v>7.3222115536967035E-13</v>
      </c>
      <c r="BG197" s="22">
        <f t="shared" si="168"/>
        <v>1.3525069634579169E-12</v>
      </c>
      <c r="BH197" s="62">
        <f t="shared" si="194"/>
        <v>293.33333333333468</v>
      </c>
      <c r="BI197" s="62">
        <f ca="1">AVERAGE(OFFSET($BH$3,0,0,'Données projet'!$E$11+1,1))-AVERAGE(OFFSET($H$3,0,0,'Données projet'!$E$11+1,1))</f>
        <v>288.82868507674738</v>
      </c>
      <c r="BJ197" s="62">
        <f t="shared" ref="BJ197:BJ203" si="206">$BJ$3</f>
        <v>283.48738729114024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projet'!$B$12,Paramètres!$A$1:$I$89,3,0)*VLOOKUP('Données projet'!$B$12,Paramètres!$A$1:$I$89,5,0)</f>
        <v>-1.8089849618263545E-13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298.89893065707554</v>
      </c>
      <c r="CE197" s="62">
        <f t="shared" ref="CE197:CE203" si="207">$CE$3</f>
        <v>294.28794439094878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-3.4106051316484809E-13</v>
      </c>
      <c r="CU197" s="18">
        <f>CT197*VLOOKUP('Données projet'!$B$13,Paramètres!$A$1:$I$89,3,0)*VLOOKUP('Données projet'!$B$13,Paramètres!$A$1:$I$89,5,0)</f>
        <v>-2.5006556825246659E-13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376.5422416541544</v>
      </c>
      <c r="CZ197" s="62">
        <f t="shared" ref="CZ197:CZ203" si="208">$CZ$3</f>
        <v>365.76175372075869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0.20308605693896034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0.20308605693896034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439.06700232017681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2.0572770154103635E-13</v>
      </c>
      <c r="AK198" s="14">
        <f t="shared" si="164"/>
        <v>2.8416956338469711E-12</v>
      </c>
      <c r="AL198" s="22">
        <f t="shared" si="165"/>
        <v>5.3075956424674458E-12</v>
      </c>
      <c r="AM198" s="62">
        <f t="shared" si="193"/>
        <v>293.3333333333386</v>
      </c>
      <c r="AN198" s="62">
        <f ca="1">AVERAGE(OFFSET($AM$3,0,0,'Données projet'!$E$10+1,1))-AVERAGE(OFFSET($H$3,0,0,'Données projet'!$E$10+1,1))</f>
        <v>436.23918637269577</v>
      </c>
      <c r="AO198" s="62">
        <f t="shared" si="205"/>
        <v>611.43967996341894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3.2006455399006935E-2</v>
      </c>
      <c r="AV198" s="23">
        <f>EXP(-LN(2)/25)*AV197+(1-EXP(-LN(2)/25))/(LN(2)/25)*Calculateur!AQ198*Calculateur!AS198*VLOOKUP('Données projet'!$B$10,Paramètres!$A$1:$I$89,3,0)*0.475*44/12</f>
        <v>1.5097523265308615E-2</v>
      </c>
      <c r="AW198" s="23">
        <f>EXP(-LN(2)/2)*AW197+(1-EXP(-LN(2)/2))/(LN(2)/2)*AQ198*AT198*VLOOKUP('Données projet'!$B$10,Paramètres!$A$1:$I$89,3,0)*0.475*44/12</f>
        <v>8.7383670453445578E-25</v>
      </c>
      <c r="AX198" s="23">
        <f t="shared" si="166"/>
        <v>4.7103978664315552E-2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4.4337866711430253E-14</v>
      </c>
      <c r="BF198" s="14">
        <f t="shared" si="167"/>
        <v>7.3222115536967035E-13</v>
      </c>
      <c r="BG198" s="22">
        <f t="shared" si="168"/>
        <v>1.3525069634579169E-12</v>
      </c>
      <c r="BH198" s="62">
        <f t="shared" si="194"/>
        <v>293.33333333333468</v>
      </c>
      <c r="BI198" s="62">
        <f ca="1">AVERAGE(OFFSET($BH$3,0,0,'Données projet'!$E$11+1,1))-AVERAGE(OFFSET($H$3,0,0,'Données projet'!$E$11+1,1))</f>
        <v>288.82868507674738</v>
      </c>
      <c r="BJ198" s="62">
        <f t="shared" si="206"/>
        <v>283.48738729114024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projet'!$B$12,Paramètres!$A$1:$I$89,3,0)*VLOOKUP('Données projet'!$B$12,Paramètres!$A$1:$I$89,5,0)</f>
        <v>-1.8089849618263545E-13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298.89893065707554</v>
      </c>
      <c r="CE198" s="62">
        <f t="shared" si="207"/>
        <v>294.28794439094878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-3.4106051316484809E-13</v>
      </c>
      <c r="CU198" s="18">
        <f>CT198*VLOOKUP('Données projet'!$B$13,Paramètres!$A$1:$I$89,3,0)*VLOOKUP('Données projet'!$B$13,Paramètres!$A$1:$I$89,5,0)</f>
        <v>-2.5006556825246659E-13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376.5422416541544</v>
      </c>
      <c r="CZ198" s="62">
        <f t="shared" si="208"/>
        <v>365.76175372075869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0.19753265803213291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0.19753265803213291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439.06700232017681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2.0572770154103635E-13</v>
      </c>
      <c r="AK199" s="14">
        <f t="shared" si="164"/>
        <v>2.8416956338469711E-12</v>
      </c>
      <c r="AL199" s="22">
        <f t="shared" si="165"/>
        <v>5.3075956424674458E-12</v>
      </c>
      <c r="AM199" s="62">
        <f t="shared" si="193"/>
        <v>293.3333333333386</v>
      </c>
      <c r="AN199" s="62">
        <f ca="1">AVERAGE(OFFSET($AM$3,0,0,'Données projet'!$E$10+1,1))-AVERAGE(OFFSET($H$3,0,0,'Données projet'!$E$10+1,1))</f>
        <v>436.23918637269577</v>
      </c>
      <c r="AO199" s="62">
        <f t="shared" si="205"/>
        <v>611.43967996341894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3.1378828330642566E-2</v>
      </c>
      <c r="AV199" s="23">
        <f>EXP(-LN(2)/25)*AV198+(1-EXP(-LN(2)/25))/(LN(2)/25)*Calculateur!AQ199*Calculateur!AS199*VLOOKUP('Données projet'!$B$10,Paramètres!$A$1:$I$89,3,0)*0.475*44/12</f>
        <v>1.4684680697674509E-2</v>
      </c>
      <c r="AW199" s="23">
        <f>EXP(-LN(2)/2)*AW198+(1-EXP(-LN(2)/2))/(LN(2)/2)*AQ199*AT199*VLOOKUP('Données projet'!$B$10,Paramètres!$A$1:$I$89,3,0)*0.475*44/12</f>
        <v>6.1789585942601921E-25</v>
      </c>
      <c r="AX199" s="23">
        <f t="shared" si="166"/>
        <v>4.6063509028317073E-2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4.4337866711430253E-14</v>
      </c>
      <c r="BF199" s="14">
        <f t="shared" si="167"/>
        <v>7.3222115536967035E-13</v>
      </c>
      <c r="BG199" s="22">
        <f t="shared" si="168"/>
        <v>1.3525069634579169E-12</v>
      </c>
      <c r="BH199" s="62">
        <f t="shared" si="194"/>
        <v>293.33333333333468</v>
      </c>
      <c r="BI199" s="62">
        <f ca="1">AVERAGE(OFFSET($BH$3,0,0,'Données projet'!$E$11+1,1))-AVERAGE(OFFSET($H$3,0,0,'Données projet'!$E$11+1,1))</f>
        <v>288.82868507674738</v>
      </c>
      <c r="BJ199" s="62">
        <f t="shared" si="206"/>
        <v>283.48738729114024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projet'!$B$12,Paramètres!$A$1:$I$89,3,0)*VLOOKUP('Données projet'!$B$12,Paramètres!$A$1:$I$89,5,0)</f>
        <v>-1.8089849618263545E-13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298.89893065707554</v>
      </c>
      <c r="CE199" s="62">
        <f t="shared" si="207"/>
        <v>294.28794439094878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-3.4106051316484809E-13</v>
      </c>
      <c r="CU199" s="18">
        <f>CT199*VLOOKUP('Données projet'!$B$13,Paramètres!$A$1:$I$89,3,0)*VLOOKUP('Données projet'!$B$13,Paramètres!$A$1:$I$89,5,0)</f>
        <v>-2.5006556825246659E-13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376.5422416541544</v>
      </c>
      <c r="CZ199" s="62">
        <f t="shared" si="208"/>
        <v>365.76175372075869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0.19213111711045322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0.19213111711045322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439.06700232017681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2.0572770154103635E-13</v>
      </c>
      <c r="AK200" s="14">
        <f t="shared" si="164"/>
        <v>2.8416956338469711E-12</v>
      </c>
      <c r="AL200" s="22">
        <f t="shared" si="165"/>
        <v>5.3075956424674458E-12</v>
      </c>
      <c r="AM200" s="62">
        <f t="shared" si="193"/>
        <v>293.3333333333386</v>
      </c>
      <c r="AN200" s="62">
        <f ca="1">AVERAGE(OFFSET($AM$3,0,0,'Données projet'!$E$10+1,1))-AVERAGE(OFFSET($H$3,0,0,'Données projet'!$E$10+1,1))</f>
        <v>436.23918637269577</v>
      </c>
      <c r="AO200" s="62">
        <f t="shared" si="205"/>
        <v>611.43967996341894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3.0763508646274109E-2</v>
      </c>
      <c r="AV200" s="23">
        <f>EXP(-LN(2)/25)*AV199+(1-EXP(-LN(2)/25))/(LN(2)/25)*Calculateur!AQ200*Calculateur!AS200*VLOOKUP('Données projet'!$B$10,Paramètres!$A$1:$I$89,3,0)*0.475*44/12</f>
        <v>1.4283127331762804E-2</v>
      </c>
      <c r="AW200" s="23">
        <f>EXP(-LN(2)/2)*AW199+(1-EXP(-LN(2)/2))/(LN(2)/2)*AQ200*AT200*VLOOKUP('Données projet'!$B$10,Paramètres!$A$1:$I$89,3,0)*0.475*44/12</f>
        <v>4.3691835226722789E-25</v>
      </c>
      <c r="AX200" s="23">
        <f t="shared" si="166"/>
        <v>4.5046635978036917E-2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4.4337866711430253E-14</v>
      </c>
      <c r="BF200" s="14">
        <f t="shared" si="167"/>
        <v>7.3222115536967035E-13</v>
      </c>
      <c r="BG200" s="22">
        <f t="shared" si="168"/>
        <v>1.3525069634579169E-12</v>
      </c>
      <c r="BH200" s="62">
        <f t="shared" si="194"/>
        <v>293.33333333333468</v>
      </c>
      <c r="BI200" s="62">
        <f ca="1">AVERAGE(OFFSET($BH$3,0,0,'Données projet'!$E$11+1,1))-AVERAGE(OFFSET($H$3,0,0,'Données projet'!$E$11+1,1))</f>
        <v>288.82868507674738</v>
      </c>
      <c r="BJ200" s="62">
        <f t="shared" si="206"/>
        <v>283.48738729114024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projet'!$B$12,Paramètres!$A$1:$I$89,3,0)*VLOOKUP('Données projet'!$B$12,Paramètres!$A$1:$I$89,5,0)</f>
        <v>-1.8089849618263545E-13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298.89893065707554</v>
      </c>
      <c r="CE200" s="62">
        <f t="shared" si="207"/>
        <v>294.28794439094878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-3.4106051316484809E-13</v>
      </c>
      <c r="CU200" s="18">
        <f>CT200*VLOOKUP('Données projet'!$B$13,Paramètres!$A$1:$I$89,3,0)*VLOOKUP('Données projet'!$B$13,Paramètres!$A$1:$I$89,5,0)</f>
        <v>-2.5006556825246659E-13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376.5422416541544</v>
      </c>
      <c r="CZ200" s="62">
        <f t="shared" si="208"/>
        <v>365.76175372075869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0.18687728160933154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0.18687728160933154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439.06700232017681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2.0572770154103635E-13</v>
      </c>
      <c r="AK201" s="14">
        <f t="shared" si="164"/>
        <v>2.8416956338469711E-12</v>
      </c>
      <c r="AL201" s="22">
        <f t="shared" si="165"/>
        <v>5.3075956424674458E-12</v>
      </c>
      <c r="AM201" s="62">
        <f t="shared" si="193"/>
        <v>293.3333333333386</v>
      </c>
      <c r="AN201" s="62">
        <f ca="1">AVERAGE(OFFSET($AM$3,0,0,'Données projet'!$E$10+1,1))-AVERAGE(OFFSET($H$3,0,0,'Données projet'!$E$10+1,1))</f>
        <v>436.23918637269577</v>
      </c>
      <c r="AO201" s="62">
        <f t="shared" si="205"/>
        <v>611.43967996341894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3.0160255005608167E-2</v>
      </c>
      <c r="AV201" s="23">
        <f>EXP(-LN(2)/25)*AV200+(1-EXP(-LN(2)/25))/(LN(2)/25)*Calculateur!AQ201*Calculateur!AS201*VLOOKUP('Données projet'!$B$10,Paramètres!$A$1:$I$89,3,0)*0.475*44/12</f>
        <v>1.3892554463758729E-2</v>
      </c>
      <c r="AW201" s="23">
        <f>EXP(-LN(2)/2)*AW200+(1-EXP(-LN(2)/2))/(LN(2)/2)*AQ201*AT201*VLOOKUP('Données projet'!$B$10,Paramètres!$A$1:$I$89,3,0)*0.475*44/12</f>
        <v>3.089479297130096E-25</v>
      </c>
      <c r="AX201" s="23">
        <f t="shared" si="166"/>
        <v>4.4052809469366898E-2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4.4337866711430253E-14</v>
      </c>
      <c r="BF201" s="14">
        <f t="shared" si="167"/>
        <v>7.3222115536967035E-13</v>
      </c>
      <c r="BG201" s="22">
        <f t="shared" si="168"/>
        <v>1.3525069634579169E-12</v>
      </c>
      <c r="BH201" s="62">
        <f t="shared" si="194"/>
        <v>293.33333333333468</v>
      </c>
      <c r="BI201" s="62">
        <f ca="1">AVERAGE(OFFSET($BH$3,0,0,'Données projet'!$E$11+1,1))-AVERAGE(OFFSET($H$3,0,0,'Données projet'!$E$11+1,1))</f>
        <v>288.82868507674738</v>
      </c>
      <c r="BJ201" s="62">
        <f t="shared" si="206"/>
        <v>283.48738729114024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projet'!$B$12,Paramètres!$A$1:$I$89,3,0)*VLOOKUP('Données projet'!$B$12,Paramètres!$A$1:$I$89,5,0)</f>
        <v>-1.8089849618263545E-13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298.89893065707554</v>
      </c>
      <c r="CE201" s="62">
        <f t="shared" si="207"/>
        <v>294.28794439094878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-3.4106051316484809E-13</v>
      </c>
      <c r="CU201" s="18">
        <f>CT201*VLOOKUP('Données projet'!$B$13,Paramètres!$A$1:$I$89,3,0)*VLOOKUP('Données projet'!$B$13,Paramètres!$A$1:$I$89,5,0)</f>
        <v>-2.5006556825246659E-13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376.5422416541544</v>
      </c>
      <c r="CZ201" s="62">
        <f t="shared" si="208"/>
        <v>365.76175372075869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0.18176711251627523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0.18176711251627523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439.06700232017681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2.0572770154103635E-13</v>
      </c>
      <c r="AK202" s="14">
        <f t="shared" si="164"/>
        <v>2.8416956338469711E-12</v>
      </c>
      <c r="AL202" s="22">
        <f t="shared" si="165"/>
        <v>5.3075956424674458E-12</v>
      </c>
      <c r="AM202" s="62">
        <f t="shared" si="193"/>
        <v>293.3333333333386</v>
      </c>
      <c r="AN202" s="62">
        <f ca="1">AVERAGE(OFFSET($AM$3,0,0,'Données projet'!$E$10+1,1))-AVERAGE(OFFSET($H$3,0,0,'Données projet'!$E$10+1,1))</f>
        <v>436.23918637269577</v>
      </c>
      <c r="AO202" s="62">
        <f t="shared" si="205"/>
        <v>611.43967996341894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2.9568830800887295E-2</v>
      </c>
      <c r="AV202" s="23">
        <f>EXP(-LN(2)/25)*AV201+(1-EXP(-LN(2)/25))/(LN(2)/25)*Calculateur!AQ202*Calculateur!AS202*VLOOKUP('Données projet'!$B$10,Paramètres!$A$1:$I$89,3,0)*0.475*44/12</f>
        <v>1.3512661831369559E-2</v>
      </c>
      <c r="AW202" s="23">
        <f>EXP(-LN(2)/2)*AW201+(1-EXP(-LN(2)/2))/(LN(2)/2)*AQ202*AT202*VLOOKUP('Données projet'!$B$10,Paramètres!$A$1:$I$89,3,0)*0.475*44/12</f>
        <v>2.1845917613361395E-25</v>
      </c>
      <c r="AX202" s="23">
        <f t="shared" si="166"/>
        <v>4.3081492632256857E-2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4.4337866711430253E-14</v>
      </c>
      <c r="BF202" s="14">
        <f t="shared" si="167"/>
        <v>7.3222115536967035E-13</v>
      </c>
      <c r="BG202" s="22">
        <f t="shared" si="168"/>
        <v>1.3525069634579169E-12</v>
      </c>
      <c r="BH202" s="62">
        <f t="shared" si="194"/>
        <v>293.33333333333468</v>
      </c>
      <c r="BI202" s="62">
        <f ca="1">AVERAGE(OFFSET($BH$3,0,0,'Données projet'!$E$11+1,1))-AVERAGE(OFFSET($H$3,0,0,'Données projet'!$E$11+1,1))</f>
        <v>288.82868507674738</v>
      </c>
      <c r="BJ202" s="62">
        <f t="shared" si="206"/>
        <v>283.48738729114024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projet'!$B$12,Paramètres!$A$1:$I$89,3,0)*VLOOKUP('Données projet'!$B$12,Paramètres!$A$1:$I$89,5,0)</f>
        <v>-1.8089849618263545E-13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298.89893065707554</v>
      </c>
      <c r="CE202" s="62">
        <f t="shared" si="207"/>
        <v>294.28794439094878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-3.4106051316484809E-13</v>
      </c>
      <c r="CU202" s="18">
        <f>CT202*VLOOKUP('Données projet'!$B$13,Paramètres!$A$1:$I$89,3,0)*VLOOKUP('Données projet'!$B$13,Paramètres!$A$1:$I$89,5,0)</f>
        <v>-2.5006556825246659E-13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376.5422416541544</v>
      </c>
      <c r="CZ202" s="62">
        <f t="shared" si="208"/>
        <v>365.76175372075869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0.17679668126580067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0.17679668126580067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439.06700232017681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2.0572770154103635E-13</v>
      </c>
      <c r="AK203" s="14">
        <f t="shared" si="164"/>
        <v>2.8416956338469711E-12</v>
      </c>
      <c r="AL203" s="22">
        <f t="shared" si="165"/>
        <v>5.3075956424674458E-12</v>
      </c>
      <c r="AM203" s="62">
        <f t="shared" si="193"/>
        <v>293.3333333333386</v>
      </c>
      <c r="AN203" s="62">
        <f ca="1">AVERAGE(OFFSET($AM$3,0,0,'Données projet'!$E$10+1,1))-AVERAGE(OFFSET($H$3,0,0,'Données projet'!$E$10+1,1))</f>
        <v>436.23918637269577</v>
      </c>
      <c r="AO203" s="62">
        <f t="shared" si="205"/>
        <v>611.43967996341894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2.8989004064087855E-2</v>
      </c>
      <c r="AV203" s="23">
        <f>EXP(-LN(2)/25)*AV202+(1-EXP(-LN(2)/25))/(LN(2)/25)*Calculateur!AQ203*Calculateur!AS203*VLOOKUP('Données projet'!$B$10,Paramètres!$A$1:$I$89,3,0)*0.475*44/12</f>
        <v>1.3143157382990756E-2</v>
      </c>
      <c r="AW203" s="23">
        <f>EXP(-LN(2)/2)*AW202+(1-EXP(-LN(2)/2))/(LN(2)/2)*AQ203*AT203*VLOOKUP('Données projet'!$B$10,Paramètres!$A$1:$I$89,3,0)*0.475*44/12</f>
        <v>1.544739648565048E-25</v>
      </c>
      <c r="AX203" s="23">
        <f t="shared" si="166"/>
        <v>4.2132161447078612E-2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4.4337866711430253E-14</v>
      </c>
      <c r="BF203" s="14">
        <f t="shared" si="167"/>
        <v>7.3222115536967035E-13</v>
      </c>
      <c r="BG203" s="22">
        <f t="shared" si="168"/>
        <v>1.3525069634579169E-12</v>
      </c>
      <c r="BH203" s="62">
        <f t="shared" si="194"/>
        <v>293.33333333333468</v>
      </c>
      <c r="BI203" s="62">
        <f ca="1">AVERAGE(OFFSET($BH$3,0,0,'Données projet'!$E$11+1,1))-AVERAGE(OFFSET($H$3,0,0,'Données projet'!$E$11+1,1))</f>
        <v>288.82868507674738</v>
      </c>
      <c r="BJ203" s="62">
        <f t="shared" si="206"/>
        <v>283.48738729114024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projet'!$B$12,Paramètres!$A$1:$I$89,3,0)*VLOOKUP('Données projet'!$B$12,Paramètres!$A$1:$I$89,5,0)</f>
        <v>-1.8089849618263545E-13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298.89893065707554</v>
      </c>
      <c r="CE203" s="62">
        <f t="shared" si="207"/>
        <v>294.28794439094878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-3.4106051316484809E-13</v>
      </c>
      <c r="CU203" s="18">
        <f>CT203*VLOOKUP('Données projet'!$B$13,Paramètres!$A$1:$I$89,3,0)*VLOOKUP('Données projet'!$B$13,Paramètres!$A$1:$I$89,5,0)</f>
        <v>-2.5006556825246659E-13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376.5422416541544</v>
      </c>
      <c r="CZ203" s="62">
        <f t="shared" si="208"/>
        <v>365.76175372075869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0.17196216671925396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0.17196216671925396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2.1016324782757847</v>
      </c>
      <c r="BA205" s="88">
        <f>EXP(LN('Données projet'!B88)/'Données projet'!A88)</f>
        <v>1.2788040393997409</v>
      </c>
      <c r="BV205" s="88">
        <f>EXP(LN('Données projet'!B114)/'Données projet'!A114)</f>
        <v>1.2721747796233518</v>
      </c>
      <c r="CQ205" s="88">
        <f>EXP(LN('Données projet'!B140)/'Données projet'!A140)</f>
        <v>1.3423796509621049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H12" sqref="H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0.58320000000000005</v>
      </c>
      <c r="C6" s="156">
        <f ca="1">IF(OR('Données projet'!B9="",'Données projet'!C9="",'Données projet'!C9=0%),0,Calculateur!S3)</f>
        <v>439.06700232017681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162.25639486327401</v>
      </c>
      <c r="G6" s="156">
        <f ca="1">F6*(100%-'Données projet'!$C$24)*(100%-'Données projet'!$C$25)*(100%-'Données projet'!$C$26)*(100%-'Données projet'!$C$27)</f>
        <v>146.03075537694662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9.0396000000000001</v>
      </c>
      <c r="K6" s="160">
        <f>J6*(100%-'Données projet'!$C$24)*(100%-'Données projet'!$C$25)*(100%-'Données projet'!$C$26)*(100%-'Données projet'!$C$27)</f>
        <v>8.1356400000000004</v>
      </c>
      <c r="L6" s="161">
        <f ca="1">G6+I6+K6</f>
        <v>154.16639537694661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0.36720000000000003</v>
      </c>
      <c r="C7" s="156">
        <f ca="1">IF(OR('Données projet'!B10="",'Données projet'!C10="",'Données projet'!C10=0%),0,Calculateur!AN3)</f>
        <v>436.23918637269577</v>
      </c>
      <c r="D7" s="156">
        <f>IF(OR('Données projet'!B10="",'Données projet'!C10="",'Données projet'!C10=0%),0,Calculateur!AO3)</f>
        <v>611.43967996341894</v>
      </c>
      <c r="E7" s="156">
        <f t="shared" ref="E7:E15" ca="1" si="0">MIN(C7,D7)</f>
        <v>436.23918637269577</v>
      </c>
      <c r="F7" s="156">
        <f t="shared" ref="F7:F15" ca="1" si="1">E7*B7</f>
        <v>160.18702923605389</v>
      </c>
      <c r="G7" s="156">
        <f ca="1">F7*(100%-'Données projet'!$C$24)*(100%-'Données projet'!$C$25)*(100%-'Données projet'!$C$26)*(100%-'Données projet'!$C$27)</f>
        <v>144.1683263124485</v>
      </c>
      <c r="H7" s="164">
        <f>IF(OR('Données projet'!B10="",'Données projet'!C10="",'Données projet'!C10=0%),0,AVERAGE(Calculateur!$AX$3:$AX$33)*B7)</f>
        <v>9.8085790743990056E-2</v>
      </c>
      <c r="I7" s="158">
        <f>H7*(100%-'Données projet'!$C$24)*(100%-'Données projet'!$C$25)*(100%-'Données projet'!$C$26)*(100%-'Données projet'!$C$27)</f>
        <v>8.8277211669591057E-2</v>
      </c>
      <c r="J7" s="159">
        <f>IF(OR('Données projet'!B10="",'Données projet'!C10="",'Données projet'!C10=0%),0,SUM(Calculateur!$AQ$3:$AQ$33)*VLOOKUP('Données projet'!$B$10,Paramètres!$A$1:$I$89,9,0)*B7)</f>
        <v>11.8422</v>
      </c>
      <c r="K7" s="160">
        <f>J7*(100%-'Données projet'!$C$24)*(100%-'Données projet'!$C$25)*(100%-'Données projet'!$C$26)*(100%-'Données projet'!$C$27)</f>
        <v>10.65798</v>
      </c>
      <c r="L7" s="161">
        <f t="shared" ref="L7:L15" ca="1" si="2">G7+I7+K7</f>
        <v>154.91458352411809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Merisier</v>
      </c>
      <c r="B8" s="163">
        <f>'Données projet'!D11</f>
        <v>0.34560000000000002</v>
      </c>
      <c r="C8" s="156">
        <f ca="1">IF(OR('Données projet'!B11="",'Données projet'!C11="",'Données projet'!C11=0%),0,Calculateur!BI3)</f>
        <v>288.82868507674738</v>
      </c>
      <c r="D8" s="156">
        <f>IF(OR('Données projet'!B11="",'Données projet'!C11="",'Données projet'!C11=0%),0,Calculateur!BJ3)</f>
        <v>283.48738729114024</v>
      </c>
      <c r="E8" s="156">
        <f t="shared" ca="1" si="0"/>
        <v>283.48738729114024</v>
      </c>
      <c r="F8" s="156">
        <f t="shared" ca="1" si="1"/>
        <v>97.973241047818078</v>
      </c>
      <c r="G8" s="156">
        <f ca="1">F8*(100%-'Données projet'!$C$24)*(100%-'Données projet'!$C$25)*(100%-'Données projet'!$C$26)*(100%-'Données projet'!$C$27)</f>
        <v>88.17591694303627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4.7520000000000007</v>
      </c>
      <c r="K8" s="160">
        <f>J8*(100%-'Données projet'!$C$24)*(100%-'Données projet'!$C$25)*(100%-'Données projet'!$C$26)*(100%-'Données projet'!$C$27)</f>
        <v>4.2768000000000006</v>
      </c>
      <c r="L8" s="161">
        <f t="shared" ca="1" si="2"/>
        <v>92.452716943036265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Erable sycomore</v>
      </c>
      <c r="B9" s="163">
        <f>'Données projet'!D12</f>
        <v>0.36720000000000003</v>
      </c>
      <c r="C9" s="156">
        <f ca="1">IF(OR('Données projet'!B12="",'Données projet'!C12="",'Données projet'!C12=0%),0,Calculateur!CD3)</f>
        <v>298.89893065707554</v>
      </c>
      <c r="D9" s="156">
        <f>IF(OR('Données projet'!B12="",'Données projet'!C12="",'Données projet'!C12=0%),0,Calculateur!CE3)</f>
        <v>294.28794439094878</v>
      </c>
      <c r="E9" s="156">
        <f t="shared" ca="1" si="0"/>
        <v>294.28794439094878</v>
      </c>
      <c r="F9" s="156">
        <f t="shared" ca="1" si="1"/>
        <v>108.0625331803564</v>
      </c>
      <c r="G9" s="156">
        <f ca="1">F9*(100%-'Données projet'!$C$24)*(100%-'Données projet'!$C$25)*(100%-'Données projet'!$C$26)*(100%-'Données projet'!$C$27)</f>
        <v>97.256279862320753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9.0882000000000005</v>
      </c>
      <c r="K9" s="160">
        <f>J9*(100%-'Données projet'!$C$24)*(100%-'Données projet'!$C$25)*(100%-'Données projet'!$C$26)*(100%-'Données projet'!$C$27)</f>
        <v>8.1793800000000001</v>
      </c>
      <c r="L9" s="161">
        <f t="shared" ca="1" si="2"/>
        <v>105.43565986232075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Châtaignier</v>
      </c>
      <c r="B10" s="163">
        <f>'Données projet'!D13</f>
        <v>0.34560000000000002</v>
      </c>
      <c r="C10" s="156">
        <f ca="1">IF(OR('Données projet'!B13="",'Données projet'!C13="",'Données projet'!C13=0%),0,Calculateur!CY3)</f>
        <v>376.5422416541544</v>
      </c>
      <c r="D10" s="156">
        <f>IF(OR('Données projet'!B13="",'Données projet'!C13="",'Données projet'!C13=0%),0,Calculateur!CZ3)</f>
        <v>365.76175372075869</v>
      </c>
      <c r="E10" s="156">
        <f t="shared" ca="1" si="0"/>
        <v>365.76175372075869</v>
      </c>
      <c r="F10" s="156">
        <f t="shared" ca="1" si="1"/>
        <v>126.4072620858942</v>
      </c>
      <c r="G10" s="156">
        <f ca="1">F10*(100%-'Données projet'!$C$24)*(100%-'Données projet'!$C$25)*(100%-'Données projet'!$C$26)*(100%-'Données projet'!$C$27)</f>
        <v>113.76653587730479</v>
      </c>
      <c r="H10" s="164">
        <f>IF(OR('Données projet'!B13="",'Données projet'!C13="",'Données projet'!C13=0%),0,AVERAGE(Calculateur!$DI$3:$DI$33)*B10)</f>
        <v>1.3180646545297758</v>
      </c>
      <c r="I10" s="158">
        <f>H10*(100%-'Données projet'!$C$24)*(100%-'Données projet'!$C$25)*(100%-'Données projet'!$C$26)*(100%-'Données projet'!$C$27)</f>
        <v>1.1862581890767983</v>
      </c>
      <c r="J10" s="159">
        <f>IF(OR('Données projet'!B13="",'Données projet'!C13="",'Données projet'!C13=0%),0,SUM(Calculateur!$DB$3:$DB$33)*VLOOKUP('Données projet'!$B$13,Paramètres!$A$1:$I$89,9,0)*B10)</f>
        <v>15.120000000000001</v>
      </c>
      <c r="K10" s="160">
        <f>J10*(100%-'Données projet'!$C$24)*(100%-'Données projet'!$C$25)*(100%-'Données projet'!$C$26)*(100%-'Données projet'!$C$27)</f>
        <v>13.608000000000001</v>
      </c>
      <c r="L10" s="161">
        <f t="shared" ca="1" si="2"/>
        <v>128.56079406638159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654.88646041339655</v>
      </c>
      <c r="G16" s="175">
        <f t="shared" ca="1" si="3"/>
        <v>589.39781437205693</v>
      </c>
      <c r="H16" s="176">
        <f t="shared" si="3"/>
        <v>1.4161504452737659</v>
      </c>
      <c r="I16" s="176">
        <f t="shared" si="3"/>
        <v>1.2745354007463894</v>
      </c>
      <c r="J16" s="177">
        <f t="shared" si="3"/>
        <v>49.841999999999999</v>
      </c>
      <c r="K16" s="177">
        <f t="shared" si="3"/>
        <v>44.857799999999997</v>
      </c>
      <c r="L16" s="178">
        <f t="shared" ca="1" si="3"/>
        <v>635.53014977280327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Erable sycomore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Châtaignier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10" zoomScale="90" zoomScaleNormal="90" workbookViewId="0">
      <selection activeCell="C147" sqref="C147:C16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1498.6786368673972</v>
      </c>
      <c r="U10" s="190">
        <f>'Données projet'!D9</f>
        <v>0.58320000000000005</v>
      </c>
      <c r="V10" s="189">
        <f>U10*T10</f>
        <v>874.02938102106611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3101.6223824605509</v>
      </c>
      <c r="U11" s="190">
        <f>'Données projet'!D10</f>
        <v>0.36720000000000003</v>
      </c>
      <c r="V11" s="189">
        <f t="shared" ref="V11" si="0">U11*T11</f>
        <v>1138.9157388395145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2160.5607130992935</v>
      </c>
      <c r="U12" s="190">
        <f>'Données projet'!D11</f>
        <v>0.34560000000000002</v>
      </c>
      <c r="V12" s="189">
        <f t="shared" ref="V12:V19" si="1">U12*T12</f>
        <v>746.68978244711582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sycomore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1413.8269930444205</v>
      </c>
      <c r="U13" s="190">
        <f>'Données projet'!D12</f>
        <v>0.36720000000000003</v>
      </c>
      <c r="V13" s="189">
        <f t="shared" si="1"/>
        <v>519.15727184591128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Châtaignier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2320.8187354636534</v>
      </c>
      <c r="U14" s="190">
        <f>'Données projet'!D13</f>
        <v>0.34560000000000002</v>
      </c>
      <c r="V14" s="189">
        <f t="shared" si="1"/>
        <v>802.0749549762387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7205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430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8</v>
      </c>
      <c r="D23" s="194">
        <f>B23*C23</f>
        <v>48</v>
      </c>
      <c r="E23" s="206"/>
      <c r="F23" s="261"/>
      <c r="H23" s="203">
        <v>3</v>
      </c>
      <c r="I23" s="204">
        <v>450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-15884.879891666864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8</v>
      </c>
      <c r="D24" s="194">
        <f t="shared" ref="D24:D42" si="2">B24*C24</f>
        <v>224</v>
      </c>
      <c r="E24" s="206"/>
      <c r="F24" s="264"/>
      <c r="H24" s="203">
        <v>4</v>
      </c>
      <c r="I24" s="204">
        <v>500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>
        <v>5</v>
      </c>
      <c r="I25" s="204">
        <v>500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-15884.879891666864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15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15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25</v>
      </c>
      <c r="D29" s="194">
        <f t="shared" si="2"/>
        <v>700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25</v>
      </c>
      <c r="D30" s="194">
        <f t="shared" si="2"/>
        <v>700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35</v>
      </c>
      <c r="D31" s="194">
        <f t="shared" si="2"/>
        <v>980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40</v>
      </c>
      <c r="D32" s="194">
        <f t="shared" si="2"/>
        <v>1120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50</v>
      </c>
      <c r="D33" s="194">
        <f t="shared" si="2"/>
        <v>1400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50</v>
      </c>
      <c r="D34" s="194">
        <f t="shared" si="2"/>
        <v>1400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80</v>
      </c>
      <c r="D35" s="194">
        <f t="shared" si="2"/>
        <v>2240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80</v>
      </c>
      <c r="D36" s="194">
        <f t="shared" si="2"/>
        <v>2240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90</v>
      </c>
      <c r="D37" s="194">
        <f t="shared" si="2"/>
        <v>2520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110</v>
      </c>
      <c r="D38" s="194">
        <f t="shared" si="2"/>
        <v>3080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120</v>
      </c>
      <c r="D39" s="194">
        <f t="shared" si="2"/>
        <v>3240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150</v>
      </c>
      <c r="D40" s="194">
        <f t="shared" si="2"/>
        <v>3900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200</v>
      </c>
      <c r="D41" s="194">
        <f t="shared" si="2"/>
        <v>5000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06">
        <v>200</v>
      </c>
      <c r="D42" s="194">
        <f t="shared" si="2"/>
        <v>66000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8</v>
      </c>
      <c r="C54" s="204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37</v>
      </c>
      <c r="C55" s="204">
        <v>8</v>
      </c>
      <c r="D55" s="191">
        <f t="shared" ref="D55:D73" si="4">B55*C55</f>
        <v>296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29</v>
      </c>
      <c r="C56" s="204">
        <v>13</v>
      </c>
      <c r="D56" s="191">
        <f t="shared" si="4"/>
        <v>377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23</v>
      </c>
      <c r="C57" s="204">
        <v>19</v>
      </c>
      <c r="D57" s="191">
        <f t="shared" si="4"/>
        <v>437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18</v>
      </c>
      <c r="C58" s="204">
        <v>22</v>
      </c>
      <c r="D58" s="191">
        <f t="shared" si="4"/>
        <v>396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14</v>
      </c>
      <c r="C59" s="204">
        <v>25</v>
      </c>
      <c r="D59" s="191">
        <f t="shared" si="4"/>
        <v>350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11</v>
      </c>
      <c r="C60" s="204">
        <v>30</v>
      </c>
      <c r="D60" s="191">
        <f t="shared" si="4"/>
        <v>330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9</v>
      </c>
      <c r="C61" s="204">
        <v>37</v>
      </c>
      <c r="D61" s="191">
        <f t="shared" si="4"/>
        <v>333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378</v>
      </c>
      <c r="C62" s="204">
        <v>45</v>
      </c>
      <c r="D62" s="191">
        <f t="shared" si="4"/>
        <v>17010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3</v>
      </c>
      <c r="C85" s="204">
        <v>10</v>
      </c>
      <c r="D85" s="191">
        <f>B85*C85</f>
        <v>30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25</v>
      </c>
      <c r="C86" s="204">
        <v>20</v>
      </c>
      <c r="D86" s="191">
        <f t="shared" ref="D86:D104" si="6">B86*C86</f>
        <v>500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27</v>
      </c>
      <c r="C87" s="204">
        <v>30</v>
      </c>
      <c r="D87" s="191">
        <f t="shared" si="6"/>
        <v>810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31</v>
      </c>
      <c r="B88" s="193">
        <f>'Données projet'!D91</f>
        <v>36</v>
      </c>
      <c r="C88" s="204">
        <v>40</v>
      </c>
      <c r="D88" s="191">
        <f t="shared" si="6"/>
        <v>1440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37</v>
      </c>
      <c r="B89" s="193">
        <f>'Données projet'!D92</f>
        <v>36</v>
      </c>
      <c r="C89" s="204">
        <v>50</v>
      </c>
      <c r="D89" s="191">
        <f t="shared" si="6"/>
        <v>1800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44</v>
      </c>
      <c r="B90" s="193">
        <f>'Données projet'!D93</f>
        <v>43</v>
      </c>
      <c r="C90" s="204">
        <v>60</v>
      </c>
      <c r="D90" s="191">
        <f t="shared" si="6"/>
        <v>2580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52</v>
      </c>
      <c r="B91" s="193">
        <f>'Données projet'!D94</f>
        <v>48</v>
      </c>
      <c r="C91" s="204">
        <v>70</v>
      </c>
      <c r="D91" s="191">
        <f t="shared" si="6"/>
        <v>3360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47</v>
      </c>
      <c r="C92" s="204">
        <v>70</v>
      </c>
      <c r="D92" s="191">
        <f t="shared" si="6"/>
        <v>3290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69</v>
      </c>
      <c r="B93" s="193">
        <f>'Données projet'!D96</f>
        <v>328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Erable sycomore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15</v>
      </c>
      <c r="C116" s="204">
        <v>8</v>
      </c>
      <c r="D116" s="191">
        <f>B116*C116</f>
        <v>120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28</v>
      </c>
      <c r="C117" s="204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28</v>
      </c>
      <c r="C118" s="204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28</v>
      </c>
      <c r="C119" s="204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28</v>
      </c>
      <c r="C120" s="204">
        <v>15</v>
      </c>
      <c r="D120" s="191">
        <f t="shared" si="8"/>
        <v>420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28</v>
      </c>
      <c r="C121" s="204">
        <v>15</v>
      </c>
      <c r="D121" s="191">
        <f t="shared" si="8"/>
        <v>420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22</v>
      </c>
      <c r="C122" s="204">
        <v>25</v>
      </c>
      <c r="D122" s="191">
        <f t="shared" si="8"/>
        <v>550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17</v>
      </c>
      <c r="C123" s="204">
        <v>25</v>
      </c>
      <c r="D123" s="191">
        <f t="shared" si="8"/>
        <v>425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13</v>
      </c>
      <c r="C124" s="204">
        <v>35</v>
      </c>
      <c r="D124" s="191">
        <f t="shared" si="8"/>
        <v>455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12</v>
      </c>
      <c r="C125" s="204">
        <v>40</v>
      </c>
      <c r="D125" s="191">
        <f t="shared" si="8"/>
        <v>480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11</v>
      </c>
      <c r="C126" s="204">
        <v>50</v>
      </c>
      <c r="D126" s="191">
        <f t="shared" si="8"/>
        <v>550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10</v>
      </c>
      <c r="C127" s="204">
        <v>50</v>
      </c>
      <c r="D127" s="191">
        <f t="shared" si="8"/>
        <v>500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9</v>
      </c>
      <c r="C128" s="204">
        <v>80</v>
      </c>
      <c r="D128" s="191">
        <f t="shared" si="8"/>
        <v>720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275</v>
      </c>
      <c r="C129" s="204">
        <v>80</v>
      </c>
      <c r="D129" s="191">
        <f t="shared" si="8"/>
        <v>22000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Châtaignier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7</v>
      </c>
      <c r="C147" s="204">
        <v>8</v>
      </c>
      <c r="D147" s="194">
        <f>B147*C147</f>
        <v>56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42</v>
      </c>
      <c r="C148" s="204">
        <v>8</v>
      </c>
      <c r="D148" s="194">
        <f t="shared" ref="D148:D166" si="10">B148*C148</f>
        <v>336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42</v>
      </c>
      <c r="C149" s="204">
        <v>10</v>
      </c>
      <c r="D149" s="194">
        <f t="shared" si="10"/>
        <v>420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42</v>
      </c>
      <c r="C150" s="204">
        <v>10</v>
      </c>
      <c r="D150" s="194">
        <f t="shared" si="10"/>
        <v>420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42</v>
      </c>
      <c r="C151" s="204">
        <v>15</v>
      </c>
      <c r="D151" s="194">
        <f t="shared" si="10"/>
        <v>630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42</v>
      </c>
      <c r="C152" s="204">
        <v>15</v>
      </c>
      <c r="D152" s="194">
        <f t="shared" si="10"/>
        <v>630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40</v>
      </c>
      <c r="C153" s="204">
        <v>25</v>
      </c>
      <c r="D153" s="194">
        <f t="shared" si="10"/>
        <v>1000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26</v>
      </c>
      <c r="C154" s="204">
        <v>25</v>
      </c>
      <c r="D154" s="194">
        <f t="shared" si="10"/>
        <v>650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21</v>
      </c>
      <c r="C155" s="204">
        <v>35</v>
      </c>
      <c r="D155" s="194">
        <f t="shared" si="10"/>
        <v>735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18</v>
      </c>
      <c r="C156" s="204">
        <v>40</v>
      </c>
      <c r="D156" s="194">
        <f t="shared" si="10"/>
        <v>720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17</v>
      </c>
      <c r="C157" s="204">
        <v>50</v>
      </c>
      <c r="D157" s="194">
        <f t="shared" si="10"/>
        <v>850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7">
        <f>'Données projet'!D151</f>
        <v>16</v>
      </c>
      <c r="C158" s="204">
        <v>50</v>
      </c>
      <c r="D158" s="194">
        <f t="shared" si="10"/>
        <v>800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7">
        <f>'Données projet'!D152</f>
        <v>15</v>
      </c>
      <c r="C159" s="204">
        <v>60</v>
      </c>
      <c r="D159" s="194">
        <f t="shared" si="10"/>
        <v>900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7">
        <f>'Données projet'!D153</f>
        <v>14</v>
      </c>
      <c r="C160" s="204">
        <v>70</v>
      </c>
      <c r="D160" s="194">
        <f t="shared" si="10"/>
        <v>980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7">
        <f>'Données projet'!D154</f>
        <v>382</v>
      </c>
      <c r="C161" s="204">
        <v>80</v>
      </c>
      <c r="D161" s="194">
        <f t="shared" si="10"/>
        <v>30560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2025-08-13T07:04:13Z</dcterms:modified>
</cp:coreProperties>
</file>