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GAILLON (27) -GF DES LORIOT SWC E10\dossier déposé 1205\"/>
    </mc:Choice>
  </mc:AlternateContent>
  <xr:revisionPtr revIDLastSave="0" documentId="13_ncr:1_{4FAE824C-3B89-4EF4-8711-F4C53B4674A5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4" i="1" l="1"/>
  <c r="B173" i="1"/>
  <c r="B172" i="1"/>
  <c r="B171" i="1"/>
  <c r="B170" i="1"/>
  <c r="B169" i="1"/>
  <c r="B16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ED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DH156" i="2" l="1"/>
  <c r="ED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ED163" i="2"/>
  <c r="EA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ED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37" i="2" a="1"/>
  <c r="DN137" i="2" s="1"/>
  <c r="DN184" i="2" a="1"/>
  <c r="DN184" i="2" s="1"/>
  <c r="DN113" i="2" a="1"/>
  <c r="DN113" i="2" s="1"/>
  <c r="DN129" i="2" a="1"/>
  <c r="DN129" i="2" s="1"/>
  <c r="DN153" i="2" a="1"/>
  <c r="DN153" i="2" s="1"/>
  <c r="DN66" i="2" a="1"/>
  <c r="DN66" i="2" s="1"/>
  <c r="DN192" i="2" a="1"/>
  <c r="DN192" i="2" s="1"/>
  <c r="EI195" i="2" a="1"/>
  <c r="EI195" i="2" s="1"/>
  <c r="DN103" i="2" a="1"/>
  <c r="DN103" i="2" s="1"/>
  <c r="CS161" i="2" a="1"/>
  <c r="CS16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80" i="2" a="1"/>
  <c r="DN80" i="2" s="1"/>
  <c r="DN38" i="2" a="1"/>
  <c r="DN38" i="2" s="1"/>
  <c r="DN164" i="2" a="1"/>
  <c r="DN164" i="2" s="1"/>
  <c r="DN162" i="2" a="1"/>
  <c r="DN162" i="2" s="1"/>
  <c r="DN167" i="2" a="1"/>
  <c r="DN167" i="2" s="1"/>
  <c r="DN65" i="2" a="1"/>
  <c r="DN65" i="2" s="1"/>
  <c r="DN133" i="2" a="1"/>
  <c r="DN133" i="2" s="1"/>
  <c r="DN176" i="2" a="1"/>
  <c r="DN176" i="2" s="1"/>
  <c r="DN6" i="2" a="1"/>
  <c r="DN6" i="2" s="1"/>
  <c r="DO6" i="2" s="1"/>
  <c r="DN46" i="2" a="1"/>
  <c r="DN46" i="2" s="1"/>
  <c r="DN132" i="2" a="1"/>
  <c r="DN132" i="2" s="1"/>
  <c r="DN45" i="2" a="1"/>
  <c r="DN45" i="2" s="1"/>
  <c r="FD82" i="2" a="1"/>
  <c r="FD82" i="2" s="1"/>
  <c r="HJ202" i="2"/>
  <c r="EY202" i="2"/>
  <c r="AX200" i="2"/>
  <c r="AH199" i="2" l="1" a="1"/>
  <c r="AH199" i="2" s="1"/>
  <c r="BC68" i="2" a="1"/>
  <c r="BC68" i="2" s="1"/>
  <c r="DN56" i="2" a="1"/>
  <c r="DN56" i="2" s="1"/>
  <c r="DN49" i="2" a="1"/>
  <c r="DN49" i="2" s="1"/>
  <c r="DN123" i="2" a="1"/>
  <c r="DN123" i="2" s="1"/>
  <c r="DN50" i="2" a="1"/>
  <c r="DN50" i="2" s="1"/>
  <c r="DN190" i="2" a="1"/>
  <c r="DN190" i="2" s="1"/>
  <c r="DN135" i="2" a="1"/>
  <c r="DN135" i="2" s="1"/>
  <c r="DN150" i="2" a="1"/>
  <c r="DN150" i="2" s="1"/>
  <c r="DN25" i="2" a="1"/>
  <c r="DN25" i="2" s="1"/>
  <c r="DN152" i="2" a="1"/>
  <c r="DN152" i="2" s="1"/>
  <c r="DN70" i="2" a="1"/>
  <c r="DN70" i="2" s="1"/>
  <c r="DN168" i="2" a="1"/>
  <c r="DN168" i="2" s="1"/>
  <c r="DN188" i="2" a="1"/>
  <c r="DN188" i="2" s="1"/>
  <c r="DN29" i="2" a="1"/>
  <c r="DN29" i="2" s="1"/>
  <c r="DN187" i="2" a="1"/>
  <c r="DN187" i="2" s="1"/>
  <c r="DN86" i="2" a="1"/>
  <c r="DN86" i="2" s="1"/>
  <c r="DN41" i="2" a="1"/>
  <c r="DN41" i="2" s="1"/>
  <c r="DN55" i="2" a="1"/>
  <c r="DN55" i="2" s="1"/>
  <c r="DN110" i="2" a="1"/>
  <c r="DN110" i="2" s="1"/>
  <c r="DN177" i="2" a="1"/>
  <c r="DN177" i="2" s="1"/>
  <c r="DN43" i="2" a="1"/>
  <c r="DN43" i="2" s="1"/>
  <c r="DN31" i="2" a="1"/>
  <c r="DN31" i="2" s="1"/>
  <c r="DN115" i="2" a="1"/>
  <c r="DN115" i="2" s="1"/>
  <c r="DN186" i="2" a="1"/>
  <c r="DN186" i="2" s="1"/>
  <c r="DN30" i="2" a="1"/>
  <c r="DN30" i="2" s="1"/>
  <c r="DN16" i="2" a="1"/>
  <c r="DN16" i="2" s="1"/>
  <c r="DN114" i="2" a="1"/>
  <c r="DN114" i="2" s="1"/>
  <c r="DN170" i="2" a="1"/>
  <c r="DN170" i="2" s="1"/>
  <c r="DN124" i="2" a="1"/>
  <c r="DN124" i="2" s="1"/>
  <c r="CS72" i="2" a="1"/>
  <c r="CS72" i="2" s="1"/>
  <c r="CS66" i="2" a="1"/>
  <c r="CS66" i="2" s="1"/>
  <c r="CS120" i="2" a="1"/>
  <c r="CS120" i="2" s="1"/>
  <c r="CS116" i="2" a="1"/>
  <c r="CS116" i="2" s="1"/>
  <c r="CS77" i="2" a="1"/>
  <c r="CS77" i="2" s="1"/>
  <c r="CS38" i="2" a="1"/>
  <c r="CS38" i="2" s="1"/>
  <c r="CS105" i="2" a="1"/>
  <c r="CS105" i="2" s="1"/>
  <c r="CS56" i="2" a="1"/>
  <c r="CS56" i="2" s="1"/>
  <c r="CS114" i="2" a="1"/>
  <c r="CS114" i="2" s="1"/>
  <c r="CS137" i="2" a="1"/>
  <c r="CS137" i="2" s="1"/>
  <c r="CS129" i="2" a="1"/>
  <c r="CS129" i="2" s="1"/>
  <c r="CS134" i="2" a="1"/>
  <c r="CS134" i="2" s="1"/>
  <c r="CS185" i="2" a="1"/>
  <c r="CS185" i="2" s="1"/>
  <c r="CS52" i="2" a="1"/>
  <c r="CS52" i="2" s="1"/>
  <c r="CS24" i="2" a="1"/>
  <c r="CS24" i="2" s="1"/>
  <c r="BX107" i="2" a="1"/>
  <c r="BX107" i="2" s="1"/>
  <c r="BC58" i="2" a="1"/>
  <c r="BC58" i="2" s="1"/>
  <c r="BC34" i="2" a="1"/>
  <c r="BC34" i="2" s="1"/>
  <c r="BC185" i="2" a="1"/>
  <c r="BC185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" i="2" l="1"/>
  <c r="CD63" i="2"/>
  <c r="CD167" i="2"/>
  <c r="CD102" i="2"/>
  <c r="CD40" i="2"/>
  <c r="CD43" i="2"/>
  <c r="CD111" i="2"/>
  <c r="CD8" i="2"/>
  <c r="CD62" i="2"/>
  <c r="CD54" i="2"/>
  <c r="CD32" i="2"/>
  <c r="CD82" i="2"/>
  <c r="CD156" i="2"/>
  <c r="CD126" i="2"/>
  <c r="CD100" i="2"/>
  <c r="CD157" i="2"/>
  <c r="CD18" i="2"/>
  <c r="CD203" i="2"/>
  <c r="CD152" i="2"/>
  <c r="CD178" i="2"/>
  <c r="CD181" i="2"/>
  <c r="CD134" i="2"/>
  <c r="CD34" i="2"/>
  <c r="CD86" i="2"/>
  <c r="CD23" i="2"/>
  <c r="CD74" i="2"/>
  <c r="CD46" i="2"/>
  <c r="CD170" i="2"/>
  <c r="CD153" i="2"/>
  <c r="CD186" i="2"/>
  <c r="CD115" i="2"/>
  <c r="CD119" i="2"/>
  <c r="CD161" i="2"/>
  <c r="CD169" i="2"/>
  <c r="CD159" i="2"/>
  <c r="CD58" i="2"/>
  <c r="CD175" i="2"/>
  <c r="CD25" i="2"/>
  <c r="CD42" i="2"/>
  <c r="CD164" i="2"/>
  <c r="CD60" i="2"/>
  <c r="CD162" i="2"/>
  <c r="CD189" i="2"/>
  <c r="CD13" i="2"/>
  <c r="CD151" i="2"/>
  <c r="CD67" i="2"/>
  <c r="CD140" i="2"/>
  <c r="CD112" i="2"/>
  <c r="CD89" i="2"/>
  <c r="CD76" i="2"/>
  <c r="CD198" i="2"/>
  <c r="CD84" i="2"/>
  <c r="CD69" i="2"/>
  <c r="CD193" i="2"/>
  <c r="CD48" i="2"/>
  <c r="CD155" i="2"/>
  <c r="CD92" i="2"/>
  <c r="CD118" i="2"/>
  <c r="CD173" i="2"/>
  <c r="CD21" i="2"/>
  <c r="CD168" i="2"/>
  <c r="CD197" i="2"/>
  <c r="CD65" i="2"/>
  <c r="CD182" i="2"/>
  <c r="CD131" i="2"/>
  <c r="CD17" i="2"/>
  <c r="CD133" i="2"/>
  <c r="CD51" i="2"/>
  <c r="CD28" i="2"/>
  <c r="CD192" i="2"/>
  <c r="CD80" i="2"/>
  <c r="CD145" i="2"/>
  <c r="CD27" i="2"/>
  <c r="CD196" i="2"/>
  <c r="CD195" i="2"/>
  <c r="CD22" i="2"/>
  <c r="CD191" i="2"/>
  <c r="CD120" i="2"/>
  <c r="CD139" i="2"/>
  <c r="CD68" i="2"/>
  <c r="CD33" i="2"/>
  <c r="CD188" i="2"/>
  <c r="CD20" i="2"/>
  <c r="CD166" i="2"/>
  <c r="CD75" i="2"/>
  <c r="CD3" i="2"/>
  <c r="C9" i="4" s="1"/>
  <c r="E9" i="4" s="1"/>
  <c r="F9" i="4" s="1"/>
  <c r="G9" i="4" s="1"/>
  <c r="L9" i="4" s="1"/>
  <c r="CD113" i="2"/>
  <c r="CD171" i="2"/>
  <c r="CD141" i="2"/>
  <c r="CD158" i="2"/>
  <c r="CD77" i="2"/>
  <c r="CD78" i="2"/>
  <c r="CD9" i="2"/>
  <c r="CD135" i="2"/>
  <c r="CD41" i="2"/>
  <c r="CD149" i="2"/>
  <c r="CD108" i="2"/>
  <c r="CD35" i="2"/>
  <c r="CD150" i="2"/>
  <c r="CD124" i="2"/>
  <c r="CD85" i="2"/>
  <c r="CD57" i="2"/>
  <c r="CD59" i="2"/>
  <c r="CD148" i="2"/>
  <c r="CD79" i="2"/>
  <c r="CD201" i="2"/>
  <c r="CD132" i="2"/>
  <c r="CD72" i="2"/>
  <c r="CD81" i="2"/>
  <c r="CD177" i="2"/>
  <c r="CD61" i="2"/>
  <c r="CD19" i="2"/>
  <c r="CD90" i="2"/>
  <c r="CD44" i="2"/>
  <c r="CD5" i="2"/>
  <c r="CD127" i="2"/>
  <c r="CD45" i="2"/>
  <c r="CD12" i="2"/>
  <c r="CD31" i="2"/>
  <c r="CD14" i="2"/>
  <c r="CD144" i="2"/>
  <c r="CD109" i="2"/>
  <c r="CD93" i="2"/>
  <c r="CD105" i="2"/>
  <c r="CD38" i="2"/>
  <c r="CD129" i="2"/>
  <c r="CD194" i="2"/>
  <c r="CD160" i="2"/>
  <c r="CD98" i="2"/>
  <c r="CD87" i="2"/>
  <c r="CD10" i="2"/>
  <c r="CD110" i="2"/>
  <c r="CD83" i="2"/>
  <c r="CD199" i="2"/>
  <c r="CD47" i="2"/>
  <c r="CD138" i="2"/>
  <c r="CD200" i="2"/>
  <c r="CD94" i="2"/>
  <c r="CD187" i="2"/>
  <c r="CD11" i="2"/>
  <c r="CD136" i="2"/>
  <c r="CD7" i="2"/>
  <c r="CD154" i="2"/>
  <c r="CD39" i="2"/>
  <c r="CD88" i="2"/>
  <c r="CD56" i="2"/>
  <c r="CD117" i="2"/>
  <c r="CD130" i="2"/>
  <c r="CD143" i="2"/>
  <c r="CD174" i="2"/>
  <c r="CD122" i="2"/>
  <c r="CD184" i="2"/>
  <c r="CD103" i="2"/>
  <c r="CD50" i="2"/>
  <c r="CD36" i="2"/>
  <c r="CD172" i="2"/>
  <c r="CD101" i="2"/>
  <c r="CD125" i="2"/>
  <c r="CD15" i="2"/>
  <c r="CD106" i="2"/>
  <c r="CD128" i="2"/>
  <c r="CD180" i="2"/>
  <c r="CD176" i="2"/>
  <c r="CD73" i="2"/>
  <c r="CD116" i="2"/>
  <c r="CD99" i="2"/>
  <c r="CD66" i="2"/>
  <c r="CD185" i="2"/>
  <c r="CD137" i="2"/>
  <c r="CD95" i="2"/>
  <c r="CD64" i="2"/>
  <c r="CD24" i="2"/>
  <c r="CD121" i="2"/>
  <c r="CD146" i="2"/>
  <c r="CD52" i="2"/>
  <c r="CD97" i="2"/>
  <c r="CD96" i="2"/>
  <c r="CD49" i="2"/>
  <c r="CD4" i="2"/>
  <c r="CD165" i="2"/>
  <c r="CD29" i="2"/>
  <c r="CD91" i="2"/>
  <c r="CD37" i="2"/>
  <c r="CD53" i="2"/>
  <c r="CD104" i="2"/>
  <c r="CD142" i="2"/>
  <c r="CD16" i="2"/>
  <c r="CD123" i="2"/>
  <c r="CD179" i="2"/>
  <c r="CD163" i="2"/>
  <c r="CD71" i="2"/>
  <c r="CD30" i="2"/>
  <c r="CD26" i="2"/>
  <c r="CD202" i="2"/>
  <c r="CD183" i="2"/>
  <c r="CD190" i="2"/>
  <c r="CD147" i="2"/>
  <c r="CD114" i="2"/>
  <c r="CD107" i="2"/>
  <c r="CD55" i="2"/>
  <c r="CD70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03" i="2" l="1"/>
  <c r="BI186" i="2"/>
  <c r="BI79" i="2"/>
  <c r="BI49" i="2"/>
  <c r="BI71" i="2"/>
  <c r="BI3" i="2"/>
  <c r="C8" i="4" s="1"/>
  <c r="E8" i="4" s="1"/>
  <c r="F8" i="4" s="1"/>
  <c r="G8" i="4" s="1"/>
  <c r="L8" i="4" s="1"/>
  <c r="BI100" i="2"/>
  <c r="BI16" i="2"/>
  <c r="BI200" i="2"/>
  <c r="BI7" i="2"/>
  <c r="BI48" i="2"/>
  <c r="BI12" i="2"/>
  <c r="BI120" i="2"/>
  <c r="BI47" i="2"/>
  <c r="BI98" i="2"/>
  <c r="BI128" i="2"/>
  <c r="BI111" i="2"/>
  <c r="BI17" i="2"/>
  <c r="BI138" i="2"/>
  <c r="BI58" i="2"/>
  <c r="BI172" i="2"/>
  <c r="BI97" i="2"/>
  <c r="BI73" i="2"/>
  <c r="BI114" i="2"/>
  <c r="BI191" i="2"/>
  <c r="BI91" i="2"/>
  <c r="BI129" i="2"/>
  <c r="BI44" i="2"/>
  <c r="BI115" i="2"/>
  <c r="BI198" i="2"/>
  <c r="BI68" i="2"/>
  <c r="BI50" i="2"/>
  <c r="BI26" i="2"/>
  <c r="BI76" i="2"/>
  <c r="BI60" i="2"/>
  <c r="BI53" i="2"/>
  <c r="BI87" i="2"/>
  <c r="BI196" i="2"/>
  <c r="BI177" i="2"/>
  <c r="BI163" i="2"/>
  <c r="BI28" i="2"/>
  <c r="BI88" i="2"/>
  <c r="BI144" i="2"/>
  <c r="BI30" i="2"/>
  <c r="BI183" i="2"/>
  <c r="BI55" i="2"/>
  <c r="BI122" i="2"/>
  <c r="BI86" i="2"/>
  <c r="BI124" i="2"/>
  <c r="BI119" i="2"/>
  <c r="BI184" i="2"/>
  <c r="BI169" i="2"/>
  <c r="BI159" i="2"/>
  <c r="BI4" i="2"/>
  <c r="BI175" i="2"/>
  <c r="BI101" i="2"/>
  <c r="BI158" i="2"/>
  <c r="BI137" i="2"/>
  <c r="BI130" i="2"/>
  <c r="BI32" i="2"/>
  <c r="BI29" i="2"/>
  <c r="BI154" i="2"/>
  <c r="BI179" i="2"/>
  <c r="BI165" i="2"/>
  <c r="BI166" i="2"/>
  <c r="BI176" i="2"/>
  <c r="BI168" i="2"/>
  <c r="BI117" i="2"/>
  <c r="BI136" i="2"/>
  <c r="BI182" i="2"/>
  <c r="BI161" i="2"/>
  <c r="BI35" i="2"/>
  <c r="BI81" i="2"/>
  <c r="BI112" i="2"/>
  <c r="BI203" i="2"/>
  <c r="BI5" i="2"/>
  <c r="BI150" i="2"/>
  <c r="BI99" i="2"/>
  <c r="BI152" i="2"/>
  <c r="BI185" i="2"/>
  <c r="BI199" i="2"/>
  <c r="BI180" i="2"/>
  <c r="BI109" i="2"/>
  <c r="BI51" i="2"/>
  <c r="BI62" i="2"/>
  <c r="BI18" i="2"/>
  <c r="BI38" i="2"/>
  <c r="BI78" i="2"/>
  <c r="BI148" i="2"/>
  <c r="BI96" i="2"/>
  <c r="BI59" i="2"/>
  <c r="BI127" i="2"/>
  <c r="BI155" i="2"/>
  <c r="BI118" i="2"/>
  <c r="BI6" i="2"/>
  <c r="BI153" i="2"/>
  <c r="BI193" i="2"/>
  <c r="BI14" i="2"/>
  <c r="BI31" i="2"/>
  <c r="BI195" i="2"/>
  <c r="BI75" i="2"/>
  <c r="BI174" i="2"/>
  <c r="BI106" i="2"/>
  <c r="BI131" i="2"/>
  <c r="BI15" i="2"/>
  <c r="BI33" i="2"/>
  <c r="BI188" i="2"/>
  <c r="BI57" i="2"/>
  <c r="BI94" i="2"/>
  <c r="BI93" i="2"/>
  <c r="BI142" i="2"/>
  <c r="BI21" i="2"/>
  <c r="BI160" i="2"/>
  <c r="BI190" i="2"/>
  <c r="BI187" i="2"/>
  <c r="BI105" i="2"/>
  <c r="BI90" i="2"/>
  <c r="BI84" i="2"/>
  <c r="BI156" i="2"/>
  <c r="BI197" i="2"/>
  <c r="BI61" i="2"/>
  <c r="BI74" i="2"/>
  <c r="BI52" i="2"/>
  <c r="BI85" i="2"/>
  <c r="BI42" i="2"/>
  <c r="BI27" i="2"/>
  <c r="BI82" i="2"/>
  <c r="BI126" i="2"/>
  <c r="BI77" i="2"/>
  <c r="BI25" i="2"/>
  <c r="BI116" i="2"/>
  <c r="BI72" i="2"/>
  <c r="BI143" i="2"/>
  <c r="BI113" i="2"/>
  <c r="BI34" i="2"/>
  <c r="BI110" i="2"/>
  <c r="BI41" i="2"/>
  <c r="BI10" i="2"/>
  <c r="BI20" i="2"/>
  <c r="BI132" i="2"/>
  <c r="BI135" i="2"/>
  <c r="BI123" i="2"/>
  <c r="BI121" i="2"/>
  <c r="BI170" i="2"/>
  <c r="BI63" i="2"/>
  <c r="BI65" i="2"/>
  <c r="BI171" i="2"/>
  <c r="BI8" i="2"/>
  <c r="BI66" i="2"/>
  <c r="BI201" i="2"/>
  <c r="BI149" i="2"/>
  <c r="BI95" i="2"/>
  <c r="BI145" i="2"/>
  <c r="BI69" i="2"/>
  <c r="BI102" i="2"/>
  <c r="BI141" i="2"/>
  <c r="BI89" i="2"/>
  <c r="BI181" i="2"/>
  <c r="BI56" i="2"/>
  <c r="BI192" i="2"/>
  <c r="BI40" i="2"/>
  <c r="BI157" i="2"/>
  <c r="BI147" i="2"/>
  <c r="BI67" i="2"/>
  <c r="BI125" i="2"/>
  <c r="BI104" i="2"/>
  <c r="BI37" i="2"/>
  <c r="BI167" i="2"/>
  <c r="BI164" i="2"/>
  <c r="BI46" i="2"/>
  <c r="BI189" i="2"/>
  <c r="BI13" i="2"/>
  <c r="BI178" i="2"/>
  <c r="BI139" i="2"/>
  <c r="BI146" i="2"/>
  <c r="BI9" i="2"/>
  <c r="BI39" i="2"/>
  <c r="BI140" i="2"/>
  <c r="BI173" i="2"/>
  <c r="BI64" i="2"/>
  <c r="BI43" i="2"/>
  <c r="BI19" i="2"/>
  <c r="BI151" i="2"/>
  <c r="BI202" i="2"/>
  <c r="BI133" i="2"/>
  <c r="BI83" i="2"/>
  <c r="BI108" i="2"/>
  <c r="BI23" i="2"/>
  <c r="BI194" i="2"/>
  <c r="BI11" i="2"/>
  <c r="BI36" i="2"/>
  <c r="BI22" i="2"/>
  <c r="BI54" i="2"/>
  <c r="BI45" i="2"/>
  <c r="BI70" i="2"/>
  <c r="BI107" i="2"/>
  <c r="BI24" i="2"/>
  <c r="BI162" i="2"/>
  <c r="BI134" i="2"/>
  <c r="BI92" i="2"/>
  <c r="BI8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<sst xmlns="http://schemas.openxmlformats.org/spreadsheetml/2006/main" count="1174" uniqueCount="329">
  <si>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</si>
  <si>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</si>
  <si>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</si>
  <si>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</si>
  <si>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</si>
  <si>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</si>
  <si>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</si>
  <si>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</si>
  <si>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</si>
  <si>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</si>
  <si>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</si>
  <si>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</si>
  <si>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</si>
  <si>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</si>
  <si>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</si>
  <si>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</si>
  <si>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</si>
  <si>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</si>
  <si>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</si>
  <si>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</si>
  <si>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</si>
  <si>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</si>
  <si>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</si>
  <si>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</si>
  <si>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</si>
  <si>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</si>
  <si>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</si>
  <si>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</si>
  <si>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</si>
  <si>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</si>
  <si>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</si>
  <si>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</si>
  <si>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</si>
  <si>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</si>
  <si>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</si>
  <si>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</si>
  <si>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</si>
  <si>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</si>
  <si>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</si>
  <si>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</si>
  <si>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</si>
  <si>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</si>
  <si>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</si>
  <si>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</si>
  <si>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</si>
  <si>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</si>
  <si>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</si>
  <si>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</si>
  <si>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</si>
  <si>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</si>
  <si>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</si>
  <si>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</si>
  <si>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</si>
  <si>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</si>
  <si>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</si>
  <si>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</si>
  <si>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</si>
  <si>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</si>
  <si>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</si>
  <si>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</si>
  <si>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</si>
  <si>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</si>
  <si>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</si>
  <si>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</si>
  <si>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</si>
  <si>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</si>
  <si>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</si>
  <si>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</si>
  <si>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</si>
  <si>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</si>
  <si>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</si>
  <si>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</si>
  <si>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</si>
  <si>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</si>
  <si>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</si>
  <si>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</si>
  <si>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</si>
  <si>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</si>
  <si>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</si>
  <si>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</si>
  <si>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</si>
  <si>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</si>
  <si>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</si>
  <si>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</si>
  <si>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</si>
  <si>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</si>
  <si>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</si>
  <si>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</si>
  <si>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</si>
  <si>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</si>
  <si>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</si>
  <si>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</si>
  <si>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</si>
  <si>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</si>
  <si>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</si>
  <si>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</si>
  <si>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</si>
  <si>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</si>
  <si>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</si>
  <si>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</si>
  <si>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</si>
  <si>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</si>
  <si>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</si>
  <si>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</si>
  <si>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</si>
  <si>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</si>
  <si>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</si>
  <si>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</si>
  <si>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</si>
  <si>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</si>
  <si>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</si>
  <si>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</si>
  <si>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</si>
  <si>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</si>
  <si>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</si>
  <si>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</si>
  <si>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</si>
  <si>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</si>
  <si>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</si>
  <si>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</si>
  <si>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</si>
  <si>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</si>
  <si>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</si>
  <si>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</si>
  <si>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</si>
  <si>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</si>
  <si>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</si>
  <si>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</si>
  <si>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</si>
  <si>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</si>
  <si>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</si>
  <si>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</si>
  <si>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</si>
  <si>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</si>
  <si>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</si>
  <si>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</si>
  <si>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</si>
  <si>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</si>
  <si>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</si>
  <si>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</si>
  <si>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</si>
  <si>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</si>
  <si>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</si>
  <si>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</si>
  <si>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</si>
  <si>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</si>
  <si>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</si>
  <si>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</si>
  <si>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</si>
  <si>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</si>
  <si>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</si>
  <si>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</si>
  <si>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</si>
  <si>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</si>
  <si>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</si>
  <si>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</si>
  <si>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</si>
  <si>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</si>
  <si>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</si>
  <si>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</si>
  <si>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</si>
  <si>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</si>
  <si>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</si>
  <si>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</si>
  <si>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</si>
  <si>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</si>
  <si>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</si>
  <si>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</si>
  <si>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</si>
  <si>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</si>
  <si>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</si>
  <si>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</si>
  <si>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</si>
  <si>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</si>
  <si>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</si>
  <si>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</si>
  <si>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</si>
  <si>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</si>
  <si>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</si>
  <si>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</si>
  <si>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</si>
  <si>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</si>
  <si>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</si>
  <si>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</si>
  <si>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</si>
  <si>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</si>
  <si>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</si>
  <si>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</si>
  <si>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</si>
  <si>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</si>
  <si>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</si>
  <si>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</si>
  <si>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</si>
  <si>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</si>
  <si>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</si>
  <si>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</si>
  <si>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</si>
  <si>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</si>
  <si>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</si>
  <si>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</si>
  <si>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</si>
  <si>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</si>
  <si>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</si>
  <si>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</si>
  <si>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</si>
  <si>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</si>
  <si>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</si>
  <si>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</si>
  <si>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</si>
  <si>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</si>
  <si>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</si>
  <si>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</si>
  <si>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</si>
  <si>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</si>
  <si>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</si>
  <si>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</si>
  <si>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</si>
  <si>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</si>
  <si>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</si>
  <si>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</si>
  <si>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</si>
  <si>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</si>
  <si>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</si>
  <si>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</si>
  <si>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</si>
  <si>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</si>
  <si>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</si>
  <si>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</si>
  <si>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</si>
  <si>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</si>
  <si>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</si>
  <si>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</si>
  <si>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</si>
  <si>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</si>
  <si>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</si>
  <si>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</si>
  <si>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</si>
  <si>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</si>
  <si>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</si>
  <si>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</si>
  <si>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</si>
  <si>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</si>
  <si>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</si>
  <si>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</si>
  <si>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</si>
  <si>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</si>
  <si>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</si>
  <si>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</si>
  <si>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</si>
  <si>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</si>
  <si>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</si>
  <si>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</si>
  <si>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</si>
  <si>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</si>
  <si>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</si>
  <si>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</si>
  <si>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</si>
  <si>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</si>
  <si>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</si>
  <si>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</si>
  <si>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</si>
  <si>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</si>
  <si>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</si>
  <si>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</si>
  <si>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</si>
  <si>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</si>
  <si>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</si>
  <si>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</si>
  <si>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</si>
  <si>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</si>
  <si>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</si>
  <si>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</si>
  <si>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</si>
  <si>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</si>
  <si>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</si>
  <si>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</si>
  <si>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</si>
  <si>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</si>
  <si>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</si>
  <si>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</si>
  <si>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</si>
  <si>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</si>
  <si>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</si>
  <si>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</si>
  <si>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</si>
  <si>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</si>
  <si>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</si>
  <si>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</si>
  <si>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</si>
  <si>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</si>
  <si>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</si>
  <si>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</si>
  <si>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</si>
  <si>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</si>
  <si>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</si>
  <si>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</si>
  <si>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</si>
  <si>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</si>
  <si>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</si>
  <si>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</si>
  <si>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</si>
  <si>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</si>
  <si>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</si>
  <si>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</si>
  <si>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</si>
  <si>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</si>
  <si>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</si>
  <si>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</si>
  <si>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</si>
  <si>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</si>
  <si>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</si>
  <si>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</si>
  <si>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</si>
  <si>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</si>
  <si>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</si>
  <si>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</si>
  <si>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</si>
  <si>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</si>
  <si>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</si>
  <si>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</si>
  <si>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</si>
  <si>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</si>
  <si>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</si>
  <si>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</si>
  <si>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cèdre de l'atlas</t>
  </si>
  <si>
    <t>chêne pubescent</t>
  </si>
  <si>
    <t>chêne sessile</t>
  </si>
  <si>
    <t>cormier</t>
  </si>
  <si>
    <t>pin laricio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</si>
</sst>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1.4291543668766262</c:v>
                </c:pt>
                <c:pt idx="2">
                  <c:v>1.6668584822322881</c:v>
                </c:pt>
                <c:pt idx="3">
                  <c:v>1.9442470068561069</c:v>
                </c:pt>
                <c:pt idx="4">
                  <c:v>2.2679686856822596</c:v>
                </c:pt>
                <c:pt idx="5">
                  <c:v>2.6457899024890454</c:v>
                </c:pt>
                <c:pt idx="6">
                  <c:v>3.0867831349357764</c:v>
                </c:pt>
                <c:pt idx="7">
                  <c:v>3.6015472779597215</c:v>
                </c:pt>
                <c:pt idx="8">
                  <c:v>4.2024652388357486</c:v>
                </c:pt>
                <c:pt idx="9">
                  <c:v>4.9040051255561234</c:v>
                </c:pt>
                <c:pt idx="10">
                  <c:v>5.7230724249731315</c:v>
                </c:pt>
                <c:pt idx="11">
                  <c:v>6.6794218250620458</c:v>
                </c:pt>
                <c:pt idx="12">
                  <c:v>7.796138807971313</c:v>
                </c:pt>
                <c:pt idx="13">
                  <c:v>9.1002028638425916</c:v>
                </c:pt>
                <c:pt idx="14">
                  <c:v>10.623146192580593</c:v>
                </c:pt>
                <c:pt idx="15">
                  <c:v>12.401824122043109</c:v>
                </c:pt>
                <c:pt idx="16">
                  <c:v>14.479316235310385</c:v>
                </c:pt>
                <c:pt idx="17">
                  <c:v>16.905980435651845</c:v>
                </c:pt>
                <c:pt idx="18">
                  <c:v>19.740685966201656</c:v>
                </c:pt>
                <c:pt idx="19">
                  <c:v>23.052255836662599</c:v>
                </c:pt>
                <c:pt idx="20">
                  <c:v>26.921154302242531</c:v>
                </c:pt>
                <c:pt idx="21">
                  <c:v>31.44146112011536</c:v>
                </c:pt>
                <c:pt idx="22">
                  <c:v>36.723181427825928</c:v>
                </c:pt>
                <c:pt idx="23">
                  <c:v>42.894948424090153</c:v>
                </c:pt>
                <c:pt idx="24">
                  <c:v>50.10718579373664</c:v>
                </c:pt>
                <c:pt idx="25">
                  <c:v>58.535808249179098</c:v>
                </c:pt>
                <c:pt idx="26">
                  <c:v>68.386551946749833</c:v>
                </c:pt>
                <c:pt idx="27">
                  <c:v>79.900042212465777</c:v>
                </c:pt>
                <c:pt idx="28">
                  <c:v>93.357724370818289</c:v>
                </c:pt>
                <c:pt idx="29">
                  <c:v>109.08880497181222</c:v>
                </c:pt>
                <c:pt idx="30">
                  <c:v>127.47837589447978</c:v>
                </c:pt>
                <c:pt idx="31">
                  <c:v>139.20491345322381</c:v>
                </c:pt>
                <c:pt idx="32">
                  <c:v>150.90772576875966</c:v>
                </c:pt>
                <c:pt idx="33">
                  <c:v>162.58891377420599</c:v>
                </c:pt>
                <c:pt idx="34">
                  <c:v>174.25025135592981</c:v>
                </c:pt>
                <c:pt idx="35">
                  <c:v>185.89325523453124</c:v>
                </c:pt>
                <c:pt idx="36">
                  <c:v>197.51923637647113</c:v>
                </c:pt>
                <c:pt idx="37">
                  <c:v>209.12933864077536</c:v>
                </c:pt>
                <c:pt idx="38">
                  <c:v>220.72456837792924</c:v>
                </c:pt>
                <c:pt idx="39">
                  <c:v>232.30581747323103</c:v>
                </c:pt>
                <c:pt idx="40">
                  <c:v>243.87388154779401</c:v>
                </c:pt>
                <c:pt idx="41">
                  <c:v>258.00255288669382</c:v>
                </c:pt>
                <c:pt idx="42">
                  <c:v>272.11373779568225</c:v>
                </c:pt>
                <c:pt idx="43">
                  <c:v>286.20847096468577</c:v>
                </c:pt>
                <c:pt idx="44">
                  <c:v>300.28767681781193</c:v>
                </c:pt>
                <c:pt idx="45">
                  <c:v>314.35218599299907</c:v>
                </c:pt>
                <c:pt idx="46">
                  <c:v>328.4027487162594</c:v>
                </c:pt>
                <c:pt idx="47">
                  <c:v>342.44004576622433</c:v>
                </c:pt>
                <c:pt idx="48">
                  <c:v>356.46469754614213</c:v>
                </c:pt>
                <c:pt idx="49">
                  <c:v>370.47727165310999</c:v>
                </c:pt>
                <c:pt idx="50">
                  <c:v>384.47828924204532</c:v>
                </c:pt>
                <c:pt idx="51">
                  <c:v>398.46823041409999</c:v>
                </c:pt>
                <c:pt idx="52">
                  <c:v>241.33082718470476</c:v>
                </c:pt>
                <c:pt idx="53">
                  <c:v>255.77049425815801</c:v>
                </c:pt>
                <c:pt idx="54">
                  <c:v>268.35675110936791</c:v>
                </c:pt>
                <c:pt idx="55">
                  <c:v>280.92971810753903</c:v>
                </c:pt>
                <c:pt idx="56">
                  <c:v>293.49007404369604</c:v>
                </c:pt>
                <c:pt idx="57">
                  <c:v>306.03843484047462</c:v>
                </c:pt>
                <c:pt idx="58">
                  <c:v>318.57536176891358</c:v>
                </c:pt>
                <c:pt idx="59">
                  <c:v>331.1013683034725</c:v>
                </c:pt>
                <c:pt idx="60">
                  <c:v>343.61692588499881</c:v>
                </c:pt>
                <c:pt idx="61">
                  <c:v>356.12246879986373</c:v>
                </c:pt>
                <c:pt idx="62">
                  <c:v>267.97615726748086</c:v>
                </c:pt>
                <c:pt idx="63">
                  <c:v>279.86722227622391</c:v>
                </c:pt>
                <c:pt idx="64">
                  <c:v>291.74695985475154</c:v>
                </c:pt>
                <c:pt idx="65">
                  <c:v>303.61589643315932</c:v>
                </c:pt>
                <c:pt idx="66">
                  <c:v>315.47451390422663</c:v>
                </c:pt>
                <c:pt idx="67">
                  <c:v>327.32325495972344</c:v>
                </c:pt>
                <c:pt idx="68">
                  <c:v>339.16252761326604</c:v>
                </c:pt>
                <c:pt idx="69">
                  <c:v>350.9927090583721</c:v>
                </c:pt>
                <c:pt idx="70">
                  <c:v>362.81414897900578</c:v>
                </c:pt>
                <c:pt idx="71">
                  <c:v>374.62717240598425</c:v>
                </c:pt>
                <c:pt idx="72">
                  <c:v>386.43208219419353</c:v>
                </c:pt>
                <c:pt idx="73">
                  <c:v>398.22916118123521</c:v>
                </c:pt>
                <c:pt idx="74">
                  <c:v>307.25569142242267</c:v>
                </c:pt>
                <c:pt idx="75">
                  <c:v>318.23326278049223</c:v>
                </c:pt>
                <c:pt idx="76">
                  <c:v>329.20245117741962</c:v>
                </c:pt>
                <c:pt idx="77">
                  <c:v>340.16357542957968</c:v>
                </c:pt>
                <c:pt idx="78">
                  <c:v>351.11693212089489</c:v>
                </c:pt>
                <c:pt idx="79">
                  <c:v>362.06279781328067</c:v>
                </c:pt>
                <c:pt idx="80">
                  <c:v>373.00143097573113</c:v>
                </c:pt>
                <c:pt idx="81">
                  <c:v>383.9330736752288</c:v>
                </c:pt>
                <c:pt idx="82">
                  <c:v>394.8579530649688</c:v>
                </c:pt>
                <c:pt idx="83">
                  <c:v>405.77628269924503</c:v>
                </c:pt>
                <c:pt idx="84">
                  <c:v>416.68826369940484</c:v>
                </c:pt>
                <c:pt idx="85">
                  <c:v>427.82085325710779</c:v>
                </c:pt>
                <c:pt idx="86">
                  <c:v>343.72560367250827</c:v>
                </c:pt>
                <c:pt idx="87">
                  <c:v>353.75117904981204</c:v>
                </c:pt>
                <c:pt idx="88">
                  <c:v>363.77052988768446</c:v>
                </c:pt>
                <c:pt idx="89">
                  <c:v>373.78385187929661</c:v>
                </c:pt>
                <c:pt idx="90">
                  <c:v>383.79132937262239</c:v>
                </c:pt>
                <c:pt idx="91">
                  <c:v>393.79313631323038</c:v>
                </c:pt>
                <c:pt idx="92">
                  <c:v>403.78943708626599</c:v>
                </c:pt>
                <c:pt idx="93">
                  <c:v>413.78038727068468</c:v>
                </c:pt>
                <c:pt idx="94">
                  <c:v>423.76613431682154</c:v>
                </c:pt>
                <c:pt idx="95">
                  <c:v>433.74681815675325</c:v>
                </c:pt>
                <c:pt idx="96">
                  <c:v>443.7225717555396</c:v>
                </c:pt>
                <c:pt idx="97">
                  <c:v>453.69352161030378</c:v>
                </c:pt>
                <c:pt idx="98">
                  <c:v>373.57800283389651</c:v>
                </c:pt>
                <c:pt idx="99">
                  <c:v>382.58319390824619</c:v>
                </c:pt>
                <c:pt idx="100">
                  <c:v>391.58377731754786</c:v>
                </c:pt>
                <c:pt idx="101">
                  <c:v>400.57987395870708</c:v>
                </c:pt>
                <c:pt idx="102">
                  <c:v>409.57159885272853</c:v>
                </c:pt>
                <c:pt idx="103">
                  <c:v>418.55906155583148</c:v>
                </c:pt>
                <c:pt idx="104">
                  <c:v>427.54236653340143</c:v>
                </c:pt>
                <c:pt idx="105">
                  <c:v>436.5216135008647</c:v>
                </c:pt>
                <c:pt idx="106">
                  <c:v>445.49689773504787</c:v>
                </c:pt>
                <c:pt idx="107">
                  <c:v>454.46831035913175</c:v>
                </c:pt>
                <c:pt idx="108">
                  <c:v>463.43593860392735</c:v>
                </c:pt>
                <c:pt idx="109">
                  <c:v>472.52888821143864</c:v>
                </c:pt>
                <c:pt idx="110">
                  <c:v>390.52746513559879</c:v>
                </c:pt>
                <c:pt idx="111">
                  <c:v>398.52998946091208</c:v>
                </c:pt>
                <c:pt idx="112">
                  <c:v>406.52903470256086</c:v>
                </c:pt>
                <c:pt idx="113">
                  <c:v>414.52467901301725</c:v>
                </c:pt>
                <c:pt idx="114">
                  <c:v>422.51699728208285</c:v>
                </c:pt>
                <c:pt idx="115">
                  <c:v>430.50606133358792</c:v>
                </c:pt>
                <c:pt idx="116">
                  <c:v>438.49194010672244</c:v>
                </c:pt>
                <c:pt idx="117">
                  <c:v>446.47469982346485</c:v>
                </c:pt>
                <c:pt idx="118">
                  <c:v>454.45440414340845</c:v>
                </c:pt>
                <c:pt idx="119">
                  <c:v>462.43111430714339</c:v>
                </c:pt>
                <c:pt idx="120">
                  <c:v>470.40488926922853</c:v>
                </c:pt>
                <c:pt idx="121">
                  <c:v>478.54247742621436</c:v>
                </c:pt>
                <c:pt idx="122">
                  <c:v>254.93553089946852</c:v>
                </c:pt>
                <c:pt idx="123">
                  <c:v>260.17231820961695</c:v>
                </c:pt>
                <c:pt idx="124">
                  <c:v>265.40672458234792</c:v>
                </c:pt>
                <c:pt idx="125">
                  <c:v>270.63880367852397</c:v>
                </c:pt>
                <c:pt idx="126">
                  <c:v>275.86860691154823</c:v>
                </c:pt>
                <c:pt idx="127">
                  <c:v>281.09618358328902</c:v>
                </c:pt>
                <c:pt idx="128">
                  <c:v>286.32158100935152</c:v>
                </c:pt>
                <c:pt idx="129">
                  <c:v>291.54484463471567</c:v>
                </c:pt>
                <c:pt idx="130">
                  <c:v>296.7660181406435</c:v>
                </c:pt>
                <c:pt idx="131">
                  <c:v>301.98514354366256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109.17970384782107</c:v>
                </c:pt>
                <c:pt idx="22">
                  <c:v>122.05975555117305</c:v>
                </c:pt>
                <c:pt idx="23">
                  <c:v>134.90673357696349</c:v>
                </c:pt>
                <c:pt idx="24">
                  <c:v>147.72423485433478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189.09987078266826</c:v>
                </c:pt>
                <c:pt idx="29">
                  <c:v>204.44878122951911</c:v>
                </c:pt>
                <c:pt idx="30">
                  <c:v>219.7710421086791</c:v>
                </c:pt>
                <c:pt idx="31">
                  <c:v>190.85545638141193</c:v>
                </c:pt>
                <c:pt idx="32">
                  <c:v>207.9532798676066</c:v>
                </c:pt>
                <c:pt idx="33">
                  <c:v>225.01864445582441</c:v>
                </c:pt>
                <c:pt idx="34">
                  <c:v>242.05435856211636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582.61308793264323</c:v>
                </c:pt>
                <c:pt idx="117">
                  <c:v>582.61308793264323</c:v>
                </c:pt>
                <c:pt idx="118">
                  <c:v>582.61308793264323</c:v>
                </c:pt>
                <c:pt idx="119">
                  <c:v>582.61308793264323</c:v>
                </c:pt>
                <c:pt idx="120">
                  <c:v>582.61308793264323</c:v>
                </c:pt>
                <c:pt idx="121">
                  <c:v>582.61308793264323</c:v>
                </c:pt>
                <c:pt idx="122">
                  <c:v>582.61308793264323</c:v>
                </c:pt>
                <c:pt idx="123">
                  <c:v>582.61308793264323</c:v>
                </c:pt>
                <c:pt idx="124">
                  <c:v>582.61308793264323</c:v>
                </c:pt>
                <c:pt idx="125">
                  <c:v>582.61308793264323</c:v>
                </c:pt>
                <c:pt idx="126">
                  <c:v>582.61308793264323</c:v>
                </c:pt>
                <c:pt idx="127">
                  <c:v>582.61308793264323</c:v>
                </c:pt>
                <c:pt idx="128">
                  <c:v>582.61308793264323</c:v>
                </c:pt>
                <c:pt idx="129">
                  <c:v>582.61308793264323</c:v>
                </c:pt>
                <c:pt idx="130">
                  <c:v>582.61308793264323</c:v>
                </c:pt>
                <c:pt idx="131">
                  <c:v>582.61308793264323</c:v>
                </c:pt>
                <c:pt idx="132">
                  <c:v>582.61308793264323</c:v>
                </c:pt>
                <c:pt idx="133">
                  <c:v>582.61308793264323</c:v>
                </c:pt>
                <c:pt idx="134">
                  <c:v>582.61308793264323</c:v>
                </c:pt>
                <c:pt idx="135">
                  <c:v>582.61308793264323</c:v>
                </c:pt>
                <c:pt idx="136">
                  <c:v>582.61308793264323</c:v>
                </c:pt>
                <c:pt idx="137">
                  <c:v>582.61308793264323</c:v>
                </c:pt>
                <c:pt idx="138">
                  <c:v>582.61308793264323</c:v>
                </c:pt>
                <c:pt idx="139">
                  <c:v>582.61308793264323</c:v>
                </c:pt>
                <c:pt idx="140">
                  <c:v>582.61308793264323</c:v>
                </c:pt>
                <c:pt idx="141">
                  <c:v>582.61308793264323</c:v>
                </c:pt>
                <c:pt idx="142">
                  <c:v>582.61308793264323</c:v>
                </c:pt>
                <c:pt idx="143">
                  <c:v>582.61308793264323</c:v>
                </c:pt>
                <c:pt idx="144">
                  <c:v>582.61308793264323</c:v>
                </c:pt>
                <c:pt idx="145">
                  <c:v>582.61308793264323</c:v>
                </c:pt>
                <c:pt idx="146">
                  <c:v>582.61308793264323</c:v>
                </c:pt>
                <c:pt idx="147">
                  <c:v>582.61308793264323</c:v>
                </c:pt>
                <c:pt idx="148">
                  <c:v>582.61308793264323</c:v>
                </c:pt>
                <c:pt idx="149">
                  <c:v>582.61308793264323</c:v>
                </c:pt>
                <c:pt idx="150">
                  <c:v>582.61308793264323</c:v>
                </c:pt>
                <c:pt idx="151">
                  <c:v>582.61308793264323</c:v>
                </c:pt>
                <c:pt idx="152">
                  <c:v>582.61308793264323</c:v>
                </c:pt>
                <c:pt idx="153">
                  <c:v>582.61308793264323</c:v>
                </c:pt>
                <c:pt idx="154">
                  <c:v>582.61308793264323</c:v>
                </c:pt>
                <c:pt idx="155">
                  <c:v>582.61308793264323</c:v>
                </c:pt>
                <c:pt idx="156">
                  <c:v>582.61308793264323</c:v>
                </c:pt>
                <c:pt idx="157">
                  <c:v>582.61308793264323</c:v>
                </c:pt>
                <c:pt idx="158">
                  <c:v>582.61308793264323</c:v>
                </c:pt>
                <c:pt idx="159">
                  <c:v>582.61308793264323</c:v>
                </c:pt>
                <c:pt idx="160">
                  <c:v>582.61308793264323</c:v>
                </c:pt>
                <c:pt idx="161">
                  <c:v>582.61308793264323</c:v>
                </c:pt>
                <c:pt idx="162">
                  <c:v>582.61308793264323</c:v>
                </c:pt>
                <c:pt idx="163">
                  <c:v>582.61308793264323</c:v>
                </c:pt>
                <c:pt idx="164">
                  <c:v>582.61308793264323</c:v>
                </c:pt>
                <c:pt idx="165">
                  <c:v>582.61308793264323</c:v>
                </c:pt>
                <c:pt idx="166">
                  <c:v>582.61308793264323</c:v>
                </c:pt>
                <c:pt idx="167">
                  <c:v>582.61308793264323</c:v>
                </c:pt>
                <c:pt idx="168">
                  <c:v>582.61308793264323</c:v>
                </c:pt>
                <c:pt idx="169">
                  <c:v>582.61308793264323</c:v>
                </c:pt>
                <c:pt idx="170">
                  <c:v>582.61308793264323</c:v>
                </c:pt>
                <c:pt idx="171">
                  <c:v>582.61308793264323</c:v>
                </c:pt>
                <c:pt idx="172">
                  <c:v>582.61308793264323</c:v>
                </c:pt>
                <c:pt idx="173">
                  <c:v>582.61308793264323</c:v>
                </c:pt>
                <c:pt idx="174">
                  <c:v>582.61308793264323</c:v>
                </c:pt>
                <c:pt idx="175">
                  <c:v>582.61308793264323</c:v>
                </c:pt>
                <c:pt idx="176">
                  <c:v>582.61308793264323</c:v>
                </c:pt>
                <c:pt idx="177">
                  <c:v>582.61308793264323</c:v>
                </c:pt>
                <c:pt idx="178">
                  <c:v>582.61308793264323</c:v>
                </c:pt>
                <c:pt idx="179">
                  <c:v>582.61308793264323</c:v>
                </c:pt>
                <c:pt idx="180">
                  <c:v>582.61308793264323</c:v>
                </c:pt>
                <c:pt idx="181">
                  <c:v>582.61308793264323</c:v>
                </c:pt>
                <c:pt idx="182">
                  <c:v>582.61308793264323</c:v>
                </c:pt>
                <c:pt idx="183">
                  <c:v>582.61308793264323</c:v>
                </c:pt>
                <c:pt idx="184">
                  <c:v>582.61308793264323</c:v>
                </c:pt>
                <c:pt idx="185">
                  <c:v>582.61308793264323</c:v>
                </c:pt>
                <c:pt idx="186">
                  <c:v>582.61308793264323</c:v>
                </c:pt>
                <c:pt idx="187">
                  <c:v>582.61308793264323</c:v>
                </c:pt>
                <c:pt idx="188">
                  <c:v>582.61308793264323</c:v>
                </c:pt>
                <c:pt idx="189">
                  <c:v>582.61308793264323</c:v>
                </c:pt>
                <c:pt idx="190">
                  <c:v>582.61308793264323</c:v>
                </c:pt>
                <c:pt idx="191">
                  <c:v>582.61308793264323</c:v>
                </c:pt>
                <c:pt idx="192">
                  <c:v>582.61308793264323</c:v>
                </c:pt>
                <c:pt idx="193">
                  <c:v>582.61308793264323</c:v>
                </c:pt>
                <c:pt idx="194">
                  <c:v>582.61308793264323</c:v>
                </c:pt>
                <c:pt idx="195">
                  <c:v>582.61308793264323</c:v>
                </c:pt>
                <c:pt idx="196">
                  <c:v>582.61308793264323</c:v>
                </c:pt>
                <c:pt idx="197">
                  <c:v>582.61308793264323</c:v>
                </c:pt>
                <c:pt idx="198">
                  <c:v>582.61308793264323</c:v>
                </c:pt>
                <c:pt idx="199">
                  <c:v>582.61308793264323</c:v>
                </c:pt>
                <c:pt idx="200">
                  <c:v>582.61308793264323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97.716900465048397</c:v>
                </c:pt>
                <c:pt idx="22">
                  <c:v>109.24128540474889</c:v>
                </c:pt>
                <c:pt idx="23">
                  <c:v>120.73576442072574</c:v>
                </c:pt>
                <c:pt idx="24">
                  <c:v>132.20358993292459</c:v>
                </c:pt>
                <c:pt idx="25">
                  <c:v>143.64740257451564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169.22076873606741</c:v>
                </c:pt>
                <c:pt idx="29">
                  <c:v>182.9523003061253</c:v>
                </c:pt>
                <c:pt idx="30">
                  <c:v>196.65973476943881</c:v>
                </c:pt>
                <c:pt idx="31">
                  <c:v>170.79137460696452</c:v>
                </c:pt>
                <c:pt idx="32">
                  <c:v>186.08747857758416</c:v>
                </c:pt>
                <c:pt idx="33">
                  <c:v>201.35423252127546</c:v>
                </c:pt>
                <c:pt idx="34">
                  <c:v>216.59417586765144</c:v>
                </c:pt>
                <c:pt idx="35">
                  <c:v>231.80946116582962</c:v>
                </c:pt>
                <c:pt idx="36">
                  <c:v>207.21879690654112</c:v>
                </c:pt>
                <c:pt idx="37">
                  <c:v>223.61956111075628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521.21451663187679</c:v>
                </c:pt>
                <c:pt idx="117">
                  <c:v>521.21451663187679</c:v>
                </c:pt>
                <c:pt idx="118">
                  <c:v>521.21451663187679</c:v>
                </c:pt>
                <c:pt idx="119">
                  <c:v>521.21451663187679</c:v>
                </c:pt>
                <c:pt idx="120">
                  <c:v>521.21451663187679</c:v>
                </c:pt>
                <c:pt idx="121">
                  <c:v>521.21451663187679</c:v>
                </c:pt>
                <c:pt idx="122">
                  <c:v>521.21451663187679</c:v>
                </c:pt>
                <c:pt idx="123">
                  <c:v>521.21451663187679</c:v>
                </c:pt>
                <c:pt idx="124">
                  <c:v>521.21451663187679</c:v>
                </c:pt>
                <c:pt idx="125">
                  <c:v>521.21451663187679</c:v>
                </c:pt>
                <c:pt idx="126">
                  <c:v>521.21451663187679</c:v>
                </c:pt>
                <c:pt idx="127">
                  <c:v>521.21451663187679</c:v>
                </c:pt>
                <c:pt idx="128">
                  <c:v>521.21451663187679</c:v>
                </c:pt>
                <c:pt idx="129">
                  <c:v>521.21451663187679</c:v>
                </c:pt>
                <c:pt idx="130">
                  <c:v>521.21451663187679</c:v>
                </c:pt>
                <c:pt idx="131">
                  <c:v>521.21451663187679</c:v>
                </c:pt>
                <c:pt idx="132">
                  <c:v>521.21451663187679</c:v>
                </c:pt>
                <c:pt idx="133">
                  <c:v>521.21451663187679</c:v>
                </c:pt>
                <c:pt idx="134">
                  <c:v>521.21451663187679</c:v>
                </c:pt>
                <c:pt idx="135">
                  <c:v>521.21451663187679</c:v>
                </c:pt>
                <c:pt idx="136">
                  <c:v>521.21451663187679</c:v>
                </c:pt>
                <c:pt idx="137">
                  <c:v>521.21451663187679</c:v>
                </c:pt>
                <c:pt idx="138">
                  <c:v>521.21451663187679</c:v>
                </c:pt>
                <c:pt idx="139">
                  <c:v>521.21451663187679</c:v>
                </c:pt>
                <c:pt idx="140">
                  <c:v>521.21451663187679</c:v>
                </c:pt>
                <c:pt idx="141">
                  <c:v>521.21451663187679</c:v>
                </c:pt>
                <c:pt idx="142">
                  <c:v>521.21451663187679</c:v>
                </c:pt>
                <c:pt idx="143">
                  <c:v>521.21451663187679</c:v>
                </c:pt>
                <c:pt idx="144">
                  <c:v>521.21451663187679</c:v>
                </c:pt>
                <c:pt idx="145">
                  <c:v>521.21451663187679</c:v>
                </c:pt>
                <c:pt idx="146">
                  <c:v>521.21451663187679</c:v>
                </c:pt>
                <c:pt idx="147">
                  <c:v>521.21451663187679</c:v>
                </c:pt>
                <c:pt idx="148">
                  <c:v>521.21451663187679</c:v>
                </c:pt>
                <c:pt idx="149">
                  <c:v>521.21451663187679</c:v>
                </c:pt>
                <c:pt idx="150">
                  <c:v>521.21451663187679</c:v>
                </c:pt>
                <c:pt idx="151">
                  <c:v>521.21451663187679</c:v>
                </c:pt>
                <c:pt idx="152">
                  <c:v>521.21451663187679</c:v>
                </c:pt>
                <c:pt idx="153">
                  <c:v>521.21451663187679</c:v>
                </c:pt>
                <c:pt idx="154">
                  <c:v>521.21451663187679</c:v>
                </c:pt>
                <c:pt idx="155">
                  <c:v>521.21451663187679</c:v>
                </c:pt>
                <c:pt idx="156">
                  <c:v>521.21451663187679</c:v>
                </c:pt>
                <c:pt idx="157">
                  <c:v>521.21451663187679</c:v>
                </c:pt>
                <c:pt idx="158">
                  <c:v>521.21451663187679</c:v>
                </c:pt>
                <c:pt idx="159">
                  <c:v>521.21451663187679</c:v>
                </c:pt>
                <c:pt idx="160">
                  <c:v>521.21451663187679</c:v>
                </c:pt>
                <c:pt idx="161">
                  <c:v>521.21451663187679</c:v>
                </c:pt>
                <c:pt idx="162">
                  <c:v>521.21451663187679</c:v>
                </c:pt>
                <c:pt idx="163">
                  <c:v>521.21451663187679</c:v>
                </c:pt>
                <c:pt idx="164">
                  <c:v>521.21451663187679</c:v>
                </c:pt>
                <c:pt idx="165">
                  <c:v>521.21451663187679</c:v>
                </c:pt>
                <c:pt idx="166">
                  <c:v>521.21451663187679</c:v>
                </c:pt>
                <c:pt idx="167">
                  <c:v>521.21451663187679</c:v>
                </c:pt>
                <c:pt idx="168">
                  <c:v>521.21451663187679</c:v>
                </c:pt>
                <c:pt idx="169">
                  <c:v>521.21451663187679</c:v>
                </c:pt>
                <c:pt idx="170">
                  <c:v>521.21451663187679</c:v>
                </c:pt>
                <c:pt idx="171">
                  <c:v>521.21451663187679</c:v>
                </c:pt>
                <c:pt idx="172">
                  <c:v>521.21451663187679</c:v>
                </c:pt>
                <c:pt idx="173">
                  <c:v>521.21451663187679</c:v>
                </c:pt>
                <c:pt idx="174">
                  <c:v>521.21451663187679</c:v>
                </c:pt>
                <c:pt idx="175">
                  <c:v>521.21451663187679</c:v>
                </c:pt>
                <c:pt idx="176">
                  <c:v>521.21451663187679</c:v>
                </c:pt>
                <c:pt idx="177">
                  <c:v>521.21451663187679</c:v>
                </c:pt>
                <c:pt idx="178">
                  <c:v>521.21451663187679</c:v>
                </c:pt>
                <c:pt idx="179">
                  <c:v>521.21451663187679</c:v>
                </c:pt>
                <c:pt idx="180">
                  <c:v>521.21451663187679</c:v>
                </c:pt>
                <c:pt idx="181">
                  <c:v>521.21451663187679</c:v>
                </c:pt>
                <c:pt idx="182">
                  <c:v>521.21451663187679</c:v>
                </c:pt>
                <c:pt idx="183">
                  <c:v>521.21451663187679</c:v>
                </c:pt>
                <c:pt idx="184">
                  <c:v>521.21451663187679</c:v>
                </c:pt>
                <c:pt idx="185">
                  <c:v>521.21451663187679</c:v>
                </c:pt>
                <c:pt idx="186">
                  <c:v>521.21451663187679</c:v>
                </c:pt>
                <c:pt idx="187">
                  <c:v>521.21451663187679</c:v>
                </c:pt>
                <c:pt idx="188">
                  <c:v>521.21451663187679</c:v>
                </c:pt>
                <c:pt idx="189">
                  <c:v>521.21451663187679</c:v>
                </c:pt>
                <c:pt idx="190">
                  <c:v>521.21451663187679</c:v>
                </c:pt>
                <c:pt idx="191">
                  <c:v>521.21451663187679</c:v>
                </c:pt>
                <c:pt idx="192">
                  <c:v>521.21451663187679</c:v>
                </c:pt>
                <c:pt idx="193">
                  <c:v>521.21451663187679</c:v>
                </c:pt>
                <c:pt idx="194">
                  <c:v>521.21451663187679</c:v>
                </c:pt>
                <c:pt idx="195">
                  <c:v>521.21451663187679</c:v>
                </c:pt>
                <c:pt idx="196">
                  <c:v>521.21451663187679</c:v>
                </c:pt>
                <c:pt idx="197">
                  <c:v>521.21451663187679</c:v>
                </c:pt>
                <c:pt idx="198">
                  <c:v>521.21451663187679</c:v>
                </c:pt>
                <c:pt idx="199">
                  <c:v>521.21451663187679</c:v>
                </c:pt>
                <c:pt idx="200">
                  <c:v>521.21451663187679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115.71636359675186</c:v>
                </c:pt>
                <c:pt idx="22">
                  <c:v>129.36964295670381</c:v>
                </c:pt>
                <c:pt idx="23">
                  <c:v>142.98805654329644</c:v>
                </c:pt>
                <c:pt idx="24">
                  <c:v>156.57539618512337</c:v>
                </c:pt>
                <c:pt idx="25">
                  <c:v>170.13474046014423</c:v>
                </c:pt>
                <c:pt idx="26">
                  <c:v>167.79880331835713</c:v>
                </c:pt>
                <c:pt idx="27">
                  <c:v>184.1348953873202</c:v>
                </c:pt>
                <c:pt idx="28">
                  <c:v>200.43711831314485</c:v>
                </c:pt>
                <c:pt idx="29">
                  <c:v>216.70861540949173</c:v>
                </c:pt>
                <c:pt idx="30">
                  <c:v>232.95201893246733</c:v>
                </c:pt>
                <c:pt idx="31">
                  <c:v>202.29821956743046</c:v>
                </c:pt>
                <c:pt idx="32">
                  <c:v>220.42378380631877</c:v>
                </c:pt>
                <c:pt idx="33">
                  <c:v>238.51513036323777</c:v>
                </c:pt>
                <c:pt idx="34">
                  <c:v>256.57521982814188</c:v>
                </c:pt>
                <c:pt idx="35">
                  <c:v>274.606561746978</c:v>
                </c:pt>
                <c:pt idx="36">
                  <c:v>245.46487179097758</c:v>
                </c:pt>
                <c:pt idx="37">
                  <c:v>264.90081208016198</c:v>
                </c:pt>
                <c:pt idx="38">
                  <c:v>284.30460543918775</c:v>
                </c:pt>
                <c:pt idx="39">
                  <c:v>303.67875394863921</c:v>
                </c:pt>
                <c:pt idx="40">
                  <c:v>323.02541433745813</c:v>
                </c:pt>
                <c:pt idx="41">
                  <c:v>293.99524327269938</c:v>
                </c:pt>
                <c:pt idx="42">
                  <c:v>313.35539693038533</c:v>
                </c:pt>
                <c:pt idx="43">
                  <c:v>332.68903260064207</c:v>
                </c:pt>
                <c:pt idx="44">
                  <c:v>351.99790751820501</c:v>
                </c:pt>
                <c:pt idx="45">
                  <c:v>371.28357043570503</c:v>
                </c:pt>
                <c:pt idx="46">
                  <c:v>342.34646391464634</c:v>
                </c:pt>
                <c:pt idx="47">
                  <c:v>361.64355082638082</c:v>
                </c:pt>
                <c:pt idx="48">
                  <c:v>380.91813301943733</c:v>
                </c:pt>
                <c:pt idx="49">
                  <c:v>400.17150890331305</c:v>
                </c:pt>
                <c:pt idx="50">
                  <c:v>419.40484180194306</c:v>
                </c:pt>
                <c:pt idx="51">
                  <c:v>389.63054763275704</c:v>
                </c:pt>
                <c:pt idx="52">
                  <c:v>407.9587823175745</c:v>
                </c:pt>
                <c:pt idx="53">
                  <c:v>426.26923464137013</c:v>
                </c:pt>
                <c:pt idx="54">
                  <c:v>444.5627755736532</c:v>
                </c:pt>
                <c:pt idx="55">
                  <c:v>462.8401985900677</c:v>
                </c:pt>
                <c:pt idx="56">
                  <c:v>431.75903510913213</c:v>
                </c:pt>
                <c:pt idx="57">
                  <c:v>448.6765741879388</c:v>
                </c:pt>
                <c:pt idx="58">
                  <c:v>465.58046754995058</c:v>
                </c:pt>
                <c:pt idx="59">
                  <c:v>482.47128016239793</c:v>
                </c:pt>
                <c:pt idx="60">
                  <c:v>499.34953422631764</c:v>
                </c:pt>
                <c:pt idx="61">
                  <c:v>467.86376222658572</c:v>
                </c:pt>
                <c:pt idx="62">
                  <c:v>484.2965528039129</c:v>
                </c:pt>
                <c:pt idx="63">
                  <c:v>500.71750586625234</c:v>
                </c:pt>
                <c:pt idx="64">
                  <c:v>517.12706410485578</c:v>
                </c:pt>
                <c:pt idx="65">
                  <c:v>533.52563983843004</c:v>
                </c:pt>
                <c:pt idx="66">
                  <c:v>501.17347881997563</c:v>
                </c:pt>
                <c:pt idx="67">
                  <c:v>516.6713931827336</c:v>
                </c:pt>
                <c:pt idx="68">
                  <c:v>532.15950176791534</c:v>
                </c:pt>
                <c:pt idx="69">
                  <c:v>547.63813003167195</c:v>
                </c:pt>
                <c:pt idx="70">
                  <c:v>563.10758354108668</c:v>
                </c:pt>
                <c:pt idx="71">
                  <c:v>529.88244088560589</c:v>
                </c:pt>
                <c:pt idx="72">
                  <c:v>544.45211339932041</c:v>
                </c:pt>
                <c:pt idx="73">
                  <c:v>559.01360458557178</c:v>
                </c:pt>
                <c:pt idx="74">
                  <c:v>573.56715748636259</c:v>
                </c:pt>
                <c:pt idx="75">
                  <c:v>588.11300180979151</c:v>
                </c:pt>
                <c:pt idx="76">
                  <c:v>554.00899936215046</c:v>
                </c:pt>
                <c:pt idx="77">
                  <c:v>567.6557190157306</c:v>
                </c:pt>
                <c:pt idx="78">
                  <c:v>581.29558299844439</c:v>
                </c:pt>
                <c:pt idx="79">
                  <c:v>594.92877477767286</c:v>
                </c:pt>
                <c:pt idx="80">
                  <c:v>608.55546873013782</c:v>
                </c:pt>
                <c:pt idx="81">
                  <c:v>573.5671574863627</c:v>
                </c:pt>
                <c:pt idx="82">
                  <c:v>586.29518528801793</c:v>
                </c:pt>
                <c:pt idx="83">
                  <c:v>599.01745752741897</c:v>
                </c:pt>
                <c:pt idx="84">
                  <c:v>611.73411362703052</c:v>
                </c:pt>
                <c:pt idx="85">
                  <c:v>624.44528674225819</c:v>
                </c:pt>
                <c:pt idx="86">
                  <c:v>589.02186615684775</c:v>
                </c:pt>
                <c:pt idx="87">
                  <c:v>601.28869695539152</c:v>
                </c:pt>
                <c:pt idx="88">
                  <c:v>613.55032816291907</c:v>
                </c:pt>
                <c:pt idx="89">
                  <c:v>625.80687830020759</c:v>
                </c:pt>
                <c:pt idx="90">
                  <c:v>638.05846086868894</c:v>
                </c:pt>
                <c:pt idx="91">
                  <c:v>601.74292342066133</c:v>
                </c:pt>
                <c:pt idx="92">
                  <c:v>613.0962849977135</c:v>
                </c:pt>
                <c:pt idx="93">
                  <c:v>624.44528674225796</c:v>
                </c:pt>
                <c:pt idx="94">
                  <c:v>635.79001903756932</c:v>
                </c:pt>
                <c:pt idx="95">
                  <c:v>647.1305687794046</c:v>
                </c:pt>
                <c:pt idx="96">
                  <c:v>610.37187931946244</c:v>
                </c:pt>
                <c:pt idx="97">
                  <c:v>621.268000435266</c:v>
                </c:pt>
                <c:pt idx="98">
                  <c:v>632.16016385679939</c:v>
                </c:pt>
                <c:pt idx="99">
                  <c:v>643.04844736912457</c:v>
                </c:pt>
                <c:pt idx="100">
                  <c:v>653.93292590911108</c:v>
                </c:pt>
                <c:pt idx="101">
                  <c:v>616.27444100355149</c:v>
                </c:pt>
                <c:pt idx="102">
                  <c:v>626.260728517953</c:v>
                </c:pt>
                <c:pt idx="103">
                  <c:v>636.24372076531824</c:v>
                </c:pt>
                <c:pt idx="104">
                  <c:v>646.22347672875924</c:v>
                </c:pt>
                <c:pt idx="105">
                  <c:v>656.2000534214535</c:v>
                </c:pt>
                <c:pt idx="106">
                  <c:v>620.36014259822412</c:v>
                </c:pt>
                <c:pt idx="107">
                  <c:v>629.89128564201053</c:v>
                </c:pt>
                <c:pt idx="108">
                  <c:v>639.41944595007112</c:v>
                </c:pt>
                <c:pt idx="109">
                  <c:v>648.94467422771106</c:v>
                </c:pt>
                <c:pt idx="110">
                  <c:v>658.46701957061964</c:v>
                </c:pt>
                <c:pt idx="111">
                  <c:v>623.99140923584901</c:v>
                </c:pt>
                <c:pt idx="112">
                  <c:v>632.61391927100306</c:v>
                </c:pt>
                <c:pt idx="113">
                  <c:v>641.23399967418345</c:v>
                </c:pt>
                <c:pt idx="114">
                  <c:v>649.85168770908911</c:v>
                </c:pt>
                <c:pt idx="115">
                  <c:v>658.46701957061975</c:v>
                </c:pt>
                <c:pt idx="116">
                  <c:v>617.63640373347687</c:v>
                </c:pt>
                <c:pt idx="117">
                  <c:v>617.63640373347687</c:v>
                </c:pt>
                <c:pt idx="118">
                  <c:v>617.63640373347687</c:v>
                </c:pt>
                <c:pt idx="119">
                  <c:v>617.63640373347687</c:v>
                </c:pt>
                <c:pt idx="120">
                  <c:v>617.63640373347687</c:v>
                </c:pt>
                <c:pt idx="121">
                  <c:v>617.63640373347687</c:v>
                </c:pt>
                <c:pt idx="122">
                  <c:v>617.63640373347687</c:v>
                </c:pt>
                <c:pt idx="123">
                  <c:v>617.63640373347687</c:v>
                </c:pt>
                <c:pt idx="124">
                  <c:v>617.63640373347687</c:v>
                </c:pt>
                <c:pt idx="125">
                  <c:v>617.63640373347687</c:v>
                </c:pt>
                <c:pt idx="126">
                  <c:v>617.63640373347687</c:v>
                </c:pt>
                <c:pt idx="127">
                  <c:v>617.63640373347687</c:v>
                </c:pt>
                <c:pt idx="128">
                  <c:v>617.63640373347687</c:v>
                </c:pt>
                <c:pt idx="129">
                  <c:v>617.63640373347687</c:v>
                </c:pt>
                <c:pt idx="130">
                  <c:v>617.63640373347687</c:v>
                </c:pt>
                <c:pt idx="131">
                  <c:v>617.63640373347687</c:v>
                </c:pt>
                <c:pt idx="132">
                  <c:v>617.63640373347687</c:v>
                </c:pt>
                <c:pt idx="133">
                  <c:v>617.63640373347687</c:v>
                </c:pt>
                <c:pt idx="134">
                  <c:v>617.63640373347687</c:v>
                </c:pt>
                <c:pt idx="135">
                  <c:v>617.63640373347687</c:v>
                </c:pt>
                <c:pt idx="136">
                  <c:v>617.63640373347687</c:v>
                </c:pt>
                <c:pt idx="137">
                  <c:v>617.63640373347687</c:v>
                </c:pt>
                <c:pt idx="138">
                  <c:v>617.63640373347687</c:v>
                </c:pt>
                <c:pt idx="139">
                  <c:v>617.63640373347687</c:v>
                </c:pt>
                <c:pt idx="140">
                  <c:v>617.63640373347687</c:v>
                </c:pt>
                <c:pt idx="141">
                  <c:v>617.63640373347687</c:v>
                </c:pt>
                <c:pt idx="142">
                  <c:v>617.63640373347687</c:v>
                </c:pt>
                <c:pt idx="143">
                  <c:v>617.63640373347687</c:v>
                </c:pt>
                <c:pt idx="144">
                  <c:v>617.63640373347687</c:v>
                </c:pt>
                <c:pt idx="145">
                  <c:v>617.63640373347687</c:v>
                </c:pt>
                <c:pt idx="146">
                  <c:v>617.63640373347687</c:v>
                </c:pt>
                <c:pt idx="147">
                  <c:v>617.63640373347687</c:v>
                </c:pt>
                <c:pt idx="148">
                  <c:v>617.63640373347687</c:v>
                </c:pt>
                <c:pt idx="149">
                  <c:v>617.63640373347687</c:v>
                </c:pt>
                <c:pt idx="150">
                  <c:v>617.63640373347687</c:v>
                </c:pt>
                <c:pt idx="151">
                  <c:v>617.63640373347687</c:v>
                </c:pt>
                <c:pt idx="152">
                  <c:v>617.63640373347687</c:v>
                </c:pt>
                <c:pt idx="153">
                  <c:v>617.63640373347687</c:v>
                </c:pt>
                <c:pt idx="154">
                  <c:v>617.63640373347687</c:v>
                </c:pt>
                <c:pt idx="155">
                  <c:v>617.63640373347687</c:v>
                </c:pt>
                <c:pt idx="156">
                  <c:v>617.63640373347687</c:v>
                </c:pt>
                <c:pt idx="157">
                  <c:v>617.63640373347687</c:v>
                </c:pt>
                <c:pt idx="158">
                  <c:v>617.63640373347687</c:v>
                </c:pt>
                <c:pt idx="159">
                  <c:v>617.63640373347687</c:v>
                </c:pt>
                <c:pt idx="160">
                  <c:v>617.63640373347687</c:v>
                </c:pt>
                <c:pt idx="161">
                  <c:v>617.63640373347687</c:v>
                </c:pt>
                <c:pt idx="162">
                  <c:v>617.63640373347687</c:v>
                </c:pt>
                <c:pt idx="163">
                  <c:v>617.63640373347687</c:v>
                </c:pt>
                <c:pt idx="164">
                  <c:v>617.63640373347687</c:v>
                </c:pt>
                <c:pt idx="165">
                  <c:v>617.63640373347687</c:v>
                </c:pt>
                <c:pt idx="166">
                  <c:v>617.63640373347687</c:v>
                </c:pt>
                <c:pt idx="167">
                  <c:v>617.63640373347687</c:v>
                </c:pt>
                <c:pt idx="168">
                  <c:v>617.63640373347687</c:v>
                </c:pt>
                <c:pt idx="169">
                  <c:v>617.63640373347687</c:v>
                </c:pt>
                <c:pt idx="170">
                  <c:v>617.63640373347687</c:v>
                </c:pt>
                <c:pt idx="171">
                  <c:v>617.63640373347687</c:v>
                </c:pt>
                <c:pt idx="172">
                  <c:v>617.63640373347687</c:v>
                </c:pt>
                <c:pt idx="173">
                  <c:v>617.63640373347687</c:v>
                </c:pt>
                <c:pt idx="174">
                  <c:v>617.63640373347687</c:v>
                </c:pt>
                <c:pt idx="175">
                  <c:v>617.63640373347687</c:v>
                </c:pt>
                <c:pt idx="176">
                  <c:v>617.63640373347687</c:v>
                </c:pt>
                <c:pt idx="177">
                  <c:v>617.63640373347687</c:v>
                </c:pt>
                <c:pt idx="178">
                  <c:v>617.63640373347687</c:v>
                </c:pt>
                <c:pt idx="179">
                  <c:v>617.63640373347687</c:v>
                </c:pt>
                <c:pt idx="180">
                  <c:v>617.63640373347687</c:v>
                </c:pt>
                <c:pt idx="181">
                  <c:v>617.63640373347687</c:v>
                </c:pt>
                <c:pt idx="182">
                  <c:v>617.63640373347687</c:v>
                </c:pt>
                <c:pt idx="183">
                  <c:v>617.63640373347687</c:v>
                </c:pt>
                <c:pt idx="184">
                  <c:v>617.63640373347687</c:v>
                </c:pt>
                <c:pt idx="185">
                  <c:v>617.63640373347687</c:v>
                </c:pt>
                <c:pt idx="186">
                  <c:v>617.63640373347687</c:v>
                </c:pt>
                <c:pt idx="187">
                  <c:v>617.63640373347687</c:v>
                </c:pt>
                <c:pt idx="188">
                  <c:v>617.63640373347687</c:v>
                </c:pt>
                <c:pt idx="189">
                  <c:v>617.63640373347687</c:v>
                </c:pt>
                <c:pt idx="190">
                  <c:v>617.63640373347687</c:v>
                </c:pt>
                <c:pt idx="191">
                  <c:v>617.63640373347687</c:v>
                </c:pt>
                <c:pt idx="192">
                  <c:v>617.63640373347687</c:v>
                </c:pt>
                <c:pt idx="193">
                  <c:v>617.63640373347687</c:v>
                </c:pt>
                <c:pt idx="194">
                  <c:v>617.63640373347687</c:v>
                </c:pt>
                <c:pt idx="195">
                  <c:v>617.63640373347687</c:v>
                </c:pt>
                <c:pt idx="196">
                  <c:v>617.63640373347687</c:v>
                </c:pt>
                <c:pt idx="197">
                  <c:v>617.63640373347687</c:v>
                </c:pt>
                <c:pt idx="198">
                  <c:v>617.63640373347687</c:v>
                </c:pt>
                <c:pt idx="199">
                  <c:v>617.63640373347687</c:v>
                </c:pt>
                <c:pt idx="200">
                  <c:v>617.63640373347687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1.8872166199460507</c:v>
                </c:pt>
                <c:pt idx="2">
                  <c:v>2.2964597670016897</c:v>
                </c:pt>
                <c:pt idx="3">
                  <c:v>2.7947887476451427</c:v>
                </c:pt>
                <c:pt idx="4">
                  <c:v>3.4016664353083708</c:v>
                </c:pt>
                <c:pt idx="5">
                  <c:v>4.1408222331583096</c:v>
                </c:pt>
                <c:pt idx="6">
                  <c:v>5.0411903008954377</c:v>
                </c:pt>
                <c:pt idx="7">
                  <c:v>6.1380547009993505</c:v>
                </c:pt>
                <c:pt idx="8">
                  <c:v>7.4744472208053194</c:v>
                </c:pt>
                <c:pt idx="9">
                  <c:v>9.1028537696068188</c:v>
                </c:pt>
                <c:pt idx="10">
                  <c:v>11.087297646119426</c:v>
                </c:pt>
                <c:pt idx="11">
                  <c:v>13.505883122712893</c:v>
                </c:pt>
                <c:pt idx="12">
                  <c:v>16.453901312282458</c:v>
                </c:pt>
                <c:pt idx="13">
                  <c:v>20.047622921795863</c:v>
                </c:pt>
                <c:pt idx="14">
                  <c:v>24.428930171147528</c:v>
                </c:pt>
                <c:pt idx="15">
                  <c:v>29.770973989542124</c:v>
                </c:pt>
                <c:pt idx="16">
                  <c:v>36.28508396740807</c:v>
                </c:pt>
                <c:pt idx="17">
                  <c:v>44.229209119664233</c:v>
                </c:pt>
                <c:pt idx="18">
                  <c:v>53.918229361138849</c:v>
                </c:pt>
                <c:pt idx="19">
                  <c:v>65.736553221372674</c:v>
                </c:pt>
                <c:pt idx="20">
                  <c:v>80.153509810179131</c:v>
                </c:pt>
                <c:pt idx="21">
                  <c:v>89.391965719110203</c:v>
                </c:pt>
                <c:pt idx="22">
                  <c:v>102.54887213283676</c:v>
                </c:pt>
                <c:pt idx="23">
                  <c:v>115.66397937972845</c:v>
                </c:pt>
                <c:pt idx="24">
                  <c:v>128.74270297836009</c:v>
                </c:pt>
                <c:pt idx="25">
                  <c:v>141.78926461478019</c:v>
                </c:pt>
                <c:pt idx="26">
                  <c:v>154.80704360145447</c:v>
                </c:pt>
                <c:pt idx="27">
                  <c:v>167.79880331835713</c:v>
                </c:pt>
                <c:pt idx="28">
                  <c:v>180.76684356318125</c:v>
                </c:pt>
                <c:pt idx="29">
                  <c:v>193.71310674706146</c:v>
                </c:pt>
                <c:pt idx="30">
                  <c:v>206.63925413557971</c:v>
                </c:pt>
                <c:pt idx="31">
                  <c:v>204.44316393691588</c:v>
                </c:pt>
                <c:pt idx="32">
                  <c:v>217.74075246919756</c:v>
                </c:pt>
                <c:pt idx="33">
                  <c:v>231.01967692884918</c:v>
                </c:pt>
                <c:pt idx="34">
                  <c:v>244.28116165814291</c:v>
                </c:pt>
                <c:pt idx="35">
                  <c:v>257.52628712281688</c:v>
                </c:pt>
                <c:pt idx="36">
                  <c:v>270.75601350883994</c:v>
                </c:pt>
                <c:pt idx="37">
                  <c:v>283.9711994609832</c:v>
                </c:pt>
                <c:pt idx="38">
                  <c:v>297.17261714760809</c:v>
                </c:pt>
                <c:pt idx="39">
                  <c:v>310.36096450648392</c:v>
                </c:pt>
                <c:pt idx="40">
                  <c:v>323.53687529895308</c:v>
                </c:pt>
                <c:pt idx="41">
                  <c:v>308.82510968141406</c:v>
                </c:pt>
                <c:pt idx="42">
                  <c:v>320.97939105673305</c:v>
                </c:pt>
                <c:pt idx="43">
                  <c:v>333.12349285380219</c:v>
                </c:pt>
                <c:pt idx="44">
                  <c:v>345.25783856692919</c:v>
                </c:pt>
                <c:pt idx="45">
                  <c:v>357.38281948405944</c:v>
                </c:pt>
                <c:pt idx="46">
                  <c:v>369.49879816887761</c:v>
                </c:pt>
                <c:pt idx="47">
                  <c:v>381.60611146221294</c:v>
                </c:pt>
                <c:pt idx="48">
                  <c:v>393.7050730825656</c:v>
                </c:pt>
                <c:pt idx="49">
                  <c:v>405.79597589022273</c:v>
                </c:pt>
                <c:pt idx="50">
                  <c:v>417.87909386741279</c:v>
                </c:pt>
                <c:pt idx="51">
                  <c:v>396.63307293686029</c:v>
                </c:pt>
                <c:pt idx="52">
                  <c:v>407.19546723786488</c:v>
                </c:pt>
                <c:pt idx="53">
                  <c:v>417.75194279221722</c:v>
                </c:pt>
                <c:pt idx="54">
                  <c:v>428.30267028767508</c:v>
                </c:pt>
                <c:pt idx="55">
                  <c:v>438.84781131453877</c:v>
                </c:pt>
                <c:pt idx="56">
                  <c:v>449.38751906216925</c:v>
                </c:pt>
                <c:pt idx="57">
                  <c:v>459.92193894675114</c:v>
                </c:pt>
                <c:pt idx="58">
                  <c:v>470.45120917853865</c:v>
                </c:pt>
                <c:pt idx="59">
                  <c:v>480.97546127567131</c:v>
                </c:pt>
                <c:pt idx="60">
                  <c:v>491.4948205306743</c:v>
                </c:pt>
                <c:pt idx="61">
                  <c:v>466.13862825055907</c:v>
                </c:pt>
                <c:pt idx="62">
                  <c:v>475.01655378575714</c:v>
                </c:pt>
                <c:pt idx="63">
                  <c:v>483.89094931012534</c:v>
                </c:pt>
                <c:pt idx="64">
                  <c:v>492.76188870967707</c:v>
                </c:pt>
                <c:pt idx="65">
                  <c:v>501.62944299248142</c:v>
                </c:pt>
                <c:pt idx="66">
                  <c:v>510.49368045075363</c:v>
                </c:pt>
                <c:pt idx="67">
                  <c:v>519.35466681110222</c:v>
                </c:pt>
                <c:pt idx="68">
                  <c:v>528.21246537398599</c:v>
                </c:pt>
                <c:pt idx="69">
                  <c:v>537.06713714333182</c:v>
                </c:pt>
                <c:pt idx="70">
                  <c:v>545.91874094715649</c:v>
                </c:pt>
                <c:pt idx="71">
                  <c:v>520.62026032995118</c:v>
                </c:pt>
                <c:pt idx="72">
                  <c:v>528.21246537398599</c:v>
                </c:pt>
                <c:pt idx="73">
                  <c:v>535.80237321728134</c:v>
                </c:pt>
                <c:pt idx="74">
                  <c:v>543.39002099916354</c:v>
                </c:pt>
                <c:pt idx="75">
                  <c:v>550.97544473689754</c:v>
                </c:pt>
                <c:pt idx="76">
                  <c:v>558.55867937490291</c:v>
                </c:pt>
                <c:pt idx="77">
                  <c:v>566.13975883115938</c:v>
                </c:pt>
                <c:pt idx="78">
                  <c:v>573.71871604099545</c:v>
                </c:pt>
                <c:pt idx="79">
                  <c:v>581.29558299844462</c:v>
                </c:pt>
                <c:pt idx="80">
                  <c:v>588.87039079533201</c:v>
                </c:pt>
                <c:pt idx="81">
                  <c:v>565.38174692254552</c:v>
                </c:pt>
                <c:pt idx="82">
                  <c:v>572.20309282979531</c:v>
                </c:pt>
                <c:pt idx="83">
                  <c:v>579.02274052069447</c:v>
                </c:pt>
                <c:pt idx="84">
                  <c:v>585.8407128223779</c:v>
                </c:pt>
                <c:pt idx="85">
                  <c:v>592.65703198720189</c:v>
                </c:pt>
                <c:pt idx="86">
                  <c:v>599.47171971380715</c:v>
                </c:pt>
                <c:pt idx="87">
                  <c:v>606.28479716717118</c:v>
                </c:pt>
                <c:pt idx="88">
                  <c:v>613.0962849977135</c:v>
                </c:pt>
                <c:pt idx="89">
                  <c:v>619.90620335950769</c:v>
                </c:pt>
                <c:pt idx="90">
                  <c:v>626.71457192765126</c:v>
                </c:pt>
                <c:pt idx="91">
                  <c:v>603.13079349515147</c:v>
                </c:pt>
                <c:pt idx="92">
                  <c:v>609.81687689141643</c:v>
                </c:pt>
                <c:pt idx="93">
                  <c:v>616.50143912148258</c:v>
                </c:pt>
                <c:pt idx="94">
                  <c:v>623.18449900766041</c:v>
                </c:pt>
                <c:pt idx="95">
                  <c:v>629.86607493557597</c:v>
                </c:pt>
                <c:pt idx="96">
                  <c:v>636.54618486892696</c:v>
                </c:pt>
                <c:pt idx="97">
                  <c:v>643.22484636358752</c:v>
                </c:pt>
                <c:pt idx="98">
                  <c:v>649.90207658109875</c:v>
                </c:pt>
                <c:pt idx="99">
                  <c:v>656.57789230157209</c:v>
                </c:pt>
                <c:pt idx="100">
                  <c:v>663.25230993604498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115" zoomScaleNormal="115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E13" sqref="E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2.39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0.38640000000000002</v>
      </c>
      <c r="D9" s="36">
        <f t="shared" ref="D9:D18" si="0">C9*$C$5</f>
        <v>0.92349600000000009</v>
      </c>
      <c r="E9" s="37">
        <v>131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325</v>
      </c>
      <c r="C10" s="35">
        <v>0.35620000000000002</v>
      </c>
      <c r="D10" s="36">
        <f t="shared" si="0"/>
        <v>0.85131800000000013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326</v>
      </c>
      <c r="C11" s="35">
        <v>1.9400000000000001E-2</v>
      </c>
      <c r="D11" s="36">
        <f t="shared" si="0"/>
        <v>4.6366000000000004E-2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327</v>
      </c>
      <c r="C12" s="35">
        <v>7.0000000000000007E-2</v>
      </c>
      <c r="D12" s="36">
        <f t="shared" si="0"/>
        <v>0.16730000000000003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328</v>
      </c>
      <c r="C13" s="35">
        <v>8.3000000000000004E-2</v>
      </c>
      <c r="D13" s="36">
        <f t="shared" si="0"/>
        <v>0.19837000000000002</v>
      </c>
      <c r="E13" s="37">
        <v>82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38</v>
      </c>
      <c r="C14" s="35">
        <v>8.3000000000000004E-2</v>
      </c>
      <c r="D14" s="36">
        <f t="shared" si="0"/>
        <v>0.19837000000000002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0.998</v>
      </c>
      <c r="D19" s="41">
        <f>SUM(D9:D18)</f>
        <v>2.3852200000000003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121.43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4.0476666666666672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40</v>
      </c>
      <c r="B37" s="63">
        <v>236.24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11.481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51</v>
      </c>
      <c r="B38" s="63">
        <v>390.67</v>
      </c>
      <c r="C38" s="63">
        <v>3</v>
      </c>
      <c r="D38" s="63">
        <v>171.3</v>
      </c>
      <c r="E38" s="54"/>
      <c r="F38" s="54"/>
      <c r="G38" s="54"/>
      <c r="H38" s="54"/>
      <c r="I38" s="56">
        <f t="shared" si="1"/>
        <v>14.039090909090909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53</v>
      </c>
      <c r="B39" s="63">
        <v>248.06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14.344999999999999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61</v>
      </c>
      <c r="B40" s="63">
        <v>348.21</v>
      </c>
      <c r="C40" s="63">
        <v>5</v>
      </c>
      <c r="D40" s="63">
        <v>100.2</v>
      </c>
      <c r="E40" s="54"/>
      <c r="F40" s="54"/>
      <c r="G40" s="54"/>
      <c r="H40" s="54"/>
      <c r="I40" s="52">
        <f t="shared" si="1"/>
        <v>12.518749999999997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62</v>
      </c>
      <c r="B41" s="63">
        <v>260.2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12.189999999999998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73</v>
      </c>
      <c r="B42" s="63">
        <v>390.43</v>
      </c>
      <c r="C42" s="63">
        <v>7</v>
      </c>
      <c r="D42" s="63">
        <v>102.1</v>
      </c>
      <c r="E42" s="54"/>
      <c r="F42" s="54"/>
      <c r="G42" s="54"/>
      <c r="H42" s="54"/>
      <c r="I42" s="56">
        <f t="shared" si="1"/>
        <v>11.839090909090912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74</v>
      </c>
      <c r="B43" s="63">
        <v>299.35000000000002</v>
      </c>
      <c r="C43" s="63">
        <v>8</v>
      </c>
      <c r="D43" s="63">
        <v>0</v>
      </c>
      <c r="E43" s="54"/>
      <c r="F43" s="54"/>
      <c r="G43" s="54"/>
      <c r="H43" s="54"/>
      <c r="I43" s="52">
        <f t="shared" si="1"/>
        <v>11.019999999999982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84</v>
      </c>
      <c r="B44" s="63">
        <v>408.97</v>
      </c>
      <c r="C44" s="63">
        <v>9</v>
      </c>
      <c r="D44" s="63">
        <v>0</v>
      </c>
      <c r="E44" s="54"/>
      <c r="F44" s="54"/>
      <c r="G44" s="54"/>
      <c r="H44" s="54"/>
      <c r="I44" s="52">
        <f t="shared" si="1"/>
        <v>10.962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85</v>
      </c>
      <c r="B45" s="63">
        <v>420.16</v>
      </c>
      <c r="C45" s="63">
        <v>10</v>
      </c>
      <c r="D45" s="63">
        <v>94.69</v>
      </c>
      <c r="E45" s="54"/>
      <c r="F45" s="54"/>
      <c r="G45" s="54"/>
      <c r="H45" s="54"/>
      <c r="I45" s="52">
        <f t="shared" si="1"/>
        <v>11.189999999999998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86</v>
      </c>
      <c r="B46" s="63">
        <v>335.8</v>
      </c>
      <c r="C46" s="63">
        <v>11</v>
      </c>
      <c r="D46" s="63">
        <v>0</v>
      </c>
      <c r="E46" s="54"/>
      <c r="F46" s="54"/>
      <c r="G46" s="54"/>
      <c r="H46" s="54"/>
      <c r="I46" s="52">
        <f t="shared" si="1"/>
        <v>10.329999999999984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97</v>
      </c>
      <c r="B47" s="63">
        <v>446.19</v>
      </c>
      <c r="C47" s="63">
        <v>12</v>
      </c>
      <c r="D47" s="63">
        <v>89.6</v>
      </c>
      <c r="E47" s="54"/>
      <c r="F47" s="54"/>
      <c r="G47" s="54"/>
      <c r="H47" s="54"/>
      <c r="I47" s="52">
        <f t="shared" si="1"/>
        <v>10.035454545454543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98</v>
      </c>
      <c r="B48" s="63">
        <v>365.7</v>
      </c>
      <c r="C48" s="63">
        <v>13</v>
      </c>
      <c r="D48" s="63">
        <v>0</v>
      </c>
      <c r="E48" s="54"/>
      <c r="F48" s="54"/>
      <c r="G48" s="54"/>
      <c r="H48" s="54"/>
      <c r="I48" s="52">
        <f t="shared" si="1"/>
        <v>9.1099999999999568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>
        <v>108</v>
      </c>
      <c r="B49" s="63">
        <v>456</v>
      </c>
      <c r="C49" s="63">
        <v>14</v>
      </c>
      <c r="D49" s="63">
        <v>0</v>
      </c>
      <c r="E49" s="54"/>
      <c r="F49" s="54"/>
      <c r="G49" s="54"/>
      <c r="H49" s="54"/>
      <c r="I49" s="52">
        <f t="shared" si="1"/>
        <v>9.0300000000000011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109</v>
      </c>
      <c r="B50" s="53">
        <v>465.16</v>
      </c>
      <c r="C50" s="53">
        <v>15</v>
      </c>
      <c r="D50" s="53">
        <v>91.09</v>
      </c>
      <c r="E50" s="54"/>
      <c r="F50" s="54"/>
      <c r="G50" s="54"/>
      <c r="H50" s="54"/>
      <c r="I50" s="52">
        <f t="shared" si="1"/>
        <v>9.160000000000025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110</v>
      </c>
      <c r="B51" s="53">
        <v>382.7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8.6299999999999386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120</v>
      </c>
      <c r="B52" s="53">
        <v>463.02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8.032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121</v>
      </c>
      <c r="B53" s="53">
        <v>471.22</v>
      </c>
      <c r="C53" s="53">
        <v>18</v>
      </c>
      <c r="D53" s="53">
        <v>233.54</v>
      </c>
      <c r="E53" s="54"/>
      <c r="F53" s="54"/>
      <c r="G53" s="54"/>
      <c r="H53" s="54"/>
      <c r="I53" s="52">
        <f t="shared" si="1"/>
        <v>8.2000000000000455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122</v>
      </c>
      <c r="B54" s="53">
        <v>247.23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9.5499999999999545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>
        <v>131</v>
      </c>
      <c r="B55" s="53">
        <v>294.08999999999997</v>
      </c>
      <c r="C55" s="53">
        <v>20</v>
      </c>
      <c r="D55" s="53">
        <v>294.08999999999997</v>
      </c>
      <c r="E55" s="54"/>
      <c r="F55" s="54"/>
      <c r="G55" s="54"/>
      <c r="H55" s="54"/>
      <c r="I55" s="52">
        <f t="shared" si="1"/>
        <v>5.2066666666666652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42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71</v>
      </c>
      <c r="C63" s="63">
        <v>2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98</v>
      </c>
      <c r="C64" s="63">
        <v>3</v>
      </c>
      <c r="D64" s="63">
        <v>21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116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7.8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137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158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179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v>198</v>
      </c>
      <c r="C69" s="63">
        <v>8</v>
      </c>
      <c r="D69" s="63">
        <v>21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63">
        <v>9</v>
      </c>
      <c r="D70" s="53">
        <v>21</v>
      </c>
      <c r="E70" s="54"/>
      <c r="F70" s="54"/>
      <c r="G70" s="54"/>
      <c r="H70" s="54"/>
      <c r="I70" s="52">
        <f t="shared" si="2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229</v>
      </c>
      <c r="C71" s="63">
        <v>10</v>
      </c>
      <c r="D71" s="53">
        <v>21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63">
        <v>11</v>
      </c>
      <c r="D72" s="53">
        <v>21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253</v>
      </c>
      <c r="C73" s="63">
        <v>12</v>
      </c>
      <c r="D73" s="53">
        <v>21</v>
      </c>
      <c r="E73" s="54"/>
      <c r="F73" s="54"/>
      <c r="G73" s="54"/>
      <c r="H73" s="54"/>
      <c r="I73" s="52">
        <f t="shared" si="2"/>
        <v>6.4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262</v>
      </c>
      <c r="C74" s="63">
        <v>13</v>
      </c>
      <c r="D74" s="53">
        <v>21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269</v>
      </c>
      <c r="C75" s="63">
        <v>14</v>
      </c>
      <c r="D75" s="53">
        <v>21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275</v>
      </c>
      <c r="C76" s="63">
        <v>15</v>
      </c>
      <c r="D76" s="53">
        <v>21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279</v>
      </c>
      <c r="C77" s="63">
        <v>16</v>
      </c>
      <c r="D77" s="53">
        <v>21</v>
      </c>
      <c r="E77" s="54"/>
      <c r="F77" s="54"/>
      <c r="G77" s="54"/>
      <c r="H77" s="54"/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282</v>
      </c>
      <c r="C78" s="63">
        <v>17</v>
      </c>
      <c r="D78" s="53">
        <v>21</v>
      </c>
      <c r="E78" s="54"/>
      <c r="F78" s="54"/>
      <c r="G78" s="54"/>
      <c r="H78" s="54"/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283</v>
      </c>
      <c r="C79" s="63">
        <v>18</v>
      </c>
      <c r="D79" s="53">
        <v>20</v>
      </c>
      <c r="E79" s="54"/>
      <c r="F79" s="54"/>
      <c r="G79" s="54"/>
      <c r="H79" s="54"/>
      <c r="I79" s="52">
        <f t="shared" si="2"/>
        <v>4.4000000000000004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284</v>
      </c>
      <c r="C80" s="63">
        <v>19</v>
      </c>
      <c r="D80" s="53">
        <v>19</v>
      </c>
      <c r="E80" s="54"/>
      <c r="F80" s="54"/>
      <c r="G80" s="54"/>
      <c r="H80" s="54"/>
      <c r="I80" s="52">
        <f t="shared" si="2"/>
        <v>4.2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284</v>
      </c>
      <c r="C81" s="63">
        <v>20</v>
      </c>
      <c r="D81" s="53">
        <v>18</v>
      </c>
      <c r="E81" s="54"/>
      <c r="F81" s="54"/>
      <c r="G81" s="54"/>
      <c r="H81" s="54"/>
      <c r="I81" s="52">
        <f t="shared" si="2"/>
        <v>3.8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>
        <v>1</v>
      </c>
      <c r="D88" s="63">
        <v>0</v>
      </c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71</v>
      </c>
      <c r="C89" s="63">
        <v>2</v>
      </c>
      <c r="D89" s="6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98</v>
      </c>
      <c r="C90" s="63">
        <v>3</v>
      </c>
      <c r="D90" s="63">
        <v>21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116</v>
      </c>
      <c r="C91" s="63">
        <v>4</v>
      </c>
      <c r="D91" s="63">
        <v>21</v>
      </c>
      <c r="E91" s="54"/>
      <c r="F91" s="54"/>
      <c r="G91" s="54"/>
      <c r="H91" s="54"/>
      <c r="I91" s="56">
        <f t="shared" si="3"/>
        <v>7.8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137</v>
      </c>
      <c r="C92" s="63">
        <v>5</v>
      </c>
      <c r="D92" s="63">
        <v>21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158</v>
      </c>
      <c r="C93" s="63">
        <v>6</v>
      </c>
      <c r="D93" s="63">
        <v>21</v>
      </c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179</v>
      </c>
      <c r="C94" s="63">
        <v>7</v>
      </c>
      <c r="D94" s="63">
        <v>21</v>
      </c>
      <c r="E94" s="54"/>
      <c r="F94" s="54"/>
      <c r="G94" s="54"/>
      <c r="H94" s="54"/>
      <c r="I94" s="56">
        <f t="shared" si="3"/>
        <v>8.4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v>198</v>
      </c>
      <c r="C95" s="63">
        <v>8</v>
      </c>
      <c r="D95" s="63">
        <v>21</v>
      </c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214</v>
      </c>
      <c r="C96" s="63">
        <v>9</v>
      </c>
      <c r="D96" s="53">
        <v>21</v>
      </c>
      <c r="E96" s="54"/>
      <c r="F96" s="54"/>
      <c r="G96" s="54"/>
      <c r="H96" s="54"/>
      <c r="I96" s="56">
        <f t="shared" si="3"/>
        <v>7.4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229</v>
      </c>
      <c r="C97" s="63">
        <v>10</v>
      </c>
      <c r="D97" s="53">
        <v>21</v>
      </c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242</v>
      </c>
      <c r="C98" s="63">
        <v>11</v>
      </c>
      <c r="D98" s="53">
        <v>21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253</v>
      </c>
      <c r="C99" s="63">
        <v>12</v>
      </c>
      <c r="D99" s="53">
        <v>21</v>
      </c>
      <c r="E99" s="54"/>
      <c r="F99" s="54"/>
      <c r="G99" s="54"/>
      <c r="H99" s="54"/>
      <c r="I99" s="56">
        <f t="shared" si="3"/>
        <v>6.4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53">
        <v>262</v>
      </c>
      <c r="C100" s="63">
        <v>13</v>
      </c>
      <c r="D100" s="53">
        <v>21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85</v>
      </c>
      <c r="B101" s="53">
        <v>269</v>
      </c>
      <c r="C101" s="63">
        <v>14</v>
      </c>
      <c r="D101" s="53">
        <v>21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90</v>
      </c>
      <c r="B102" s="53">
        <v>275</v>
      </c>
      <c r="C102" s="63">
        <v>15</v>
      </c>
      <c r="D102" s="53">
        <v>21</v>
      </c>
      <c r="E102" s="54"/>
      <c r="F102" s="54"/>
      <c r="G102" s="54"/>
      <c r="H102" s="54"/>
      <c r="I102" s="56">
        <f t="shared" si="3"/>
        <v>5.4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95</v>
      </c>
      <c r="B103" s="53">
        <v>279</v>
      </c>
      <c r="C103" s="63">
        <v>16</v>
      </c>
      <c r="D103" s="53">
        <v>21</v>
      </c>
      <c r="E103" s="54"/>
      <c r="F103" s="54"/>
      <c r="G103" s="54"/>
      <c r="H103" s="54"/>
      <c r="I103" s="56">
        <f t="shared" si="3"/>
        <v>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100</v>
      </c>
      <c r="B104" s="53">
        <v>282</v>
      </c>
      <c r="C104" s="63">
        <v>17</v>
      </c>
      <c r="D104" s="53">
        <v>21</v>
      </c>
      <c r="E104" s="54"/>
      <c r="F104" s="54"/>
      <c r="G104" s="54"/>
      <c r="H104" s="54"/>
      <c r="I104" s="56">
        <f t="shared" si="3"/>
        <v>4.8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283</v>
      </c>
      <c r="C105" s="63">
        <v>18</v>
      </c>
      <c r="D105" s="53">
        <v>20</v>
      </c>
      <c r="E105" s="54"/>
      <c r="F105" s="54"/>
      <c r="G105" s="54"/>
      <c r="H105" s="54"/>
      <c r="I105" s="56">
        <f t="shared" si="3"/>
        <v>4.4000000000000004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284</v>
      </c>
      <c r="C106" s="63">
        <v>19</v>
      </c>
      <c r="D106" s="53">
        <v>19</v>
      </c>
      <c r="E106" s="54"/>
      <c r="F106" s="54"/>
      <c r="G106" s="54"/>
      <c r="H106" s="54"/>
      <c r="I106" s="56">
        <f t="shared" si="3"/>
        <v>4.2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284</v>
      </c>
      <c r="C107" s="63">
        <v>20</v>
      </c>
      <c r="D107" s="53">
        <v>18</v>
      </c>
      <c r="E107" s="54"/>
      <c r="F107" s="54"/>
      <c r="G107" s="54"/>
      <c r="H107" s="54"/>
      <c r="I107" s="56">
        <f t="shared" si="3"/>
        <v>3.8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cormier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42</v>
      </c>
      <c r="C114" s="63">
        <v>1</v>
      </c>
      <c r="D114" s="63">
        <v>0</v>
      </c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71</v>
      </c>
      <c r="C115" s="63">
        <v>2</v>
      </c>
      <c r="D115" s="63">
        <v>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5.8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98</v>
      </c>
      <c r="C116" s="63">
        <v>3</v>
      </c>
      <c r="D116" s="63">
        <v>21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116</v>
      </c>
      <c r="C117" s="63">
        <v>4</v>
      </c>
      <c r="D117" s="63">
        <v>21</v>
      </c>
      <c r="E117" s="54"/>
      <c r="F117" s="54"/>
      <c r="G117" s="54"/>
      <c r="H117" s="54"/>
      <c r="I117" s="56">
        <f t="shared" si="4"/>
        <v>7.8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137</v>
      </c>
      <c r="C118" s="63">
        <v>5</v>
      </c>
      <c r="D118" s="63">
        <v>21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158</v>
      </c>
      <c r="C119" s="63">
        <v>6</v>
      </c>
      <c r="D119" s="63">
        <v>21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3">
        <v>179</v>
      </c>
      <c r="C120" s="63">
        <v>7</v>
      </c>
      <c r="D120" s="63">
        <v>21</v>
      </c>
      <c r="E120" s="54"/>
      <c r="F120" s="54"/>
      <c r="G120" s="54"/>
      <c r="H120" s="54"/>
      <c r="I120" s="56">
        <f t="shared" si="4"/>
        <v>8.4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3">
        <v>198</v>
      </c>
      <c r="C121" s="63">
        <v>8</v>
      </c>
      <c r="D121" s="63">
        <v>21</v>
      </c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214</v>
      </c>
      <c r="C122" s="63">
        <v>9</v>
      </c>
      <c r="D122" s="53">
        <v>21</v>
      </c>
      <c r="E122" s="54"/>
      <c r="F122" s="54"/>
      <c r="G122" s="54"/>
      <c r="H122" s="54"/>
      <c r="I122" s="56">
        <f t="shared" si="4"/>
        <v>7.4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229</v>
      </c>
      <c r="C123" s="63">
        <v>10</v>
      </c>
      <c r="D123" s="53">
        <v>21</v>
      </c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242</v>
      </c>
      <c r="C124" s="63">
        <v>11</v>
      </c>
      <c r="D124" s="53">
        <v>21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253</v>
      </c>
      <c r="C125" s="63">
        <v>12</v>
      </c>
      <c r="D125" s="53">
        <v>21</v>
      </c>
      <c r="E125" s="54"/>
      <c r="F125" s="54"/>
      <c r="G125" s="54"/>
      <c r="H125" s="54"/>
      <c r="I125" s="56">
        <f t="shared" si="4"/>
        <v>6.4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262</v>
      </c>
      <c r="C126" s="63">
        <v>13</v>
      </c>
      <c r="D126" s="53">
        <v>21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85</v>
      </c>
      <c r="B127" s="53">
        <v>269</v>
      </c>
      <c r="C127" s="63">
        <v>14</v>
      </c>
      <c r="D127" s="53">
        <v>21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275</v>
      </c>
      <c r="C128" s="63">
        <v>15</v>
      </c>
      <c r="D128" s="53">
        <v>21</v>
      </c>
      <c r="E128" s="54"/>
      <c r="F128" s="54"/>
      <c r="G128" s="54"/>
      <c r="H128" s="54"/>
      <c r="I128" s="56">
        <f t="shared" si="4"/>
        <v>5.4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279</v>
      </c>
      <c r="C129" s="63">
        <v>16</v>
      </c>
      <c r="D129" s="53">
        <v>21</v>
      </c>
      <c r="E129" s="54"/>
      <c r="F129" s="54"/>
      <c r="G129" s="54"/>
      <c r="H129" s="54"/>
      <c r="I129" s="56">
        <f t="shared" si="4"/>
        <v>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282</v>
      </c>
      <c r="C130" s="63">
        <v>17</v>
      </c>
      <c r="D130" s="53">
        <v>21</v>
      </c>
      <c r="E130" s="54"/>
      <c r="F130" s="54"/>
      <c r="G130" s="54"/>
      <c r="H130" s="54"/>
      <c r="I130" s="56">
        <f t="shared" si="4"/>
        <v>4.8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283</v>
      </c>
      <c r="C131" s="63">
        <v>18</v>
      </c>
      <c r="D131" s="53">
        <v>20</v>
      </c>
      <c r="E131" s="54"/>
      <c r="F131" s="54"/>
      <c r="G131" s="54"/>
      <c r="H131" s="54"/>
      <c r="I131" s="56">
        <f t="shared" si="4"/>
        <v>4.4000000000000004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284</v>
      </c>
      <c r="C132" s="63">
        <v>19</v>
      </c>
      <c r="D132" s="53">
        <v>19</v>
      </c>
      <c r="E132" s="54"/>
      <c r="F132" s="54"/>
      <c r="G132" s="54"/>
      <c r="H132" s="54"/>
      <c r="I132" s="56">
        <f t="shared" si="4"/>
        <v>4.2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284</v>
      </c>
      <c r="C133" s="63">
        <v>20</v>
      </c>
      <c r="D133" s="53">
        <v>18</v>
      </c>
      <c r="E133" s="54"/>
      <c r="F133" s="54"/>
      <c r="G133" s="54"/>
      <c r="H133" s="54"/>
      <c r="I133" s="56">
        <f t="shared" si="4"/>
        <v>3.8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22</v>
      </c>
      <c r="B140" s="63">
        <v>123</v>
      </c>
      <c r="C140" s="53">
        <v>1</v>
      </c>
      <c r="D140" s="63">
        <v>16</v>
      </c>
      <c r="E140" s="54"/>
      <c r="F140" s="54"/>
      <c r="G140" s="54">
        <v>1</v>
      </c>
      <c r="H140" s="54"/>
      <c r="I140" s="60">
        <f>IFERROR(B140/A140,"")</f>
        <v>5.5909090909090908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144</v>
      </c>
      <c r="C141" s="53">
        <v>2</v>
      </c>
      <c r="D141" s="63">
        <v>17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12.333333333333334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194</v>
      </c>
      <c r="C142" s="53">
        <v>3</v>
      </c>
      <c r="D142" s="63">
        <v>34</v>
      </c>
      <c r="E142" s="54"/>
      <c r="F142" s="54">
        <v>0.2</v>
      </c>
      <c r="G142" s="54">
        <v>0.8</v>
      </c>
      <c r="H142" s="54"/>
      <c r="I142" s="60">
        <f t="shared" si="5"/>
        <v>13.4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233</v>
      </c>
      <c r="C143" s="53">
        <v>4</v>
      </c>
      <c r="D143" s="63">
        <v>41</v>
      </c>
      <c r="E143" s="54"/>
      <c r="F143" s="54"/>
      <c r="G143" s="54"/>
      <c r="H143" s="54"/>
      <c r="I143" s="60">
        <f t="shared" si="5"/>
        <v>14.6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264</v>
      </c>
      <c r="C144" s="53">
        <v>5</v>
      </c>
      <c r="D144" s="63">
        <v>41</v>
      </c>
      <c r="E144" s="54"/>
      <c r="F144" s="54"/>
      <c r="G144" s="54"/>
      <c r="H144" s="54"/>
      <c r="I144" s="60">
        <f t="shared" si="5"/>
        <v>14.4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306</v>
      </c>
      <c r="C145" s="53">
        <v>6</v>
      </c>
      <c r="D145" s="63">
        <v>53</v>
      </c>
      <c r="E145" s="54"/>
      <c r="F145" s="54"/>
      <c r="G145" s="54"/>
      <c r="H145" s="54"/>
      <c r="I145" s="60">
        <f t="shared" si="5"/>
        <v>16.600000000000001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340</v>
      </c>
      <c r="C146" s="53">
        <v>7</v>
      </c>
      <c r="D146" s="63">
        <v>53</v>
      </c>
      <c r="E146" s="54"/>
      <c r="F146" s="54"/>
      <c r="G146" s="54"/>
      <c r="H146" s="54"/>
      <c r="I146" s="60">
        <f t="shared" si="5"/>
        <v>17.399999999999999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58</v>
      </c>
      <c r="B147" s="63">
        <v>428</v>
      </c>
      <c r="C147" s="53">
        <v>8</v>
      </c>
      <c r="D147" s="63">
        <v>78</v>
      </c>
      <c r="E147" s="54"/>
      <c r="F147" s="54"/>
      <c r="G147" s="54"/>
      <c r="H147" s="54"/>
      <c r="I147" s="60">
        <f>IF(A147&lt;&gt;0,(B147-(B146-D146))/(A147-A146),"")</f>
        <v>17.625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66</v>
      </c>
      <c r="B148" s="63">
        <v>483</v>
      </c>
      <c r="C148" s="53">
        <v>9</v>
      </c>
      <c r="D148" s="63">
        <v>65</v>
      </c>
      <c r="E148" s="54"/>
      <c r="F148" s="54"/>
      <c r="G148" s="54"/>
      <c r="H148" s="54"/>
      <c r="I148" s="60">
        <f t="shared" si="5"/>
        <v>16.625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74</v>
      </c>
      <c r="B149" s="63">
        <v>521</v>
      </c>
      <c r="C149" s="53">
        <v>10</v>
      </c>
      <c r="D149" s="63">
        <v>37</v>
      </c>
      <c r="E149" s="54"/>
      <c r="F149" s="54"/>
      <c r="G149" s="54"/>
      <c r="H149" s="54"/>
      <c r="I149" s="60">
        <f t="shared" si="5"/>
        <v>12.875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82</v>
      </c>
      <c r="B150" s="63">
        <v>555</v>
      </c>
      <c r="C150" s="53">
        <v>11</v>
      </c>
      <c r="D150" s="63">
        <v>555</v>
      </c>
      <c r="E150" s="54"/>
      <c r="F150" s="54"/>
      <c r="G150" s="54"/>
      <c r="H150" s="54"/>
      <c r="I150" s="60">
        <f t="shared" si="5"/>
        <v>8.875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Pin noir d'Autriche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v>59</v>
      </c>
      <c r="C166" s="63">
        <v>1</v>
      </c>
      <c r="D166" s="63">
        <v>3</v>
      </c>
      <c r="E166" s="54"/>
      <c r="F166" s="54"/>
      <c r="G166" s="54">
        <v>1</v>
      </c>
      <c r="H166" s="54"/>
      <c r="I166" s="52">
        <f>IFERROR(B166/A166,"")</f>
        <v>2.95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156</v>
      </c>
      <c r="C167" s="63">
        <v>2</v>
      </c>
      <c r="D167" s="63">
        <v>12</v>
      </c>
      <c r="E167" s="54"/>
      <c r="F167" s="54"/>
      <c r="G167" s="54">
        <v>1</v>
      </c>
      <c r="H167" s="54"/>
      <c r="I167" s="52">
        <f t="shared" ref="I167:I185" si="6">IF(A167&lt;&gt;0,(B167-(B166-D166))/(A167-A166),"")</f>
        <v>10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40</v>
      </c>
      <c r="B168" s="63">
        <f>226+21</f>
        <v>247</v>
      </c>
      <c r="C168" s="63">
        <v>3</v>
      </c>
      <c r="D168" s="63">
        <v>21</v>
      </c>
      <c r="E168" s="54"/>
      <c r="F168" s="54"/>
      <c r="G168" s="54"/>
      <c r="H168" s="54"/>
      <c r="I168" s="52">
        <f t="shared" si="6"/>
        <v>10.3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50</v>
      </c>
      <c r="B169" s="63">
        <f>296+25</f>
        <v>321</v>
      </c>
      <c r="C169" s="63">
        <v>4</v>
      </c>
      <c r="D169" s="63">
        <v>25</v>
      </c>
      <c r="E169" s="54"/>
      <c r="F169" s="54"/>
      <c r="G169" s="54"/>
      <c r="H169" s="54"/>
      <c r="I169" s="52">
        <f t="shared" si="6"/>
        <v>9.5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60</v>
      </c>
      <c r="B170" s="63">
        <f>352+27</f>
        <v>379</v>
      </c>
      <c r="C170" s="63">
        <v>5</v>
      </c>
      <c r="D170" s="63">
        <v>27</v>
      </c>
      <c r="E170" s="54"/>
      <c r="F170" s="54"/>
      <c r="G170" s="54"/>
      <c r="H170" s="54"/>
      <c r="I170" s="52">
        <f t="shared" si="6"/>
        <v>8.3000000000000007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70</v>
      </c>
      <c r="B171" s="63">
        <f>396+26</f>
        <v>422</v>
      </c>
      <c r="C171" s="63">
        <v>6</v>
      </c>
      <c r="D171" s="63">
        <v>26</v>
      </c>
      <c r="E171" s="54"/>
      <c r="F171" s="54"/>
      <c r="G171" s="54"/>
      <c r="H171" s="54"/>
      <c r="I171" s="52">
        <f t="shared" si="6"/>
        <v>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80</v>
      </c>
      <c r="B172" s="63">
        <f>432+24</f>
        <v>456</v>
      </c>
      <c r="C172" s="63">
        <v>7</v>
      </c>
      <c r="D172" s="63">
        <v>24</v>
      </c>
      <c r="E172" s="54"/>
      <c r="F172" s="54"/>
      <c r="G172" s="54"/>
      <c r="H172" s="54"/>
      <c r="I172" s="52">
        <f t="shared" si="6"/>
        <v>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90</v>
      </c>
      <c r="B173" s="53">
        <f>462+24</f>
        <v>486</v>
      </c>
      <c r="C173" s="53">
        <v>8</v>
      </c>
      <c r="D173" s="53">
        <v>24</v>
      </c>
      <c r="E173" s="54"/>
      <c r="F173" s="54"/>
      <c r="G173" s="54"/>
      <c r="H173" s="54"/>
      <c r="I173" s="52">
        <f t="shared" si="6"/>
        <v>5.4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100</v>
      </c>
      <c r="B174" s="53">
        <f>490+25</f>
        <v>515</v>
      </c>
      <c r="C174" s="53">
        <v>9</v>
      </c>
      <c r="D174" s="53">
        <v>515</v>
      </c>
      <c r="E174" s="54"/>
      <c r="F174" s="54"/>
      <c r="G174" s="54"/>
      <c r="H174" s="54"/>
      <c r="I174" s="52">
        <f t="shared" si="6"/>
        <v>5.3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6" sqref="F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0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1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cèdre de l'atlas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pubescent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sessile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cormier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pin laricio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Pin noir d'Autriche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172.62653085905839</v>
      </c>
      <c r="T3" s="62">
        <f>IF('Données projet'!E9&gt;30,$R$33-$H$33,LOOKUP('Données projet'!$E$9,$A$3:$A$203,R3:R203)-LOOKUP('Données projet'!$E$9,$A$3:$A$203,$H$3:$H$203))</f>
        <v>103.0747749312265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289.36126704091066</v>
      </c>
      <c r="AO3" s="62">
        <f>IF('Données projet'!E10&gt;30,$AM$33-$H$33,LOOKUP('Données projet'!$E$10,$A$3:$A$203,AM3:AM203)-LOOKUP('Données projet'!$E$10,$A$3:$A$203,$H$3:$H$203))</f>
        <v>195.3674411454258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250.17147737747007</v>
      </c>
      <c r="BJ3" s="62">
        <f>IF('Données projet'!E11&gt;30,$BH$33-$H$33,LOOKUP('Données projet'!$E$11,$A$3:$A$203,BH3:BH203)-LOOKUP('Données projet'!$E$11,$A$3:$A$203,$H$3:$H$203))</f>
        <v>172.25613380618552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311.71521576048417</v>
      </c>
      <c r="CE3" s="62">
        <f>IF('Données projet'!E12&gt;30,$CC$33-$H$33,LOOKUP('Données projet'!$E$12,$A$3:$A$203,CC3:CC203)-LOOKUP('Données projet'!$E$12,$A$3:$A$203,$H$3:$H$203))</f>
        <v>208.54841796921403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280.47174439810988</v>
      </c>
      <c r="CZ3" s="62">
        <f>IF('Données projet'!E13&gt;30,$CX$33-$H$33,LOOKUP('Données projet'!$E$13,$A$3:$A$203,CX3:CX203)-LOOKUP('Données projet'!$E$13,$A$3:$A$203,$H$3:$H$203))</f>
        <v>231.19476400361157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282.98919020956595</v>
      </c>
      <c r="DU3" s="62">
        <f>IF('Données projet'!E14&gt;30,$DS$33-$H$33,LOOKUP('Données projet'!$E$14,$A$3:$A$203,DS3:DS203)-LOOKUP('Données projet'!$E$14,$A$3:$A$203,$H$3:$H$203))</f>
        <v>182.23565317232647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9">
        <f t="shared" ref="H4:H67" si="1">(B4+E4+F4)*44/12+(C4+D4)*0.475*44/12</f>
        <v>258.93888080135036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4.0476666666666672</v>
      </c>
      <c r="N4" s="14">
        <f>IF('Données projet'!$A$36&gt;35,N3+M4-V3,IF(A4&lt;'Données projet'!$A$36,$K$205^A4,IF(A4='Données projet'!$A$36,'Données projet'!$B$36,N3+M4-V3)))</f>
        <v>1.1734849744378069</v>
      </c>
      <c r="O4" s="14">
        <f>N4*VLOOKUP('Données projet'!$B$9,Paramètres!$A$1:$I$89,3,0)*VLOOKUP('Données projet'!$B$9,Paramètres!$A$1:$I$89,5,0)</f>
        <v>0.5491909680368936</v>
      </c>
      <c r="P4" s="14">
        <f>EXP(-1.0587+0.8836*LN(O4)+0.284)</f>
        <v>0.27137613256212634</v>
      </c>
      <c r="Q4" s="22">
        <f t="shared" ref="Q4:Q34" si="2">(O4+P4)*0.475*44/12</f>
        <v>1.4291543668766262</v>
      </c>
      <c r="R4" s="62">
        <f t="shared" si="0"/>
        <v>259.31804325576547</v>
      </c>
      <c r="S4" s="62">
        <f ca="1">AVERAGE(OFFSET($R$3,0,0,'Données projet'!$E$9+1,1))-AVERAGE(OFFSET($H$3,0,0,'Données projet'!$E$9+1,1))</f>
        <v>172.62653085905839</v>
      </c>
      <c r="T4" s="62">
        <f>$T$3</f>
        <v>103.0747749312265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289.36126704091066</v>
      </c>
      <c r="AO4" s="62">
        <f>$AO$3</f>
        <v>195.3674411454258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260.65521412271448</v>
      </c>
      <c r="BI4" s="62">
        <f ca="1">AVERAGE(OFFSET($BH$3,0,0,'Données projet'!$E$11+1,1))-AVERAGE(OFFSET($H$3,0,0,'Données projet'!$E$11+1,1))</f>
        <v>250.17147737747007</v>
      </c>
      <c r="BJ4" s="62">
        <f>$BJ$3</f>
        <v>172.25613380618552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1.2975860072835741</v>
      </c>
      <c r="CA4" s="14">
        <f>EXP(-1.0587+0.8836*LN(BZ4)+0.284)</f>
        <v>0.58012177912374829</v>
      </c>
      <c r="CB4" s="22">
        <f t="shared" ref="CB4:CB67" si="10">(BZ4+CA4)*0.475*44/12</f>
        <v>3.2703410613260862</v>
      </c>
      <c r="CC4" s="62">
        <f t="shared" ref="CC4:CC67" si="11">CB4+(BT4+BU4)*44/12</f>
        <v>261.15922995021492</v>
      </c>
      <c r="CD4" s="62">
        <f ca="1">AVERAGE(OFFSET($CC$3,0,0,'Données projet'!$E$12+1,1))-AVERAGE(OFFSET($H$3,0,0,'Données projet'!$E$12+1,1))</f>
        <v>311.71521576048417</v>
      </c>
      <c r="CE4" s="62">
        <f>$CE$3</f>
        <v>208.54841796921403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5.5909090909090908</v>
      </c>
      <c r="CT4" s="13">
        <f>IF('Données projet'!$A$140&gt;35,CT3+CS4-DB3,IF(A4&lt;'Données projet'!$A$140,$CQ$205^A4,IF(A4='Données projet'!$A$140,'Données projet'!$B$140,CT3+CS4-DB3)))</f>
        <v>1.244502252163008</v>
      </c>
      <c r="CU4" s="18">
        <f>CT4*VLOOKUP('Données projet'!$B$13,Paramètres!$A$1:$I$89,3,0)*VLOOKUP('Données projet'!$B$13,Paramètres!$A$1:$I$89,5,0)</f>
        <v>0.74421234679347892</v>
      </c>
      <c r="CV4" s="14">
        <f>EXP(-1.0587+0.8836*LN(CU4)+0.284)</f>
        <v>0.3549632728022305</v>
      </c>
      <c r="CW4" s="22">
        <f t="shared" ref="CW4:CW67" si="13">(CU4+CV4)*0.475*44/12</f>
        <v>1.9143975374625271</v>
      </c>
      <c r="CX4" s="62">
        <f t="shared" ref="CX4:CX67" si="14">CW4+(CO4+CP4)*44/12</f>
        <v>259.80328642635141</v>
      </c>
      <c r="CY4" s="62">
        <f ca="1">AVERAGE(OFFSET($CX$3,0,0,'Données projet'!$E$13+1,1))-AVERAGE(OFFSET($H$3,0,0,'Données projet'!$E$13+1,1))</f>
        <v>280.47174439810988</v>
      </c>
      <c r="CZ4" s="62">
        <f>$CZ$3</f>
        <v>231.19476400361157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2.95</v>
      </c>
      <c r="DO4" s="13">
        <f>IF('Données projet'!$A$166&gt;35,DO3+DN4-DW3,IF(A4&lt;'Données projet'!$A$166,$DL$205^A4,IF(A4='Données projet'!$A$166,'Données projet'!$B$166,DO3+DN4-DW3)))</f>
        <v>1.226147171351889</v>
      </c>
      <c r="DP4" s="18">
        <f>DO4*VLOOKUP('Données projet'!$B$14,Paramètres!$A$1:$I$89,3,0)*VLOOKUP('Données projet'!$B$14,Paramètres!$A$1:$I$89,5,0)</f>
        <v>0.73323600846842973</v>
      </c>
      <c r="DQ4" s="14">
        <f>EXP(-1.0587+0.8836*LN(DP4)+0.284)</f>
        <v>0.35033334269676686</v>
      </c>
      <c r="DR4" s="22">
        <f t="shared" ref="DR4:DR67" si="16">(DP4+DQ4)*0.475*44/12</f>
        <v>1.8872166199460507</v>
      </c>
      <c r="DS4" s="62">
        <f t="shared" ref="DS4:DS67" si="17">DR4+(DJ4+DK4)*44/12</f>
        <v>259.77610550883492</v>
      </c>
      <c r="DT4" s="62">
        <f ca="1">AVERAGE(OFFSET($DS$3,0,0,'Données projet'!$E$14+1,1))-AVERAGE(OFFSET($H$3,0,0,'Données projet'!$E$14+1,1))</f>
        <v>282.98919020956595</v>
      </c>
      <c r="DU4" s="62">
        <f>$DU$3</f>
        <v>182.23565317232647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9">
        <f t="shared" si="1"/>
        <v>261.0989294343297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4.0476666666666672</v>
      </c>
      <c r="N5" s="14">
        <f>IF('Données projet'!$A$36&gt;35,N4+M5-V4,IF(A5&lt;'Données projet'!$A$36,$K$205^A5,IF(A5='Données projet'!$A$36,'Données projet'!$B$36,N4+M5-V4)))</f>
        <v>1.3770669852313002</v>
      </c>
      <c r="O5" s="14">
        <f>N5*VLOOKUP('Données projet'!$B$9,Paramètres!$A$1:$I$89,3,0)*VLOOKUP('Données projet'!$B$9,Paramètres!$A$1:$I$89,5,0)</f>
        <v>0.64446734908824854</v>
      </c>
      <c r="P5" s="14">
        <f t="shared" ref="P5:P68" si="33">EXP(-1.0587+0.8836*LN(O5)+0.284)</f>
        <v>0.31258058329392635</v>
      </c>
      <c r="Q5" s="22">
        <f t="shared" si="2"/>
        <v>1.6668584822322881</v>
      </c>
      <c r="R5" s="62">
        <f t="shared" si="0"/>
        <v>260.77796959334341</v>
      </c>
      <c r="S5" s="62">
        <f ca="1">AVERAGE(OFFSET($R$3,0,0,'Données projet'!$E$9+1,1))-AVERAGE(OFFSET($H$3,0,0,'Données projet'!$E$9+1,1))</f>
        <v>172.62653085905839</v>
      </c>
      <c r="T5" s="62">
        <f t="shared" ref="T5:T68" si="34">$T$3</f>
        <v>103.0747749312265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289.36126704091066</v>
      </c>
      <c r="AO5" s="62">
        <f t="shared" ref="AO5:AO68" si="36">$AO$3</f>
        <v>195.3674411454258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262.42339882093205</v>
      </c>
      <c r="BI5" s="62">
        <f ca="1">AVERAGE(OFFSET($BH$3,0,0,'Données projet'!$E$11+1,1))-AVERAGE(OFFSET($H$3,0,0,'Données projet'!$E$11+1,1))</f>
        <v>250.17147737747007</v>
      </c>
      <c r="BJ5" s="62">
        <f t="shared" ref="BJ5:BJ68" si="38">$BJ$3</f>
        <v>172.25613380618552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1.5642228226478332</v>
      </c>
      <c r="CA5" s="14">
        <f t="shared" ref="CA5:CA68" si="39">EXP(-1.0587+0.8836*LN(BZ5)+0.284)</f>
        <v>0.68428075179095682</v>
      </c>
      <c r="CB5" s="22">
        <f t="shared" si="10"/>
        <v>3.9161437254808931</v>
      </c>
      <c r="CC5" s="62">
        <f t="shared" si="11"/>
        <v>263.02725483659202</v>
      </c>
      <c r="CD5" s="62">
        <f ca="1">AVERAGE(OFFSET($CC$3,0,0,'Données projet'!$E$12+1,1))-AVERAGE(OFFSET($H$3,0,0,'Données projet'!$E$12+1,1))</f>
        <v>311.71521576048417</v>
      </c>
      <c r="CE5" s="62">
        <f t="shared" ref="CE5:CE68" si="40">$CE$3</f>
        <v>208.54841796921403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5.5909090909090908</v>
      </c>
      <c r="CT5" s="13">
        <f>IF('Données projet'!$A$140&gt;35,CT4+CS5-DB4,IF(A5&lt;'Données projet'!$A$140,$CQ$205^A5,IF(A5='Données projet'!$A$140,'Données projet'!$B$140,CT4+CS5-DB4)))</f>
        <v>1.5487858556387992</v>
      </c>
      <c r="CU5" s="18">
        <f>CT5*VLOOKUP('Données projet'!$B$13,Paramètres!$A$1:$I$89,3,0)*VLOOKUP('Données projet'!$B$13,Paramètres!$A$1:$I$89,5,0)</f>
        <v>0.92617394167200195</v>
      </c>
      <c r="CV5" s="14">
        <f t="shared" ref="CV5:CV68" si="41">EXP(-1.0587+0.8836*LN(CU5)+0.284)</f>
        <v>0.43064718121421069</v>
      </c>
      <c r="CW5" s="22">
        <f t="shared" si="13"/>
        <v>2.3631301223601535</v>
      </c>
      <c r="CX5" s="62">
        <f t="shared" si="14"/>
        <v>261.47424123347128</v>
      </c>
      <c r="CY5" s="62">
        <f ca="1">AVERAGE(OFFSET($CX$3,0,0,'Données projet'!$E$13+1,1))-AVERAGE(OFFSET($H$3,0,0,'Données projet'!$E$13+1,1))</f>
        <v>280.47174439810988</v>
      </c>
      <c r="CZ5" s="62">
        <f t="shared" ref="CZ5:CZ68" si="42">$CZ$3</f>
        <v>231.19476400361157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2.95</v>
      </c>
      <c r="DO5" s="13">
        <f>IF('Données projet'!$A$166&gt;35,DO4+DN5-DW4,IF(A5&lt;'Données projet'!$A$166,$DL$205^A5,IF(A5='Données projet'!$A$166,'Données projet'!$B$166,DO4+DN5-DW4)))</f>
        <v>1.5034368858142386</v>
      </c>
      <c r="DP5" s="18">
        <f>DO5*VLOOKUP('Données projet'!$B$14,Paramètres!$A$1:$I$89,3,0)*VLOOKUP('Données projet'!$B$14,Paramètres!$A$1:$I$89,5,0)</f>
        <v>0.89905525771691475</v>
      </c>
      <c r="DQ5" s="14">
        <f t="shared" ref="DQ5:DQ68" si="43">EXP(-1.0587+0.8836*LN(DP5)+0.284)</f>
        <v>0.41948623529840945</v>
      </c>
      <c r="DR5" s="22">
        <f t="shared" si="16"/>
        <v>2.2964597670016897</v>
      </c>
      <c r="DS5" s="62">
        <f t="shared" si="17"/>
        <v>261.40757087811284</v>
      </c>
      <c r="DT5" s="62">
        <f ca="1">AVERAGE(OFFSET($DS$3,0,0,'Données projet'!$E$14+1,1))-AVERAGE(OFFSET($H$3,0,0,'Données projet'!$E$14+1,1))</f>
        <v>282.98919020956595</v>
      </c>
      <c r="DU5" s="62">
        <f t="shared" ref="DU5:DU68" si="44">$DU$3</f>
        <v>182.23565317232647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9">
        <f t="shared" si="1"/>
        <v>263.22275424061456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4.0476666666666672</v>
      </c>
      <c r="N6" s="14">
        <f>IF('Données projet'!$A$36&gt;35,N5+M6-V5,IF(A6&lt;'Données projet'!$A$36,$K$205^A6,IF(A6='Données projet'!$A$36,'Données projet'!$B$36,N5+M6-V5)))</f>
        <v>1.6159674159633002</v>
      </c>
      <c r="O6" s="14">
        <f>N6*VLOOKUP('Données projet'!$B$9,Paramètres!$A$1:$I$89,3,0)*VLOOKUP('Données projet'!$B$9,Paramètres!$A$1:$I$89,5,0)</f>
        <v>0.75627275067082456</v>
      </c>
      <c r="P6" s="14">
        <f t="shared" si="33"/>
        <v>0.36004132025134233</v>
      </c>
      <c r="Q6" s="22">
        <f t="shared" si="2"/>
        <v>1.9442470068561069</v>
      </c>
      <c r="R6" s="62">
        <f t="shared" si="0"/>
        <v>262.27758034018944</v>
      </c>
      <c r="S6" s="62">
        <f ca="1">AVERAGE(OFFSET($R$3,0,0,'Données projet'!$E$9+1,1))-AVERAGE(OFFSET($H$3,0,0,'Données projet'!$E$9+1,1))</f>
        <v>172.62653085905839</v>
      </c>
      <c r="T6" s="62">
        <f t="shared" si="34"/>
        <v>103.0747749312265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289.36126704091066</v>
      </c>
      <c r="AO6" s="62">
        <f t="shared" si="36"/>
        <v>195.3674411454258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264.29973523978072</v>
      </c>
      <c r="BI6" s="62">
        <f ca="1">AVERAGE(OFFSET($BH$3,0,0,'Données projet'!$E$11+1,1))-AVERAGE(OFFSET($H$3,0,0,'Données projet'!$E$11+1,1))</f>
        <v>250.17147737747007</v>
      </c>
      <c r="BJ6" s="62">
        <f t="shared" si="38"/>
        <v>172.25613380618552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1.885649987868306</v>
      </c>
      <c r="CA6" s="14">
        <f t="shared" si="39"/>
        <v>0.8071411281590839</v>
      </c>
      <c r="CB6" s="22">
        <f t="shared" si="10"/>
        <v>4.6899445270810372</v>
      </c>
      <c r="CC6" s="62">
        <f t="shared" si="11"/>
        <v>265.02327786041434</v>
      </c>
      <c r="CD6" s="62">
        <f ca="1">AVERAGE(OFFSET($CC$3,0,0,'Données projet'!$E$12+1,1))-AVERAGE(OFFSET($H$3,0,0,'Données projet'!$E$12+1,1))</f>
        <v>311.71521576048417</v>
      </c>
      <c r="CE6" s="62">
        <f t="shared" si="40"/>
        <v>208.54841796921403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5.5909090909090908</v>
      </c>
      <c r="CT6" s="13">
        <f>IF('Données projet'!$A$140&gt;35,CT5+CS6-DB5,IF(A6&lt;'Données projet'!$A$140,$CQ$205^A6,IF(A6='Données projet'!$A$140,'Données projet'!$B$140,CT5+CS6-DB5)))</f>
        <v>1.927467485460697</v>
      </c>
      <c r="CU6" s="18">
        <f>CT6*VLOOKUP('Données projet'!$B$13,Paramètres!$A$1:$I$89,3,0)*VLOOKUP('Données projet'!$B$13,Paramètres!$A$1:$I$89,5,0)</f>
        <v>1.152625556305497</v>
      </c>
      <c r="CV6" s="14">
        <f t="shared" si="41"/>
        <v>0.52246812247269758</v>
      </c>
      <c r="CW6" s="22">
        <f t="shared" si="13"/>
        <v>2.9174548238720219</v>
      </c>
      <c r="CX6" s="62">
        <f t="shared" si="14"/>
        <v>263.25078815720536</v>
      </c>
      <c r="CY6" s="62">
        <f ca="1">AVERAGE(OFFSET($CX$3,0,0,'Données projet'!$E$13+1,1))-AVERAGE(OFFSET($H$3,0,0,'Données projet'!$E$13+1,1))</f>
        <v>280.47174439810988</v>
      </c>
      <c r="CZ6" s="62">
        <f t="shared" si="42"/>
        <v>231.19476400361157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2.95</v>
      </c>
      <c r="DO6" s="13">
        <f>IF('Données projet'!$A$166&gt;35,DO5+DN6-DW5,IF(A6&lt;'Données projet'!$A$166,$DL$205^A6,IF(A6='Données projet'!$A$166,'Données projet'!$B$166,DO5+DN6-DW5)))</f>
        <v>1.8434348848472215</v>
      </c>
      <c r="DP6" s="18">
        <f>DO6*VLOOKUP('Données projet'!$B$14,Paramètres!$A$1:$I$89,3,0)*VLOOKUP('Données projet'!$B$14,Paramètres!$A$1:$I$89,5,0)</f>
        <v>1.1023740611386386</v>
      </c>
      <c r="DQ6" s="14">
        <f t="shared" si="43"/>
        <v>0.50228933463847691</v>
      </c>
      <c r="DR6" s="22">
        <f t="shared" si="16"/>
        <v>2.7947887476451427</v>
      </c>
      <c r="DS6" s="62">
        <f t="shared" si="17"/>
        <v>263.12812208097847</v>
      </c>
      <c r="DT6" s="62">
        <f ca="1">AVERAGE(OFFSET($DS$3,0,0,'Données projet'!$E$14+1,1))-AVERAGE(OFFSET($H$3,0,0,'Données projet'!$E$14+1,1))</f>
        <v>282.98919020956595</v>
      </c>
      <c r="DU6" s="62">
        <f t="shared" si="44"/>
        <v>182.23565317232647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9">
        <f t="shared" si="1"/>
        <v>265.32424983728947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4.0476666666666672</v>
      </c>
      <c r="N7" s="14">
        <f>IF('Données projet'!$A$36&gt;35,N6+M7-V6,IF(A7&lt;'Données projet'!$A$36,$K$205^A7,IF(A7='Données projet'!$A$36,'Données projet'!$B$36,N6+M7-V6)))</f>
        <v>1.8963134818140219</v>
      </c>
      <c r="O7" s="14">
        <f>N7*VLOOKUP('Données projet'!$B$9,Paramètres!$A$1:$I$89,3,0)*VLOOKUP('Données projet'!$B$9,Paramètres!$A$1:$I$89,5,0)</f>
        <v>0.88747470948896223</v>
      </c>
      <c r="P7" s="14">
        <f t="shared" si="33"/>
        <v>0.41470826793625865</v>
      </c>
      <c r="Q7" s="22">
        <f t="shared" si="2"/>
        <v>2.2679686856822596</v>
      </c>
      <c r="R7" s="62">
        <f t="shared" si="0"/>
        <v>263.82352424123781</v>
      </c>
      <c r="S7" s="62">
        <f ca="1">AVERAGE(OFFSET($R$3,0,0,'Données projet'!$E$9+1,1))-AVERAGE(OFFSET($H$3,0,0,'Données projet'!$E$9+1,1))</f>
        <v>172.62653085905839</v>
      </c>
      <c r="T7" s="62">
        <f t="shared" si="34"/>
        <v>103.0747749312265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289.36126704091066</v>
      </c>
      <c r="AO7" s="62">
        <f t="shared" si="36"/>
        <v>195.3674411454258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266.30572241486152</v>
      </c>
      <c r="BI7" s="62">
        <f ca="1">AVERAGE(OFFSET($BH$3,0,0,'Données projet'!$E$11+1,1))-AVERAGE(OFFSET($H$3,0,0,'Données projet'!$E$11+1,1))</f>
        <v>250.17147737747007</v>
      </c>
      <c r="BJ7" s="62">
        <f t="shared" si="38"/>
        <v>172.25613380618552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2.2731261974102144</v>
      </c>
      <c r="CA7" s="14">
        <f t="shared" si="39"/>
        <v>0.95206068424520052</v>
      </c>
      <c r="CB7" s="22">
        <f t="shared" si="10"/>
        <v>5.617200485549847</v>
      </c>
      <c r="CC7" s="62">
        <f t="shared" si="11"/>
        <v>267.1727560411054</v>
      </c>
      <c r="CD7" s="62">
        <f ca="1">AVERAGE(OFFSET($CC$3,0,0,'Données projet'!$E$12+1,1))-AVERAGE(OFFSET($H$3,0,0,'Données projet'!$E$12+1,1))</f>
        <v>311.71521576048417</v>
      </c>
      <c r="CE7" s="62">
        <f t="shared" si="40"/>
        <v>208.54841796921403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5.5909090909090908</v>
      </c>
      <c r="CT7" s="13">
        <f>IF('Données projet'!$A$140&gt;35,CT6+CS7-DB6,IF(A7&lt;'Données projet'!$A$140,$CQ$205^A7,IF(A7='Données projet'!$A$140,'Données projet'!$B$140,CT6+CS7-DB6)))</f>
        <v>2.3987376266268075</v>
      </c>
      <c r="CU7" s="18">
        <f>CT7*VLOOKUP('Données projet'!$B$13,Paramètres!$A$1:$I$89,3,0)*VLOOKUP('Données projet'!$B$13,Paramètres!$A$1:$I$89,5,0)</f>
        <v>1.4344451007228309</v>
      </c>
      <c r="CV7" s="14">
        <f t="shared" si="41"/>
        <v>0.63386677286612625</v>
      </c>
      <c r="CW7" s="22">
        <f t="shared" si="13"/>
        <v>3.6023098465007668</v>
      </c>
      <c r="CX7" s="62">
        <f t="shared" si="14"/>
        <v>265.1578654020563</v>
      </c>
      <c r="CY7" s="62">
        <f ca="1">AVERAGE(OFFSET($CX$3,0,0,'Données projet'!$E$13+1,1))-AVERAGE(OFFSET($H$3,0,0,'Données projet'!$E$13+1,1))</f>
        <v>280.47174439810988</v>
      </c>
      <c r="CZ7" s="62">
        <f t="shared" si="42"/>
        <v>231.19476400361157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2.95</v>
      </c>
      <c r="DO7" s="13">
        <f>IF('Données projet'!$A$166&gt;35,DO6+DN7-DW6,IF(A7&lt;'Données projet'!$A$166,$DL$205^A7,IF(A7='Données projet'!$A$166,'Données projet'!$B$166,DO6+DN7-DW6)))</f>
        <v>2.260322469626816</v>
      </c>
      <c r="DP7" s="18">
        <f>DO7*VLOOKUP('Données projet'!$B$14,Paramètres!$A$1:$I$89,3,0)*VLOOKUP('Données projet'!$B$14,Paramètres!$A$1:$I$89,5,0)</f>
        <v>1.3516728368368363</v>
      </c>
      <c r="DQ7" s="14">
        <f t="shared" si="43"/>
        <v>0.60143707817275438</v>
      </c>
      <c r="DR7" s="22">
        <f t="shared" si="16"/>
        <v>3.4016664353083708</v>
      </c>
      <c r="DS7" s="62">
        <f t="shared" si="17"/>
        <v>264.9572219908639</v>
      </c>
      <c r="DT7" s="62">
        <f ca="1">AVERAGE(OFFSET($DS$3,0,0,'Données projet'!$E$14+1,1))-AVERAGE(OFFSET($H$3,0,0,'Données projet'!$E$14+1,1))</f>
        <v>282.98919020956595</v>
      </c>
      <c r="DU7" s="62">
        <f t="shared" si="44"/>
        <v>182.23565317232647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9">
        <f t="shared" si="1"/>
        <v>267.40971372031277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4.0476666666666672</v>
      </c>
      <c r="N8" s="14">
        <f>IF('Données projet'!$A$36&gt;35,N7+M8-V7,IF(A8&lt;'Données projet'!$A$36,$K$205^A8,IF(A8='Données projet'!$A$36,'Données projet'!$B$36,N7+M8-V7)))</f>
        <v>2.2252953777325959</v>
      </c>
      <c r="O8" s="14">
        <f>N8*VLOOKUP('Données projet'!$B$9,Paramètres!$A$1:$I$89,3,0)*VLOOKUP('Données projet'!$B$9,Paramètres!$A$1:$I$89,5,0)</f>
        <v>1.0414382367788548</v>
      </c>
      <c r="P8" s="14">
        <f t="shared" si="33"/>
        <v>0.47767558283208045</v>
      </c>
      <c r="Q8" s="22">
        <f t="shared" si="2"/>
        <v>2.6457899024890454</v>
      </c>
      <c r="R8" s="62">
        <f t="shared" si="0"/>
        <v>265.42356768026684</v>
      </c>
      <c r="S8" s="62">
        <f ca="1">AVERAGE(OFFSET($R$3,0,0,'Données projet'!$E$9+1,1))-AVERAGE(OFFSET($H$3,0,0,'Données projet'!$E$9+1,1))</f>
        <v>172.62653085905839</v>
      </c>
      <c r="T8" s="62">
        <f t="shared" si="34"/>
        <v>103.0747749312265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289.36126704091066</v>
      </c>
      <c r="AO8" s="62">
        <f t="shared" si="36"/>
        <v>195.3674411454258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268.46714702955143</v>
      </c>
      <c r="BI8" s="62">
        <f ca="1">AVERAGE(OFFSET($BH$3,0,0,'Données projet'!$E$11+1,1))-AVERAGE(OFFSET($H$3,0,0,'Données projet'!$E$11+1,1))</f>
        <v>250.17147737747007</v>
      </c>
      <c r="BJ8" s="62">
        <f t="shared" si="38"/>
        <v>172.25613380618552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2.740223659001499</v>
      </c>
      <c r="CA8" s="14">
        <f t="shared" si="39"/>
        <v>1.1230000737947632</v>
      </c>
      <c r="CB8" s="22">
        <f t="shared" si="10"/>
        <v>6.7284480012868242</v>
      </c>
      <c r="CC8" s="62">
        <f t="shared" si="11"/>
        <v>269.50622577906461</v>
      </c>
      <c r="CD8" s="62">
        <f ca="1">AVERAGE(OFFSET($CC$3,0,0,'Données projet'!$E$12+1,1))-AVERAGE(OFFSET($H$3,0,0,'Données projet'!$E$12+1,1))</f>
        <v>311.71521576048417</v>
      </c>
      <c r="CE8" s="62">
        <f t="shared" si="40"/>
        <v>208.54841796921403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5.5909090909090908</v>
      </c>
      <c r="CT8" s="13">
        <f>IF('Données projet'!$A$140&gt;35,CT7+CS8-DB7,IF(A8&lt;'Données projet'!$A$140,$CQ$205^A8,IF(A8='Données projet'!$A$140,'Données projet'!$B$140,CT7+CS8-DB7)))</f>
        <v>2.9852343786852105</v>
      </c>
      <c r="CU8" s="18">
        <f>CT8*VLOOKUP('Données projet'!$B$13,Paramètres!$A$1:$I$89,3,0)*VLOOKUP('Données projet'!$B$13,Paramètres!$A$1:$I$89,5,0)</f>
        <v>1.785170158453756</v>
      </c>
      <c r="CV8" s="14">
        <f t="shared" si="41"/>
        <v>0.7690174164926461</v>
      </c>
      <c r="CW8" s="22">
        <f t="shared" si="13"/>
        <v>4.4485433596983173</v>
      </c>
      <c r="CX8" s="62">
        <f t="shared" si="14"/>
        <v>267.22632113747608</v>
      </c>
      <c r="CY8" s="62">
        <f ca="1">AVERAGE(OFFSET($CX$3,0,0,'Données projet'!$E$13+1,1))-AVERAGE(OFFSET($H$3,0,0,'Données projet'!$E$13+1,1))</f>
        <v>280.47174439810988</v>
      </c>
      <c r="CZ8" s="62">
        <f t="shared" si="42"/>
        <v>231.19476400361157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2.95</v>
      </c>
      <c r="DO8" s="13">
        <f>IF('Données projet'!$A$166&gt;35,DO7+DN8-DW7,IF(A8&lt;'Données projet'!$A$166,$DL$205^A8,IF(A8='Données projet'!$A$166,'Données projet'!$B$166,DO7+DN8-DW7)))</f>
        <v>2.7714880024760364</v>
      </c>
      <c r="DP8" s="18">
        <f>DO8*VLOOKUP('Données projet'!$B$14,Paramètres!$A$1:$I$89,3,0)*VLOOKUP('Données projet'!$B$14,Paramètres!$A$1:$I$89,5,0)</f>
        <v>1.6573498254806698</v>
      </c>
      <c r="DQ8" s="14">
        <f t="shared" si="43"/>
        <v>0.72015576293558503</v>
      </c>
      <c r="DR8" s="22">
        <f t="shared" si="16"/>
        <v>4.1408222331583096</v>
      </c>
      <c r="DS8" s="62">
        <f t="shared" si="17"/>
        <v>266.91860001093607</v>
      </c>
      <c r="DT8" s="62">
        <f ca="1">AVERAGE(OFFSET($DS$3,0,0,'Données projet'!$E$14+1,1))-AVERAGE(OFFSET($H$3,0,0,'Données projet'!$E$14+1,1))</f>
        <v>282.98919020956595</v>
      </c>
      <c r="DU8" s="62">
        <f t="shared" si="44"/>
        <v>182.23565317232647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9">
        <f t="shared" si="1"/>
        <v>269.48273824430697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4.0476666666666672</v>
      </c>
      <c r="N9" s="14">
        <f>IF('Données projet'!$A$36&gt;35,N8+M9-V8,IF(A9&lt;'Données projet'!$A$36,$K$205^A9,IF(A9='Données projet'!$A$36,'Données projet'!$B$36,N8+M9-V8)))</f>
        <v>2.6113506894551053</v>
      </c>
      <c r="O9" s="14">
        <f>N9*VLOOKUP('Données projet'!$B$9,Paramètres!$A$1:$I$89,3,0)*VLOOKUP('Données projet'!$B$9,Paramètres!$A$1:$I$89,5,0)</f>
        <v>1.2221121226649894</v>
      </c>
      <c r="P9" s="14">
        <f t="shared" si="33"/>
        <v>0.55020355289622191</v>
      </c>
      <c r="Q9" s="22">
        <f t="shared" si="2"/>
        <v>3.0867831349357764</v>
      </c>
      <c r="R9" s="62">
        <f t="shared" si="0"/>
        <v>267.08678313493579</v>
      </c>
      <c r="S9" s="62">
        <f ca="1">AVERAGE(OFFSET($R$3,0,0,'Données projet'!$E$9+1,1))-AVERAGE(OFFSET($H$3,0,0,'Données projet'!$E$9+1,1))</f>
        <v>172.62653085905839</v>
      </c>
      <c r="T9" s="62">
        <f t="shared" si="34"/>
        <v>103.0747749312265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289.36126704091066</v>
      </c>
      <c r="AO9" s="62">
        <f t="shared" si="36"/>
        <v>195.3674411454258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270.81494110736412</v>
      </c>
      <c r="BI9" s="62">
        <f ca="1">AVERAGE(OFFSET($BH$3,0,0,'Données projet'!$E$11+1,1))-AVERAGE(OFFSET($H$3,0,0,'Données projet'!$E$11+1,1))</f>
        <v>250.17147737747007</v>
      </c>
      <c r="BJ9" s="62">
        <f t="shared" si="38"/>
        <v>172.25613380618552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3.3033034901038101</v>
      </c>
      <c r="CA9" s="14">
        <f t="shared" si="39"/>
        <v>1.3246310730107231</v>
      </c>
      <c r="CB9" s="22">
        <f t="shared" si="10"/>
        <v>8.0603193640911446</v>
      </c>
      <c r="CC9" s="62">
        <f t="shared" si="11"/>
        <v>272.06031936409113</v>
      </c>
      <c r="CD9" s="62">
        <f ca="1">AVERAGE(OFFSET($CC$3,0,0,'Données projet'!$E$12+1,1))-AVERAGE(OFFSET($H$3,0,0,'Données projet'!$E$12+1,1))</f>
        <v>311.71521576048417</v>
      </c>
      <c r="CE9" s="62">
        <f t="shared" si="40"/>
        <v>208.54841796921403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5.5909090909090908</v>
      </c>
      <c r="CT9" s="13">
        <f>IF('Données projet'!$A$140&gt;35,CT8+CS9-DB8,IF(A9&lt;'Données projet'!$A$140,$CQ$205^A9,IF(A9='Données projet'!$A$140,'Données projet'!$B$140,CT8+CS9-DB8)))</f>
        <v>3.7151309075081826</v>
      </c>
      <c r="CU9" s="18">
        <f>CT9*VLOOKUP('Données projet'!$B$13,Paramètres!$A$1:$I$89,3,0)*VLOOKUP('Données projet'!$B$13,Paramètres!$A$1:$I$89,5,0)</f>
        <v>2.2216482826898933</v>
      </c>
      <c r="CV9" s="14">
        <f t="shared" si="41"/>
        <v>0.93298436230530435</v>
      </c>
      <c r="CW9" s="22">
        <f t="shared" si="13"/>
        <v>5.4943185233666361</v>
      </c>
      <c r="CX9" s="62">
        <f t="shared" si="14"/>
        <v>269.49431852336664</v>
      </c>
      <c r="CY9" s="62">
        <f ca="1">AVERAGE(OFFSET($CX$3,0,0,'Données projet'!$E$13+1,1))-AVERAGE(OFFSET($H$3,0,0,'Données projet'!$E$13+1,1))</f>
        <v>280.47174439810988</v>
      </c>
      <c r="CZ9" s="62">
        <f t="shared" si="42"/>
        <v>231.19476400361157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2.95</v>
      </c>
      <c r="DO9" s="13">
        <f>IF('Données projet'!$A$166&gt;35,DO8+DN9-DW8,IF(A9&lt;'Données projet'!$A$166,$DL$205^A9,IF(A9='Données projet'!$A$166,'Données projet'!$B$166,DO8+DN9-DW8)))</f>
        <v>3.3982521746716894</v>
      </c>
      <c r="DP9" s="18">
        <f>DO9*VLOOKUP('Données projet'!$B$14,Paramètres!$A$1:$I$89,3,0)*VLOOKUP('Données projet'!$B$14,Paramètres!$A$1:$I$89,5,0)</f>
        <v>2.0321548004536703</v>
      </c>
      <c r="DQ9" s="14">
        <f t="shared" si="43"/>
        <v>0.86230853020399756</v>
      </c>
      <c r="DR9" s="22">
        <f t="shared" si="16"/>
        <v>5.0411903008954377</v>
      </c>
      <c r="DS9" s="62">
        <f t="shared" si="17"/>
        <v>269.04119030089544</v>
      </c>
      <c r="DT9" s="62">
        <f ca="1">AVERAGE(OFFSET($DS$3,0,0,'Données projet'!$E$14+1,1))-AVERAGE(OFFSET($H$3,0,0,'Données projet'!$E$14+1,1))</f>
        <v>282.98919020956595</v>
      </c>
      <c r="DU9" s="62">
        <f t="shared" si="44"/>
        <v>182.23565317232647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9">
        <f t="shared" si="1"/>
        <v>271.54563926139667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4.0476666666666672</v>
      </c>
      <c r="N10" s="14">
        <f>IF('Données projet'!$A$36&gt;35,N9+M10-V9,IF(A10&lt;'Données projet'!$A$36,$K$205^A10,IF(A10='Données projet'!$A$36,'Données projet'!$B$36,N9+M10-V9)))</f>
        <v>3.0643807970633739</v>
      </c>
      <c r="O10" s="14">
        <f>N10*VLOOKUP('Données projet'!$B$9,Paramètres!$A$1:$I$89,3,0)*VLOOKUP('Données projet'!$B$9,Paramètres!$A$1:$I$89,5,0)</f>
        <v>1.434130213025659</v>
      </c>
      <c r="P10" s="14">
        <f t="shared" si="33"/>
        <v>0.63374382216652581</v>
      </c>
      <c r="Q10" s="22">
        <f t="shared" si="2"/>
        <v>3.6015472779597215</v>
      </c>
      <c r="R10" s="62">
        <f t="shared" si="0"/>
        <v>268.82376950018192</v>
      </c>
      <c r="S10" s="62">
        <f ca="1">AVERAGE(OFFSET($R$3,0,0,'Données projet'!$E$9+1,1))-AVERAGE(OFFSET($H$3,0,0,'Données projet'!$E$9+1,1))</f>
        <v>172.62653085905839</v>
      </c>
      <c r="T10" s="62">
        <f t="shared" si="34"/>
        <v>103.0747749312265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289.36126704091066</v>
      </c>
      <c r="AO10" s="62">
        <f t="shared" si="36"/>
        <v>195.3674411454258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273.38621175408076</v>
      </c>
      <c r="BI10" s="62">
        <f ca="1">AVERAGE(OFFSET($BH$3,0,0,'Données projet'!$E$11+1,1))-AVERAGE(OFFSET($H$3,0,0,'Données projet'!$E$11+1,1))</f>
        <v>250.17147737747007</v>
      </c>
      <c r="BJ10" s="62">
        <f t="shared" si="38"/>
        <v>172.25613380618552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3.982088802090022</v>
      </c>
      <c r="CA10" s="14">
        <f t="shared" si="39"/>
        <v>1.5624642602705792</v>
      </c>
      <c r="CB10" s="22">
        <f t="shared" si="10"/>
        <v>9.6567632502780452</v>
      </c>
      <c r="CC10" s="62">
        <f t="shared" si="11"/>
        <v>274.87898547250029</v>
      </c>
      <c r="CD10" s="62">
        <f ca="1">AVERAGE(OFFSET($CC$3,0,0,'Données projet'!$E$12+1,1))-AVERAGE(OFFSET($H$3,0,0,'Données projet'!$E$12+1,1))</f>
        <v>311.71521576048417</v>
      </c>
      <c r="CE10" s="62">
        <f t="shared" si="40"/>
        <v>208.54841796921403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5.5909090909090908</v>
      </c>
      <c r="CT10" s="13">
        <f>IF('Données projet'!$A$140&gt;35,CT9+CS10-DB9,IF(A10&lt;'Données projet'!$A$140,$CQ$205^A10,IF(A10='Données projet'!$A$140,'Données projet'!$B$140,CT9+CS10-DB9)))</f>
        <v>4.6234887814743333</v>
      </c>
      <c r="CU10" s="18">
        <f>CT10*VLOOKUP('Données projet'!$B$13,Paramètres!$A$1:$I$89,3,0)*VLOOKUP('Données projet'!$B$13,Paramètres!$A$1:$I$89,5,0)</f>
        <v>2.7648462913216516</v>
      </c>
      <c r="CV10" s="14">
        <f t="shared" si="41"/>
        <v>1.1319117118000401</v>
      </c>
      <c r="CW10" s="22">
        <f t="shared" si="13"/>
        <v>6.7868535221036126</v>
      </c>
      <c r="CX10" s="62">
        <f t="shared" si="14"/>
        <v>272.00907574432586</v>
      </c>
      <c r="CY10" s="62">
        <f ca="1">AVERAGE(OFFSET($CX$3,0,0,'Données projet'!$E$13+1,1))-AVERAGE(OFFSET($H$3,0,0,'Données projet'!$E$13+1,1))</f>
        <v>280.47174439810988</v>
      </c>
      <c r="CZ10" s="62">
        <f t="shared" si="42"/>
        <v>231.19476400361157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2.95</v>
      </c>
      <c r="DO10" s="13">
        <f>IF('Données projet'!$A$166&gt;35,DO9+DN10-DW9,IF(A10&lt;'Données projet'!$A$166,$DL$205^A10,IF(A10='Données projet'!$A$166,'Données projet'!$B$166,DO9+DN10-DW9)))</f>
        <v>4.1667572915140969</v>
      </c>
      <c r="DP10" s="18">
        <f>DO10*VLOOKUP('Données projet'!$B$14,Paramètres!$A$1:$I$89,3,0)*VLOOKUP('Données projet'!$B$14,Paramètres!$A$1:$I$89,5,0)</f>
        <v>2.4917208603254299</v>
      </c>
      <c r="DQ10" s="14">
        <f t="shared" si="43"/>
        <v>1.0325210732627135</v>
      </c>
      <c r="DR10" s="22">
        <f t="shared" si="16"/>
        <v>6.1380547009993505</v>
      </c>
      <c r="DS10" s="62">
        <f t="shared" si="17"/>
        <v>271.36027692322159</v>
      </c>
      <c r="DT10" s="62">
        <f ca="1">AVERAGE(OFFSET($DS$3,0,0,'Données projet'!$E$14+1,1))-AVERAGE(OFFSET($H$3,0,0,'Données projet'!$E$14+1,1))</f>
        <v>282.98919020956595</v>
      </c>
      <c r="DU10" s="62">
        <f t="shared" si="44"/>
        <v>182.23565317232647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9">
        <f t="shared" si="1"/>
        <v>273.60002985401661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4.0476666666666672</v>
      </c>
      <c r="N11" s="14">
        <f>IF('Données projet'!$A$36&gt;35,N10+M11-V10,IF(A11&lt;'Données projet'!$A$36,$K$205^A11,IF(A11='Données projet'!$A$36,'Données projet'!$B$36,N10+M11-V10)))</f>
        <v>3.5960048213096187</v>
      </c>
      <c r="O11" s="14">
        <f>N11*VLOOKUP('Données projet'!$B$9,Paramètres!$A$1:$I$89,3,0)*VLOOKUP('Données projet'!$B$9,Paramètres!$A$1:$I$89,5,0)</f>
        <v>1.6829302563729016</v>
      </c>
      <c r="P11" s="14">
        <f t="shared" si="33"/>
        <v>0.72996844535097327</v>
      </c>
      <c r="Q11" s="22">
        <f t="shared" si="2"/>
        <v>4.2024652388357486</v>
      </c>
      <c r="R11" s="62">
        <f t="shared" si="0"/>
        <v>270.64690968328023</v>
      </c>
      <c r="S11" s="62">
        <f ca="1">AVERAGE(OFFSET($R$3,0,0,'Données projet'!$E$9+1,1))-AVERAGE(OFFSET($H$3,0,0,'Données projet'!$E$9+1,1))</f>
        <v>172.62653085905839</v>
      </c>
      <c r="T11" s="62">
        <f t="shared" si="34"/>
        <v>103.0747749312265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289.36126704091066</v>
      </c>
      <c r="AO11" s="62">
        <f t="shared" si="36"/>
        <v>195.3674411454258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276.22547755046565</v>
      </c>
      <c r="BI11" s="62">
        <f ca="1">AVERAGE(OFFSET($BH$3,0,0,'Données projet'!$E$11+1,1))-AVERAGE(OFFSET($H$3,0,0,'Données projet'!$E$11+1,1))</f>
        <v>250.17147737747007</v>
      </c>
      <c r="BJ11" s="62">
        <f t="shared" si="38"/>
        <v>172.25613380618552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4.8003555456638995</v>
      </c>
      <c r="CA11" s="14">
        <f t="shared" si="39"/>
        <v>1.8429996203200378</v>
      </c>
      <c r="CB11" s="22">
        <f t="shared" si="10"/>
        <v>11.570510247422023</v>
      </c>
      <c r="CC11" s="62">
        <f t="shared" si="11"/>
        <v>278.01495469186648</v>
      </c>
      <c r="CD11" s="62">
        <f ca="1">AVERAGE(OFFSET($CC$3,0,0,'Données projet'!$E$12+1,1))-AVERAGE(OFFSET($H$3,0,0,'Données projet'!$E$12+1,1))</f>
        <v>311.71521576048417</v>
      </c>
      <c r="CE11" s="62">
        <f t="shared" si="40"/>
        <v>208.54841796921403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5.5909090909090908</v>
      </c>
      <c r="CT11" s="13">
        <f>IF('Données projet'!$A$140&gt;35,CT10+CS11-DB10,IF(A11&lt;'Données projet'!$A$140,$CQ$205^A11,IF(A11='Données projet'!$A$140,'Données projet'!$B$140,CT10+CS11-DB10)))</f>
        <v>5.7539422013952093</v>
      </c>
      <c r="CU11" s="18">
        <f>CT11*VLOOKUP('Données projet'!$B$13,Paramètres!$A$1:$I$89,3,0)*VLOOKUP('Données projet'!$B$13,Paramètres!$A$1:$I$89,5,0)</f>
        <v>3.4408574364343356</v>
      </c>
      <c r="CV11" s="14">
        <f t="shared" si="41"/>
        <v>1.3732535882427113</v>
      </c>
      <c r="CW11" s="22">
        <f t="shared" si="13"/>
        <v>8.3845767013125236</v>
      </c>
      <c r="CX11" s="62">
        <f t="shared" si="14"/>
        <v>274.829021145757</v>
      </c>
      <c r="CY11" s="62">
        <f ca="1">AVERAGE(OFFSET($CX$3,0,0,'Données projet'!$E$13+1,1))-AVERAGE(OFFSET($H$3,0,0,'Données projet'!$E$13+1,1))</f>
        <v>280.47174439810988</v>
      </c>
      <c r="CZ11" s="62">
        <f t="shared" si="42"/>
        <v>231.19476400361157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2.95</v>
      </c>
      <c r="DO11" s="13">
        <f>IF('Données projet'!$A$166&gt;35,DO10+DN11-DW10,IF(A11&lt;'Données projet'!$A$166,$DL$205^A11,IF(A11='Données projet'!$A$166,'Données projet'!$B$166,DO10+DN11-DW10)))</f>
        <v>5.1090576666998686</v>
      </c>
      <c r="DP11" s="18">
        <f>DO11*VLOOKUP('Données projet'!$B$14,Paramètres!$A$1:$I$89,3,0)*VLOOKUP('Données projet'!$B$14,Paramètres!$A$1:$I$89,5,0)</f>
        <v>3.0552164846865217</v>
      </c>
      <c r="DQ11" s="14">
        <f t="shared" si="43"/>
        <v>1.2363321588380636</v>
      </c>
      <c r="DR11" s="22">
        <f t="shared" si="16"/>
        <v>7.4744472208053194</v>
      </c>
      <c r="DS11" s="62">
        <f t="shared" si="17"/>
        <v>273.91889166524976</v>
      </c>
      <c r="DT11" s="62">
        <f ca="1">AVERAGE(OFFSET($DS$3,0,0,'Données projet'!$E$14+1,1))-AVERAGE(OFFSET($H$3,0,0,'Données projet'!$E$14+1,1))</f>
        <v>282.98919020956595</v>
      </c>
      <c r="DU11" s="62">
        <f t="shared" si="44"/>
        <v>182.23565317232647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9">
        <f t="shared" si="1"/>
        <v>275.64709565827621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4.0476666666666672</v>
      </c>
      <c r="N12" s="14">
        <f>IF('Données projet'!$A$36&gt;35,N11+M12-V11,IF(A12&lt;'Données projet'!$A$36,$K$205^A12,IF(A12='Données projet'!$A$36,'Données projet'!$B$36,N11+M12-V11)))</f>
        <v>4.2198576258127485</v>
      </c>
      <c r="O12" s="14">
        <f>N12*VLOOKUP('Données projet'!$B$9,Paramètres!$A$1:$I$89,3,0)*VLOOKUP('Données projet'!$B$9,Paramètres!$A$1:$I$89,5,0)</f>
        <v>1.9748933688803663</v>
      </c>
      <c r="P12" s="14">
        <f t="shared" si="33"/>
        <v>0.84080335392697747</v>
      </c>
      <c r="Q12" s="22">
        <f t="shared" si="2"/>
        <v>4.9040051255561234</v>
      </c>
      <c r="R12" s="62">
        <f t="shared" si="0"/>
        <v>272.57067179222281</v>
      </c>
      <c r="S12" s="62">
        <f ca="1">AVERAGE(OFFSET($R$3,0,0,'Données projet'!$E$9+1,1))-AVERAGE(OFFSET($H$3,0,0,'Données projet'!$E$9+1,1))</f>
        <v>172.62653085905839</v>
      </c>
      <c r="T12" s="62">
        <f t="shared" si="34"/>
        <v>103.0747749312265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289.36126704091066</v>
      </c>
      <c r="AO12" s="62">
        <f t="shared" si="36"/>
        <v>195.3674411454258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279.38615317116773</v>
      </c>
      <c r="BI12" s="62">
        <f ca="1">AVERAGE(OFFSET($BH$3,0,0,'Données projet'!$E$11+1,1))-AVERAGE(OFFSET($H$3,0,0,'Données projet'!$E$11+1,1))</f>
        <v>250.17147737747007</v>
      </c>
      <c r="BJ12" s="62">
        <f t="shared" si="38"/>
        <v>172.25613380618552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5.7867653159044812</v>
      </c>
      <c r="CA12" s="14">
        <f t="shared" si="39"/>
        <v>2.1739041889582755</v>
      </c>
      <c r="CB12" s="22">
        <f t="shared" si="10"/>
        <v>13.864832720969302</v>
      </c>
      <c r="CC12" s="62">
        <f t="shared" si="11"/>
        <v>281.53149938763596</v>
      </c>
      <c r="CD12" s="62">
        <f ca="1">AVERAGE(OFFSET($CC$3,0,0,'Données projet'!$E$12+1,1))-AVERAGE(OFFSET($H$3,0,0,'Données projet'!$E$12+1,1))</f>
        <v>311.71521576048417</v>
      </c>
      <c r="CE12" s="62">
        <f t="shared" si="40"/>
        <v>208.54841796921403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5.5909090909090908</v>
      </c>
      <c r="CT12" s="13">
        <f>IF('Données projet'!$A$140&gt;35,CT11+CS12-DB11,IF(A12&lt;'Données projet'!$A$140,$CQ$205^A12,IF(A12='Données projet'!$A$140,'Données projet'!$B$140,CT11+CS12-DB11)))</f>
        <v>7.1607940284521145</v>
      </c>
      <c r="CU12" s="18">
        <f>CT12*VLOOKUP('Données projet'!$B$13,Paramètres!$A$1:$I$89,3,0)*VLOOKUP('Données projet'!$B$13,Paramètres!$A$1:$I$89,5,0)</f>
        <v>4.2821548290143649</v>
      </c>
      <c r="CV12" s="14">
        <f t="shared" si="41"/>
        <v>1.6660534544894132</v>
      </c>
      <c r="CW12" s="22">
        <f t="shared" si="13"/>
        <v>10.359796093769079</v>
      </c>
      <c r="CX12" s="62">
        <f t="shared" si="14"/>
        <v>278.02646276043578</v>
      </c>
      <c r="CY12" s="62">
        <f ca="1">AVERAGE(OFFSET($CX$3,0,0,'Données projet'!$E$13+1,1))-AVERAGE(OFFSET($H$3,0,0,'Données projet'!$E$13+1,1))</f>
        <v>280.47174439810988</v>
      </c>
      <c r="CZ12" s="62">
        <f t="shared" si="42"/>
        <v>231.19476400361157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2.95</v>
      </c>
      <c r="DO12" s="13">
        <f>IF('Données projet'!$A$166&gt;35,DO11+DN12-DW11,IF(A12&lt;'Données projet'!$A$166,$DL$205^A12,IF(A12='Données projet'!$A$166,'Données projet'!$B$166,DO11+DN12-DW11)))</f>
        <v>6.2644566062977258</v>
      </c>
      <c r="DP12" s="18">
        <f>DO12*VLOOKUP('Données projet'!$B$14,Paramètres!$A$1:$I$89,3,0)*VLOOKUP('Données projet'!$B$14,Paramètres!$A$1:$I$89,5,0)</f>
        <v>3.7461450505660405</v>
      </c>
      <c r="DQ12" s="14">
        <f t="shared" si="43"/>
        <v>1.4803738602129943</v>
      </c>
      <c r="DR12" s="22">
        <f t="shared" si="16"/>
        <v>9.1028537696068188</v>
      </c>
      <c r="DS12" s="62">
        <f t="shared" si="17"/>
        <v>276.76952043627352</v>
      </c>
      <c r="DT12" s="62">
        <f ca="1">AVERAGE(OFFSET($DS$3,0,0,'Données projet'!$E$14+1,1))-AVERAGE(OFFSET($H$3,0,0,'Données projet'!$E$14+1,1))</f>
        <v>282.98919020956595</v>
      </c>
      <c r="DU12" s="62">
        <f t="shared" si="44"/>
        <v>182.23565317232647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9">
        <f t="shared" si="1"/>
        <v>277.68774337881695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4.0476666666666672</v>
      </c>
      <c r="N13" s="14">
        <f>IF('Données projet'!$A$36&gt;35,N12+M13-V12,IF(A13&lt;'Données projet'!$A$36,$K$205^A13,IF(A13='Données projet'!$A$36,'Données projet'!$B$36,N12+M13-V12)))</f>
        <v>4.9519395181580572</v>
      </c>
      <c r="O13" s="14">
        <f>N13*VLOOKUP('Données projet'!$B$9,Paramètres!$A$1:$I$89,3,0)*VLOOKUP('Données projet'!$B$9,Paramètres!$A$1:$I$89,5,0)</f>
        <v>2.3175076944979707</v>
      </c>
      <c r="P13" s="14">
        <f t="shared" si="33"/>
        <v>0.96846690357272658</v>
      </c>
      <c r="Q13" s="22">
        <f t="shared" si="2"/>
        <v>5.7230724249731315</v>
      </c>
      <c r="R13" s="62">
        <f t="shared" si="0"/>
        <v>274.61196131386197</v>
      </c>
      <c r="S13" s="62">
        <f ca="1">AVERAGE(OFFSET($R$3,0,0,'Données projet'!$E$9+1,1))-AVERAGE(OFFSET($H$3,0,0,'Données projet'!$E$9+1,1))</f>
        <v>172.62653085905839</v>
      </c>
      <c r="T13" s="62">
        <f t="shared" si="34"/>
        <v>103.0747749312265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289.36126704091066</v>
      </c>
      <c r="AO13" s="62">
        <f t="shared" si="36"/>
        <v>195.3674411454258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282.93233218914207</v>
      </c>
      <c r="BI13" s="62">
        <f ca="1">AVERAGE(OFFSET($BH$3,0,0,'Données projet'!$E$11+1,1))-AVERAGE(OFFSET($H$3,0,0,'Données projet'!$E$11+1,1))</f>
        <v>250.17147737747007</v>
      </c>
      <c r="BJ13" s="62">
        <f t="shared" si="38"/>
        <v>172.25613380618552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6.9758692877662263</v>
      </c>
      <c r="CA13" s="14">
        <f t="shared" si="39"/>
        <v>2.5642215932468222</v>
      </c>
      <c r="CB13" s="22">
        <f t="shared" si="10"/>
        <v>16.61565828443106</v>
      </c>
      <c r="CC13" s="62">
        <f t="shared" si="11"/>
        <v>285.50454717331991</v>
      </c>
      <c r="CD13" s="62">
        <f ca="1">AVERAGE(OFFSET($CC$3,0,0,'Données projet'!$E$12+1,1))-AVERAGE(OFFSET($H$3,0,0,'Données projet'!$E$12+1,1))</f>
        <v>311.71521576048417</v>
      </c>
      <c r="CE13" s="62">
        <f t="shared" si="40"/>
        <v>208.54841796921403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5.5909090909090908</v>
      </c>
      <c r="CT13" s="13">
        <f>IF('Données projet'!$A$140&gt;35,CT12+CS13-DB12,IF(A13&lt;'Données projet'!$A$140,$CQ$205^A13,IF(A13='Données projet'!$A$140,'Données projet'!$B$140,CT12+CS13-DB12)))</f>
        <v>8.9116242956840761</v>
      </c>
      <c r="CU13" s="18">
        <f>CT13*VLOOKUP('Données projet'!$B$13,Paramètres!$A$1:$I$89,3,0)*VLOOKUP('Données projet'!$B$13,Paramètres!$A$1:$I$89,5,0)</f>
        <v>5.3291513288190782</v>
      </c>
      <c r="CV13" s="14">
        <f t="shared" si="41"/>
        <v>2.0212829858817885</v>
      </c>
      <c r="CW13" s="22">
        <f t="shared" si="13"/>
        <v>12.802006431437341</v>
      </c>
      <c r="CX13" s="62">
        <f t="shared" si="14"/>
        <v>281.69089532032621</v>
      </c>
      <c r="CY13" s="62">
        <f ca="1">AVERAGE(OFFSET($CX$3,0,0,'Données projet'!$E$13+1,1))-AVERAGE(OFFSET($H$3,0,0,'Données projet'!$E$13+1,1))</f>
        <v>280.47174439810988</v>
      </c>
      <c r="CZ13" s="62">
        <f t="shared" si="42"/>
        <v>231.19476400361157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2.95</v>
      </c>
      <c r="DO13" s="13">
        <f>IF('Données projet'!$A$166&gt;35,DO12+DN13-DW12,IF(A13&lt;'Données projet'!$A$166,$DL$205^A13,IF(A13='Données projet'!$A$166,'Données projet'!$B$166,DO12+DN13-DW12)))</f>
        <v>7.6811457478686105</v>
      </c>
      <c r="DP13" s="18">
        <f>DO13*VLOOKUP('Données projet'!$B$14,Paramètres!$A$1:$I$89,3,0)*VLOOKUP('Données projet'!$B$14,Paramètres!$A$1:$I$89,5,0)</f>
        <v>4.5933251572254292</v>
      </c>
      <c r="DQ13" s="14">
        <f t="shared" si="43"/>
        <v>1.7725873668622805</v>
      </c>
      <c r="DR13" s="22">
        <f t="shared" si="16"/>
        <v>11.087297646119426</v>
      </c>
      <c r="DS13" s="62">
        <f t="shared" si="17"/>
        <v>279.97618653500831</v>
      </c>
      <c r="DT13" s="62">
        <f ca="1">AVERAGE(OFFSET($DS$3,0,0,'Données projet'!$E$14+1,1))-AVERAGE(OFFSET($H$3,0,0,'Données projet'!$E$14+1,1))</f>
        <v>282.98919020956595</v>
      </c>
      <c r="DU13" s="62">
        <f t="shared" si="44"/>
        <v>182.23565317232647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9">
        <f t="shared" si="1"/>
        <v>279.72268788563707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4.0476666666666672</v>
      </c>
      <c r="N14" s="14">
        <f>IF('Données projet'!$A$36&gt;35,N13+M14-V13,IF(A14&lt;'Données projet'!$A$36,$K$205^A14,IF(A14='Données projet'!$A$36,'Données projet'!$B$36,N13+M14-V13)))</f>
        <v>5.8110266188832735</v>
      </c>
      <c r="O14" s="14">
        <f>N14*VLOOKUP('Données projet'!$B$9,Paramètres!$A$1:$I$89,3,0)*VLOOKUP('Données projet'!$B$9,Paramètres!$A$1:$I$89,5,0)</f>
        <v>2.719560457637372</v>
      </c>
      <c r="P14" s="14">
        <f t="shared" si="33"/>
        <v>1.1155142744556685</v>
      </c>
      <c r="Q14" s="22">
        <f t="shared" si="2"/>
        <v>6.6794218250620458</v>
      </c>
      <c r="R14" s="62">
        <f t="shared" si="0"/>
        <v>276.79053293617318</v>
      </c>
      <c r="S14" s="62">
        <f ca="1">AVERAGE(OFFSET($R$3,0,0,'Données projet'!$E$9+1,1))-AVERAGE(OFFSET($H$3,0,0,'Données projet'!$E$9+1,1))</f>
        <v>172.62653085905839</v>
      </c>
      <c r="T14" s="62">
        <f t="shared" si="34"/>
        <v>103.0747749312265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289.36126704091066</v>
      </c>
      <c r="AO14" s="62">
        <f t="shared" si="36"/>
        <v>195.3674411454258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286.94092810276993</v>
      </c>
      <c r="BI14" s="62">
        <f ca="1">AVERAGE(OFFSET($BH$3,0,0,'Données projet'!$E$11+1,1))-AVERAGE(OFFSET($H$3,0,0,'Données projet'!$E$11+1,1))</f>
        <v>250.17147737747007</v>
      </c>
      <c r="BJ14" s="62">
        <f t="shared" si="38"/>
        <v>172.25613380618552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8.4093184470872249</v>
      </c>
      <c r="CA14" s="14">
        <f t="shared" si="39"/>
        <v>3.0246192139792929</v>
      </c>
      <c r="CB14" s="22">
        <f t="shared" si="10"/>
        <v>19.914108093024186</v>
      </c>
      <c r="CC14" s="62">
        <f t="shared" si="11"/>
        <v>290.02521920413534</v>
      </c>
      <c r="CD14" s="62">
        <f ca="1">AVERAGE(OFFSET($CC$3,0,0,'Données projet'!$E$12+1,1))-AVERAGE(OFFSET($H$3,0,0,'Données projet'!$E$12+1,1))</f>
        <v>311.71521576048417</v>
      </c>
      <c r="CE14" s="62">
        <f t="shared" si="40"/>
        <v>208.54841796921403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5.5909090909090908</v>
      </c>
      <c r="CT14" s="13">
        <f>IF('Données projet'!$A$140&gt;35,CT13+CS14-DB13,IF(A14&lt;'Données projet'!$A$140,$CQ$205^A14,IF(A14='Données projet'!$A$140,'Données projet'!$B$140,CT13+CS14-DB13)))</f>
        <v>11.090536506409412</v>
      </c>
      <c r="CU14" s="18">
        <f>CT14*VLOOKUP('Données projet'!$B$13,Paramètres!$A$1:$I$89,3,0)*VLOOKUP('Données projet'!$B$13,Paramètres!$A$1:$I$89,5,0)</f>
        <v>6.6321408308328289</v>
      </c>
      <c r="CV14" s="14">
        <f t="shared" si="41"/>
        <v>2.4522531963221348</v>
      </c>
      <c r="CW14" s="22">
        <f t="shared" si="13"/>
        <v>15.821986263961561</v>
      </c>
      <c r="CX14" s="62">
        <f t="shared" si="14"/>
        <v>285.93309737507269</v>
      </c>
      <c r="CY14" s="62">
        <f ca="1">AVERAGE(OFFSET($CX$3,0,0,'Données projet'!$E$13+1,1))-AVERAGE(OFFSET($H$3,0,0,'Données projet'!$E$13+1,1))</f>
        <v>280.47174439810988</v>
      </c>
      <c r="CZ14" s="62">
        <f t="shared" si="42"/>
        <v>231.19476400361157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2.95</v>
      </c>
      <c r="DO14" s="13">
        <f>IF('Données projet'!$A$166&gt;35,DO13+DN14-DW13,IF(A14&lt;'Données projet'!$A$166,$DL$205^A14,IF(A14='Données projet'!$A$166,'Données projet'!$B$166,DO13+DN14-DW13)))</f>
        <v>9.4182151314906868</v>
      </c>
      <c r="DP14" s="18">
        <f>DO14*VLOOKUP('Données projet'!$B$14,Paramètres!$A$1:$I$89,3,0)*VLOOKUP('Données projet'!$B$14,Paramètres!$A$1:$I$89,5,0)</f>
        <v>5.6320926486314313</v>
      </c>
      <c r="DQ14" s="14">
        <f t="shared" si="43"/>
        <v>2.1224813931175985</v>
      </c>
      <c r="DR14" s="22">
        <f t="shared" si="16"/>
        <v>13.505883122712893</v>
      </c>
      <c r="DS14" s="62">
        <f t="shared" si="17"/>
        <v>283.61699423382402</v>
      </c>
      <c r="DT14" s="62">
        <f ca="1">AVERAGE(OFFSET($DS$3,0,0,'Données projet'!$E$14+1,1))-AVERAGE(OFFSET($H$3,0,0,'Données projet'!$E$14+1,1))</f>
        <v>282.98919020956595</v>
      </c>
      <c r="DU14" s="62">
        <f t="shared" si="44"/>
        <v>182.23565317232647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9">
        <f t="shared" si="1"/>
        <v>281.75250661735487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4.0476666666666672</v>
      </c>
      <c r="N15" s="14">
        <f>IF('Données projet'!$A$36&gt;35,N14+M15-V14,IF(A15&lt;'Données projet'!$A$36,$K$205^A15,IF(A15='Données projet'!$A$36,'Données projet'!$B$36,N14+M15-V14)))</f>
        <v>6.8191524233176528</v>
      </c>
      <c r="O15" s="14">
        <f>N15*VLOOKUP('Données projet'!$B$9,Paramètres!$A$1:$I$89,3,0)*VLOOKUP('Données projet'!$B$9,Paramètres!$A$1:$I$89,5,0)</f>
        <v>3.1913633341126615</v>
      </c>
      <c r="P15" s="14">
        <f t="shared" si="33"/>
        <v>1.2848886130479014</v>
      </c>
      <c r="Q15" s="22">
        <f t="shared" si="2"/>
        <v>7.796138807971313</v>
      </c>
      <c r="R15" s="62">
        <f t="shared" si="0"/>
        <v>279.12947214130463</v>
      </c>
      <c r="S15" s="62">
        <f ca="1">AVERAGE(OFFSET($R$3,0,0,'Données projet'!$E$9+1,1))-AVERAGE(OFFSET($H$3,0,0,'Données projet'!$E$9+1,1))</f>
        <v>172.62653085905839</v>
      </c>
      <c r="T15" s="62">
        <f t="shared" si="34"/>
        <v>103.0747749312265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289.36126704091066</v>
      </c>
      <c r="AO15" s="62">
        <f t="shared" si="36"/>
        <v>195.3674411454258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291.50424573777804</v>
      </c>
      <c r="BI15" s="62">
        <f ca="1">AVERAGE(OFFSET($BH$3,0,0,'Données projet'!$E$11+1,1))-AVERAGE(OFFSET($H$3,0,0,'Données projet'!$E$11+1,1))</f>
        <v>250.17147737747007</v>
      </c>
      <c r="BJ15" s="62">
        <f t="shared" si="38"/>
        <v>172.25613380618552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10.137322508112241</v>
      </c>
      <c r="CA15" s="14">
        <f t="shared" si="39"/>
        <v>3.5676797253661268</v>
      </c>
      <c r="CB15" s="22">
        <f t="shared" si="10"/>
        <v>23.869545556641487</v>
      </c>
      <c r="CC15" s="62">
        <f t="shared" si="11"/>
        <v>295.20287888997478</v>
      </c>
      <c r="CD15" s="62">
        <f ca="1">AVERAGE(OFFSET($CC$3,0,0,'Données projet'!$E$12+1,1))-AVERAGE(OFFSET($H$3,0,0,'Données projet'!$E$12+1,1))</f>
        <v>311.71521576048417</v>
      </c>
      <c r="CE15" s="62">
        <f t="shared" si="40"/>
        <v>208.54841796921403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5.5909090909090908</v>
      </c>
      <c r="CT15" s="13">
        <f>IF('Données projet'!$A$140&gt;35,CT14+CS15-DB14,IF(A15&lt;'Données projet'!$A$140,$CQ$205^A15,IF(A15='Données projet'!$A$140,'Données projet'!$B$140,CT14+CS15-DB14)))</f>
        <v>13.802197659922571</v>
      </c>
      <c r="CU15" s="18">
        <f>CT15*VLOOKUP('Données projet'!$B$13,Paramètres!$A$1:$I$89,3,0)*VLOOKUP('Données projet'!$B$13,Paramètres!$A$1:$I$89,5,0)</f>
        <v>8.2537142006336985</v>
      </c>
      <c r="CV15" s="14">
        <f t="shared" si="41"/>
        <v>2.9751132230743558</v>
      </c>
      <c r="CW15" s="22">
        <f t="shared" si="13"/>
        <v>19.556874429624859</v>
      </c>
      <c r="CX15" s="62">
        <f t="shared" si="14"/>
        <v>290.8902077629582</v>
      </c>
      <c r="CY15" s="62">
        <f ca="1">AVERAGE(OFFSET($CX$3,0,0,'Données projet'!$E$13+1,1))-AVERAGE(OFFSET($H$3,0,0,'Données projet'!$E$13+1,1))</f>
        <v>280.47174439810988</v>
      </c>
      <c r="CZ15" s="62">
        <f t="shared" si="42"/>
        <v>231.19476400361157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2.95</v>
      </c>
      <c r="DO15" s="13">
        <f>IF('Données projet'!$A$166&gt;35,DO14+DN15-DW14,IF(A15&lt;'Données projet'!$A$166,$DL$205^A15,IF(A15='Données projet'!$A$166,'Données projet'!$B$166,DO14+DN15-DW14)))</f>
        <v>11.548117842660865</v>
      </c>
      <c r="DP15" s="18">
        <f>DO15*VLOOKUP('Données projet'!$B$14,Paramètres!$A$1:$I$89,3,0)*VLOOKUP('Données projet'!$B$14,Paramètres!$A$1:$I$89,5,0)</f>
        <v>6.905774469911198</v>
      </c>
      <c r="DQ15" s="14">
        <f t="shared" si="43"/>
        <v>2.5414415945571998</v>
      </c>
      <c r="DR15" s="22">
        <f t="shared" si="16"/>
        <v>16.453901312282458</v>
      </c>
      <c r="DS15" s="62">
        <f t="shared" si="17"/>
        <v>287.7872346456158</v>
      </c>
      <c r="DT15" s="62">
        <f ca="1">AVERAGE(OFFSET($DS$3,0,0,'Données projet'!$E$14+1,1))-AVERAGE(OFFSET($H$3,0,0,'Données projet'!$E$14+1,1))</f>
        <v>282.98919020956595</v>
      </c>
      <c r="DU15" s="62">
        <f t="shared" si="44"/>
        <v>182.23565317232647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9">
        <f t="shared" si="1"/>
        <v>283.77767528482127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4.0476666666666672</v>
      </c>
      <c r="N16" s="14">
        <f>IF('Données projet'!$A$36&gt;35,N15+M16-V15,IF(A16&lt;'Données projet'!$A$36,$K$205^A16,IF(A16='Données projet'!$A$36,'Données projet'!$B$36,N15+M16-V15)))</f>
        <v>8.0021729071644234</v>
      </c>
      <c r="O16" s="14">
        <f>N16*VLOOKUP('Données projet'!$B$9,Paramètres!$A$1:$I$89,3,0)*VLOOKUP('Données projet'!$B$9,Paramètres!$A$1:$I$89,5,0)</f>
        <v>3.74501692055295</v>
      </c>
      <c r="P16" s="14">
        <f t="shared" si="33"/>
        <v>1.4799799390695914</v>
      </c>
      <c r="Q16" s="22">
        <f t="shared" si="2"/>
        <v>9.1002028638425916</v>
      </c>
      <c r="R16" s="62">
        <f t="shared" si="0"/>
        <v>281.65575841939813</v>
      </c>
      <c r="S16" s="62">
        <f ca="1">AVERAGE(OFFSET($R$3,0,0,'Données projet'!$E$9+1,1))-AVERAGE(OFFSET($H$3,0,0,'Données projet'!$E$9+1,1))</f>
        <v>172.62653085905839</v>
      </c>
      <c r="T16" s="62">
        <f t="shared" si="34"/>
        <v>103.0747749312265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289.36126704091066</v>
      </c>
      <c r="AO16" s="62">
        <f t="shared" si="36"/>
        <v>195.3674411454258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296.73306974060051</v>
      </c>
      <c r="BI16" s="62">
        <f ca="1">AVERAGE(OFFSET($BH$3,0,0,'Données projet'!$E$11+1,1))-AVERAGE(OFFSET($H$3,0,0,'Données projet'!$E$11+1,1))</f>
        <v>250.17147737747007</v>
      </c>
      <c r="BJ16" s="62">
        <f t="shared" si="38"/>
        <v>172.25613380618552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12.220408619330426</v>
      </c>
      <c r="CA16" s="14">
        <f t="shared" si="39"/>
        <v>4.2082449797185175</v>
      </c>
      <c r="CB16" s="22">
        <f t="shared" si="10"/>
        <v>28.613238351676909</v>
      </c>
      <c r="CC16" s="62">
        <f t="shared" si="11"/>
        <v>301.16879390723244</v>
      </c>
      <c r="CD16" s="62">
        <f ca="1">AVERAGE(OFFSET($CC$3,0,0,'Données projet'!$E$12+1,1))-AVERAGE(OFFSET($H$3,0,0,'Données projet'!$E$12+1,1))</f>
        <v>311.71521576048417</v>
      </c>
      <c r="CE16" s="62">
        <f t="shared" si="40"/>
        <v>208.54841796921403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5.5909090909090908</v>
      </c>
      <c r="CT16" s="13">
        <f>IF('Données projet'!$A$140&gt;35,CT15+CS16-DB15,IF(A16&lt;'Données projet'!$A$140,$CQ$205^A16,IF(A16='Données projet'!$A$140,'Données projet'!$B$140,CT15+CS16-DB15)))</f>
        <v>17.17686607257264</v>
      </c>
      <c r="CU16" s="18">
        <f>CT16*VLOOKUP('Données projet'!$B$13,Paramètres!$A$1:$I$89,3,0)*VLOOKUP('Données projet'!$B$13,Paramètres!$A$1:$I$89,5,0)</f>
        <v>10.27176591139844</v>
      </c>
      <c r="CV16" s="14">
        <f t="shared" si="41"/>
        <v>3.609455460548272</v>
      </c>
      <c r="CW16" s="22">
        <f t="shared" si="13"/>
        <v>24.176460556140523</v>
      </c>
      <c r="CX16" s="62">
        <f t="shared" si="14"/>
        <v>296.73201611169605</v>
      </c>
      <c r="CY16" s="62">
        <f ca="1">AVERAGE(OFFSET($CX$3,0,0,'Données projet'!$E$13+1,1))-AVERAGE(OFFSET($H$3,0,0,'Données projet'!$E$13+1,1))</f>
        <v>280.47174439810988</v>
      </c>
      <c r="CZ16" s="62">
        <f t="shared" si="42"/>
        <v>231.19476400361157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2.95</v>
      </c>
      <c r="DO16" s="13">
        <f>IF('Données projet'!$A$166&gt;35,DO15+DN16-DW15,IF(A16&lt;'Données projet'!$A$166,$DL$205^A16,IF(A16='Données projet'!$A$166,'Données projet'!$B$166,DO15+DN16-DW15)))</f>
        <v>14.159692027216899</v>
      </c>
      <c r="DP16" s="18">
        <f>DO16*VLOOKUP('Données projet'!$B$14,Paramètres!$A$1:$I$89,3,0)*VLOOKUP('Données projet'!$B$14,Paramètres!$A$1:$I$89,5,0)</f>
        <v>8.4674958322757057</v>
      </c>
      <c r="DQ16" s="14">
        <f t="shared" si="43"/>
        <v>3.0431010606214413</v>
      </c>
      <c r="DR16" s="22">
        <f t="shared" si="16"/>
        <v>20.047622921795863</v>
      </c>
      <c r="DS16" s="62">
        <f t="shared" si="17"/>
        <v>292.60317847735143</v>
      </c>
      <c r="DT16" s="62">
        <f ca="1">AVERAGE(OFFSET($DS$3,0,0,'Données projet'!$E$14+1,1))-AVERAGE(OFFSET($H$3,0,0,'Données projet'!$E$14+1,1))</f>
        <v>282.98919020956595</v>
      </c>
      <c r="DU16" s="62">
        <f t="shared" si="44"/>
        <v>182.23565317232647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9">
        <f t="shared" si="1"/>
        <v>285.79859225515048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4.0476666666666672</v>
      </c>
      <c r="N17" s="14">
        <f>IF('Données projet'!$A$36&gt;35,N16+M17-V16,IF(A17&lt;'Données projet'!$A$36,$K$205^A17,IF(A17='Données projet'!$A$36,'Données projet'!$B$36,N16+M17-V16)))</f>
        <v>9.3904296694107554</v>
      </c>
      <c r="O17" s="14">
        <f>N17*VLOOKUP('Données projet'!$B$9,Paramètres!$A$1:$I$89,3,0)*VLOOKUP('Données projet'!$B$9,Paramètres!$A$1:$I$89,5,0)</f>
        <v>4.3947210852842336</v>
      </c>
      <c r="P17" s="14">
        <f t="shared" si="33"/>
        <v>1.704692996580222</v>
      </c>
      <c r="Q17" s="22">
        <f t="shared" si="2"/>
        <v>10.623146192580593</v>
      </c>
      <c r="R17" s="62">
        <f t="shared" si="0"/>
        <v>284.40092397035835</v>
      </c>
      <c r="S17" s="62">
        <f ca="1">AVERAGE(OFFSET($R$3,0,0,'Données projet'!$E$9+1,1))-AVERAGE(OFFSET($H$3,0,0,'Données projet'!$E$9+1,1))</f>
        <v>172.62653085905839</v>
      </c>
      <c r="T17" s="62">
        <f t="shared" si="34"/>
        <v>103.0747749312265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289.36126704091066</v>
      </c>
      <c r="AO17" s="62">
        <f t="shared" si="36"/>
        <v>195.3674411454258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302.76037439017989</v>
      </c>
      <c r="BI17" s="62">
        <f ca="1">AVERAGE(OFFSET($BH$3,0,0,'Données projet'!$E$11+1,1))-AVERAGE(OFFSET($H$3,0,0,'Données projet'!$E$11+1,1))</f>
        <v>250.17147737747007</v>
      </c>
      <c r="BJ17" s="62">
        <f t="shared" si="38"/>
        <v>172.25613380618552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14.731541460173487</v>
      </c>
      <c r="CA17" s="14">
        <f t="shared" si="39"/>
        <v>4.9638216355053304</v>
      </c>
      <c r="CB17" s="22">
        <f t="shared" si="10"/>
        <v>34.302757391640604</v>
      </c>
      <c r="CC17" s="62">
        <f t="shared" si="11"/>
        <v>308.0805351694184</v>
      </c>
      <c r="CD17" s="62">
        <f ca="1">AVERAGE(OFFSET($CC$3,0,0,'Données projet'!$E$12+1,1))-AVERAGE(OFFSET($H$3,0,0,'Données projet'!$E$12+1,1))</f>
        <v>311.71521576048417</v>
      </c>
      <c r="CE17" s="62">
        <f t="shared" si="40"/>
        <v>208.54841796921403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5.5909090909090908</v>
      </c>
      <c r="CT17" s="13">
        <f>IF('Données projet'!$A$140&gt;35,CT16+CS17-DB16,IF(A17&lt;'Données projet'!$A$140,$CQ$205^A17,IF(A17='Données projet'!$A$140,'Données projet'!$B$140,CT16+CS17-DB16)))</f>
        <v>21.376648512419013</v>
      </c>
      <c r="CU17" s="18">
        <f>CT17*VLOOKUP('Données projet'!$B$13,Paramètres!$A$1:$I$89,3,0)*VLOOKUP('Données projet'!$B$13,Paramètres!$A$1:$I$89,5,0)</f>
        <v>12.783235810426572</v>
      </c>
      <c r="CV17" s="14">
        <f t="shared" si="41"/>
        <v>4.3790497183898731</v>
      </c>
      <c r="CW17" s="22">
        <f t="shared" si="13"/>
        <v>29.890980629355308</v>
      </c>
      <c r="CX17" s="62">
        <f t="shared" si="14"/>
        <v>303.66875840713305</v>
      </c>
      <c r="CY17" s="62">
        <f ca="1">AVERAGE(OFFSET($CX$3,0,0,'Données projet'!$E$13+1,1))-AVERAGE(OFFSET($H$3,0,0,'Données projet'!$E$13+1,1))</f>
        <v>280.47174439810988</v>
      </c>
      <c r="CZ17" s="62">
        <f t="shared" si="42"/>
        <v>231.19476400361157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2.95</v>
      </c>
      <c r="DO17" s="13">
        <f>IF('Données projet'!$A$166&gt;35,DO16+DN17-DW16,IF(A17&lt;'Données projet'!$A$166,$DL$205^A17,IF(A17='Données projet'!$A$166,'Données projet'!$B$166,DO16+DN17-DW16)))</f>
        <v>17.361866326385897</v>
      </c>
      <c r="DP17" s="18">
        <f>DO17*VLOOKUP('Données projet'!$B$14,Paramètres!$A$1:$I$89,3,0)*VLOOKUP('Données projet'!$B$14,Paramètres!$A$1:$I$89,5,0)</f>
        <v>10.382396063178767</v>
      </c>
      <c r="DQ17" s="14">
        <f t="shared" si="43"/>
        <v>3.6437839393939777</v>
      </c>
      <c r="DR17" s="22">
        <f t="shared" si="16"/>
        <v>24.428930171147528</v>
      </c>
      <c r="DS17" s="62">
        <f t="shared" si="17"/>
        <v>298.20670794892533</v>
      </c>
      <c r="DT17" s="62">
        <f ca="1">AVERAGE(OFFSET($DS$3,0,0,'Données projet'!$E$14+1,1))-AVERAGE(OFFSET($H$3,0,0,'Données projet'!$E$14+1,1))</f>
        <v>282.98919020956595</v>
      </c>
      <c r="DU17" s="62">
        <f t="shared" si="44"/>
        <v>182.23565317232647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9">
        <f t="shared" si="1"/>
        <v>287.81559576110328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4.0476666666666672</v>
      </c>
      <c r="N18" s="14">
        <f>IF('Données projet'!$A$36&gt;35,N17+M18-V17,IF(A18&lt;'Données projet'!$A$36,$K$205^A18,IF(A18='Données projet'!$A$36,'Données projet'!$B$36,N17+M18-V17)))</f>
        <v>11.019528120568506</v>
      </c>
      <c r="O18" s="14">
        <f>N18*VLOOKUP('Données projet'!$B$9,Paramètres!$A$1:$I$89,3,0)*VLOOKUP('Données projet'!$B$9,Paramètres!$A$1:$I$89,5,0)</f>
        <v>5.1571391604260608</v>
      </c>
      <c r="P18" s="14">
        <f t="shared" si="33"/>
        <v>1.9635254072541937</v>
      </c>
      <c r="Q18" s="22">
        <f t="shared" si="2"/>
        <v>12.401824122043109</v>
      </c>
      <c r="R18" s="62">
        <f t="shared" si="0"/>
        <v>287.40182412204308</v>
      </c>
      <c r="S18" s="62">
        <f ca="1">AVERAGE(OFFSET($R$3,0,0,'Données projet'!$E$9+1,1))-AVERAGE(OFFSET($H$3,0,0,'Données projet'!$E$9+1,1))</f>
        <v>172.62653085905839</v>
      </c>
      <c r="T18" s="62">
        <f t="shared" si="34"/>
        <v>103.0747749312265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289.36126704091066</v>
      </c>
      <c r="AO18" s="62">
        <f t="shared" si="36"/>
        <v>195.3674411454258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309.74578000827665</v>
      </c>
      <c r="BI18" s="62">
        <f ca="1">AVERAGE(OFFSET($BH$3,0,0,'Données projet'!$E$11+1,1))-AVERAGE(OFFSET($H$3,0,0,'Données projet'!$E$11+1,1))</f>
        <v>250.17147737747007</v>
      </c>
      <c r="BJ18" s="62">
        <f t="shared" si="38"/>
        <v>172.25613380618552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17.758678989631132</v>
      </c>
      <c r="CA18" s="14">
        <f t="shared" si="39"/>
        <v>5.8550596146042126</v>
      </c>
      <c r="CB18" s="22">
        <f t="shared" si="10"/>
        <v>41.127261402376554</v>
      </c>
      <c r="CC18" s="62">
        <f t="shared" si="11"/>
        <v>316.12726140237658</v>
      </c>
      <c r="CD18" s="62">
        <f ca="1">AVERAGE(OFFSET($CC$3,0,0,'Données projet'!$E$12+1,1))-AVERAGE(OFFSET($H$3,0,0,'Données projet'!$E$12+1,1))</f>
        <v>311.71521576048417</v>
      </c>
      <c r="CE18" s="62">
        <f t="shared" si="40"/>
        <v>208.54841796921403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5.5909090909090908</v>
      </c>
      <c r="CT18" s="13">
        <f>IF('Données projet'!$A$140&gt;35,CT17+CS18-DB17,IF(A18&lt;'Données projet'!$A$140,$CQ$205^A18,IF(A18='Données projet'!$A$140,'Données projet'!$B$140,CT17+CS18-DB17)))</f>
        <v>26.603287217402478</v>
      </c>
      <c r="CU18" s="18">
        <f>CT18*VLOOKUP('Données projet'!$B$13,Paramètres!$A$1:$I$89,3,0)*VLOOKUP('Données projet'!$B$13,Paramètres!$A$1:$I$89,5,0)</f>
        <v>15.908765756006684</v>
      </c>
      <c r="CV18" s="14">
        <f t="shared" si="41"/>
        <v>5.312733913945455</v>
      </c>
      <c r="CW18" s="22">
        <f t="shared" si="13"/>
        <v>36.960778591833304</v>
      </c>
      <c r="CX18" s="62">
        <f t="shared" si="14"/>
        <v>311.96077859183333</v>
      </c>
      <c r="CY18" s="62">
        <f ca="1">AVERAGE(OFFSET($CX$3,0,0,'Données projet'!$E$13+1,1))-AVERAGE(OFFSET($H$3,0,0,'Données projet'!$E$13+1,1))</f>
        <v>280.47174439810988</v>
      </c>
      <c r="CZ18" s="62">
        <f t="shared" si="42"/>
        <v>231.19476400361157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2.95</v>
      </c>
      <c r="DO18" s="13">
        <f>IF('Données projet'!$A$166&gt;35,DO17+DN18-DW17,IF(A18&lt;'Données projet'!$A$166,$DL$205^A18,IF(A18='Données projet'!$A$166,'Données projet'!$B$166,DO17+DN18-DW17)))</f>
        <v>21.288203285487675</v>
      </c>
      <c r="DP18" s="18">
        <f>DO18*VLOOKUP('Données projet'!$B$14,Paramètres!$A$1:$I$89,3,0)*VLOOKUP('Données projet'!$B$14,Paramètres!$A$1:$I$89,5,0)</f>
        <v>12.730345564721631</v>
      </c>
      <c r="DQ18" s="14">
        <f t="shared" si="43"/>
        <v>4.3630366302307833</v>
      </c>
      <c r="DR18" s="22">
        <f t="shared" si="16"/>
        <v>29.770973989542124</v>
      </c>
      <c r="DS18" s="62">
        <f t="shared" si="17"/>
        <v>304.77097398954214</v>
      </c>
      <c r="DT18" s="62">
        <f ca="1">AVERAGE(OFFSET($DS$3,0,0,'Données projet'!$E$14+1,1))-AVERAGE(OFFSET($H$3,0,0,'Données projet'!$E$14+1,1))</f>
        <v>282.98919020956595</v>
      </c>
      <c r="DU18" s="62">
        <f t="shared" si="44"/>
        <v>182.23565317232647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9">
        <f t="shared" si="1"/>
        <v>289.82897638635399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4.0476666666666672</v>
      </c>
      <c r="N19" s="14">
        <f>IF('Données projet'!$A$36&gt;35,N18+M19-V18,IF(A19&lt;'Données projet'!$A$36,$K$205^A19,IF(A19='Données projet'!$A$36,'Données projet'!$B$36,N18+M19-V18)))</f>
        <v>12.931250674882023</v>
      </c>
      <c r="O19" s="14">
        <f>N19*VLOOKUP('Données projet'!$B$9,Paramètres!$A$1:$I$89,3,0)*VLOOKUP('Données projet'!$B$9,Paramètres!$A$1:$I$89,5,0)</f>
        <v>6.0518253158447859</v>
      </c>
      <c r="P19" s="14">
        <f t="shared" si="33"/>
        <v>2.2616576900750531</v>
      </c>
      <c r="Q19" s="22">
        <f t="shared" si="2"/>
        <v>14.479316235310385</v>
      </c>
      <c r="R19" s="62">
        <f t="shared" si="0"/>
        <v>290.70153845753259</v>
      </c>
      <c r="S19" s="62">
        <f ca="1">AVERAGE(OFFSET($R$3,0,0,'Données projet'!$E$9+1,1))-AVERAGE(OFFSET($H$3,0,0,'Données projet'!$E$9+1,1))</f>
        <v>172.62653085905839</v>
      </c>
      <c r="T19" s="62">
        <f t="shared" si="34"/>
        <v>103.0747749312265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289.36126704091066</v>
      </c>
      <c r="AO19" s="62">
        <f t="shared" si="36"/>
        <v>195.3674411454258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317.88090656215792</v>
      </c>
      <c r="BI19" s="62">
        <f ca="1">AVERAGE(OFFSET($BH$3,0,0,'Données projet'!$E$11+1,1))-AVERAGE(OFFSET($H$3,0,0,'Données projet'!$E$11+1,1))</f>
        <v>250.17147737747007</v>
      </c>
      <c r="BJ19" s="62">
        <f t="shared" si="38"/>
        <v>172.25613380618552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21.407853367508512</v>
      </c>
      <c r="CA19" s="14">
        <f t="shared" si="39"/>
        <v>6.906316464991046</v>
      </c>
      <c r="CB19" s="22">
        <f t="shared" si="10"/>
        <v>49.313845791603399</v>
      </c>
      <c r="CC19" s="62">
        <f t="shared" si="11"/>
        <v>325.53606801382563</v>
      </c>
      <c r="CD19" s="62">
        <f ca="1">AVERAGE(OFFSET($CC$3,0,0,'Données projet'!$E$12+1,1))-AVERAGE(OFFSET($H$3,0,0,'Données projet'!$E$12+1,1))</f>
        <v>311.71521576048417</v>
      </c>
      <c r="CE19" s="62">
        <f t="shared" si="40"/>
        <v>208.54841796921403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5.5909090909090908</v>
      </c>
      <c r="CT19" s="13">
        <f>IF('Données projet'!$A$140&gt;35,CT18+CS19-DB18,IF(A19&lt;'Données projet'!$A$140,$CQ$205^A19,IF(A19='Données projet'!$A$140,'Données projet'!$B$140,CT18+CS19-DB18)))</f>
        <v>33.107850856996748</v>
      </c>
      <c r="CU19" s="18">
        <f>CT19*VLOOKUP('Données projet'!$B$13,Paramètres!$A$1:$I$89,3,0)*VLOOKUP('Données projet'!$B$13,Paramètres!$A$1:$I$89,5,0)</f>
        <v>19.798494812484059</v>
      </c>
      <c r="CV19" s="14">
        <f t="shared" si="41"/>
        <v>6.4454946747588586</v>
      </c>
      <c r="CW19" s="22">
        <f t="shared" si="13"/>
        <v>45.70828169028141</v>
      </c>
      <c r="CX19" s="62">
        <f t="shared" si="14"/>
        <v>321.93050391250364</v>
      </c>
      <c r="CY19" s="62">
        <f ca="1">AVERAGE(OFFSET($CX$3,0,0,'Données projet'!$E$13+1,1))-AVERAGE(OFFSET($H$3,0,0,'Données projet'!$E$13+1,1))</f>
        <v>280.47174439810988</v>
      </c>
      <c r="CZ19" s="62">
        <f t="shared" si="42"/>
        <v>231.19476400361157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2.95</v>
      </c>
      <c r="DO19" s="13">
        <f>IF('Données projet'!$A$166&gt;35,DO18+DN19-DW18,IF(A19&lt;'Données projet'!$A$166,$DL$205^A19,IF(A19='Données projet'!$A$166,'Données projet'!$B$166,DO18+DN19-DW18)))</f>
        <v>26.102470241664705</v>
      </c>
      <c r="DP19" s="18">
        <f>DO19*VLOOKUP('Données projet'!$B$14,Paramètres!$A$1:$I$89,3,0)*VLOOKUP('Données projet'!$B$14,Paramètres!$A$1:$I$89,5,0)</f>
        <v>15.609277204515495</v>
      </c>
      <c r="DQ19" s="14">
        <f t="shared" si="43"/>
        <v>5.2242638294030153</v>
      </c>
      <c r="DR19" s="22">
        <f t="shared" si="16"/>
        <v>36.28508396740807</v>
      </c>
      <c r="DS19" s="62">
        <f t="shared" si="17"/>
        <v>312.5073061896303</v>
      </c>
      <c r="DT19" s="62">
        <f ca="1">AVERAGE(OFFSET($DS$3,0,0,'Données projet'!$E$14+1,1))-AVERAGE(OFFSET($H$3,0,0,'Données projet'!$E$14+1,1))</f>
        <v>282.98919020956595</v>
      </c>
      <c r="DU19" s="62">
        <f t="shared" si="44"/>
        <v>182.23565317232647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9">
        <f t="shared" si="1"/>
        <v>291.83898633863726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4.0476666666666672</v>
      </c>
      <c r="N20" s="14">
        <f>IF('Données projet'!$A$36&gt;35,N19+M20-V19,IF(A20&lt;'Données projet'!$A$36,$K$205^A20,IF(A20='Données projet'!$A$36,'Données projet'!$B$36,N19+M20-V19)))</f>
        <v>15.174628367662804</v>
      </c>
      <c r="O20" s="14">
        <f>N20*VLOOKUP('Données projet'!$B$9,Paramètres!$A$1:$I$89,3,0)*VLOOKUP('Données projet'!$B$9,Paramètres!$A$1:$I$89,5,0)</f>
        <v>7.1017260760661918</v>
      </c>
      <c r="P20" s="14">
        <f t="shared" si="33"/>
        <v>2.6050569491884543</v>
      </c>
      <c r="Q20" s="22">
        <f t="shared" si="2"/>
        <v>16.905980435651845</v>
      </c>
      <c r="R20" s="62">
        <f t="shared" si="0"/>
        <v>294.35042488009628</v>
      </c>
      <c r="S20" s="62">
        <f ca="1">AVERAGE(OFFSET($R$3,0,0,'Données projet'!$E$9+1,1))-AVERAGE(OFFSET($H$3,0,0,'Données projet'!$E$9+1,1))</f>
        <v>172.62653085905839</v>
      </c>
      <c r="T20" s="62">
        <f t="shared" si="34"/>
        <v>103.0747749312265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289.36126704091066</v>
      </c>
      <c r="AO20" s="62">
        <f t="shared" si="36"/>
        <v>195.3674411454258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327.39580549186149</v>
      </c>
      <c r="BI20" s="62">
        <f ca="1">AVERAGE(OFFSET($BH$3,0,0,'Données projet'!$E$11+1,1))-AVERAGE(OFFSET($H$3,0,0,'Données projet'!$E$11+1,1))</f>
        <v>250.17147737747007</v>
      </c>
      <c r="BJ20" s="62">
        <f t="shared" si="38"/>
        <v>172.25613380618552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25.80688496437903</v>
      </c>
      <c r="CA20" s="14">
        <f t="shared" si="39"/>
        <v>8.146323052908933</v>
      </c>
      <c r="CB20" s="22">
        <f t="shared" si="10"/>
        <v>59.135170630109862</v>
      </c>
      <c r="CC20" s="62">
        <f t="shared" si="11"/>
        <v>336.57961507455434</v>
      </c>
      <c r="CD20" s="62">
        <f ca="1">AVERAGE(OFFSET($CC$3,0,0,'Données projet'!$E$12+1,1))-AVERAGE(OFFSET($H$3,0,0,'Données projet'!$E$12+1,1))</f>
        <v>311.71521576048417</v>
      </c>
      <c r="CE20" s="62">
        <f t="shared" si="40"/>
        <v>208.54841796921403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5.5909090909090908</v>
      </c>
      <c r="CT20" s="13">
        <f>IF('Données projet'!$A$140&gt;35,CT19+CS20-DB19,IF(A20&lt;'Données projet'!$A$140,$CQ$205^A20,IF(A20='Données projet'!$A$140,'Données projet'!$B$140,CT19+CS20-DB19)))</f>
        <v>41.202794955809431</v>
      </c>
      <c r="CU20" s="18">
        <f>CT20*VLOOKUP('Données projet'!$B$13,Paramètres!$A$1:$I$89,3,0)*VLOOKUP('Données projet'!$B$13,Paramètres!$A$1:$I$89,5,0)</f>
        <v>24.639271383574041</v>
      </c>
      <c r="CV20" s="14">
        <f t="shared" si="41"/>
        <v>7.8197783429910519</v>
      </c>
      <c r="CW20" s="22">
        <f t="shared" si="13"/>
        <v>56.532844940434195</v>
      </c>
      <c r="CX20" s="62">
        <f t="shared" si="14"/>
        <v>333.97728938487865</v>
      </c>
      <c r="CY20" s="62">
        <f ca="1">AVERAGE(OFFSET($CX$3,0,0,'Données projet'!$E$13+1,1))-AVERAGE(OFFSET($H$3,0,0,'Données projet'!$E$13+1,1))</f>
        <v>280.47174439810988</v>
      </c>
      <c r="CZ20" s="62">
        <f t="shared" si="42"/>
        <v>231.19476400361157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2.95</v>
      </c>
      <c r="DO20" s="13">
        <f>IF('Données projet'!$A$166&gt;35,DO19+DN20-DW19,IF(A20&lt;'Données projet'!$A$166,$DL$205^A20,IF(A20='Données projet'!$A$166,'Données projet'!$B$166,DO19+DN20-DW19)))</f>
        <v>32.005470052114035</v>
      </c>
      <c r="DP20" s="18">
        <f>DO20*VLOOKUP('Données projet'!$B$14,Paramètres!$A$1:$I$89,3,0)*VLOOKUP('Données projet'!$B$14,Paramètres!$A$1:$I$89,5,0)</f>
        <v>19.139271091164193</v>
      </c>
      <c r="DQ20" s="14">
        <f t="shared" si="43"/>
        <v>6.2554901258679063</v>
      </c>
      <c r="DR20" s="22">
        <f t="shared" si="16"/>
        <v>44.229209119664233</v>
      </c>
      <c r="DS20" s="62">
        <f t="shared" si="17"/>
        <v>321.67365356410869</v>
      </c>
      <c r="DT20" s="62">
        <f ca="1">AVERAGE(OFFSET($DS$3,0,0,'Données projet'!$E$14+1,1))-AVERAGE(OFFSET($H$3,0,0,'Données projet'!$E$14+1,1))</f>
        <v>282.98919020956595</v>
      </c>
      <c r="DU20" s="62">
        <f t="shared" si="44"/>
        <v>182.23565317232647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9">
        <f t="shared" si="1"/>
        <v>293.8458464780249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4.0476666666666672</v>
      </c>
      <c r="N21" s="14">
        <f>IF('Données projet'!$A$36&gt;35,N20+M21-V20,IF(A21&lt;'Données projet'!$A$36,$K$205^A21,IF(A21='Données projet'!$A$36,'Données projet'!$B$36,N20+M21-V20)))</f>
        <v>17.807198382130004</v>
      </c>
      <c r="O21" s="14">
        <f>N21*VLOOKUP('Données projet'!$B$9,Paramètres!$A$1:$I$89,3,0)*VLOOKUP('Données projet'!$B$9,Paramètres!$A$1:$I$89,5,0)</f>
        <v>8.3337688428368413</v>
      </c>
      <c r="P21" s="14">
        <f t="shared" si="33"/>
        <v>3.0005963052215261</v>
      </c>
      <c r="Q21" s="22">
        <f t="shared" si="2"/>
        <v>19.740685966201656</v>
      </c>
      <c r="R21" s="62">
        <f t="shared" si="0"/>
        <v>298.40735263286837</v>
      </c>
      <c r="S21" s="62">
        <f ca="1">AVERAGE(OFFSET($R$3,0,0,'Données projet'!$E$9+1,1))-AVERAGE(OFFSET($H$3,0,0,'Données projet'!$E$9+1,1))</f>
        <v>172.62653085905839</v>
      </c>
      <c r="T21" s="62">
        <f t="shared" si="34"/>
        <v>103.0747749312265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289.36126704091066</v>
      </c>
      <c r="AO21" s="62">
        <f t="shared" si="36"/>
        <v>195.3674411454258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338.56668739624723</v>
      </c>
      <c r="BI21" s="62">
        <f ca="1">AVERAGE(OFFSET($BH$3,0,0,'Données projet'!$E$11+1,1))-AVERAGE(OFFSET($H$3,0,0,'Données projet'!$E$11+1,1))</f>
        <v>250.17147737747007</v>
      </c>
      <c r="BJ21" s="62">
        <f t="shared" si="38"/>
        <v>172.25613380618552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31.109859551611933</v>
      </c>
      <c r="CA21" s="14">
        <f t="shared" si="39"/>
        <v>9.6089687778941872</v>
      </c>
      <c r="CB21" s="22">
        <f t="shared" si="10"/>
        <v>70.918626007223153</v>
      </c>
      <c r="CC21" s="62">
        <f t="shared" si="11"/>
        <v>349.58529267388985</v>
      </c>
      <c r="CD21" s="62">
        <f ca="1">AVERAGE(OFFSET($CC$3,0,0,'Données projet'!$E$12+1,1))-AVERAGE(OFFSET($H$3,0,0,'Données projet'!$E$12+1,1))</f>
        <v>311.71521576048417</v>
      </c>
      <c r="CE21" s="62">
        <f t="shared" si="40"/>
        <v>208.54841796921403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5.5909090909090908</v>
      </c>
      <c r="CT21" s="13">
        <f>IF('Données projet'!$A$140&gt;35,CT20+CS21-DB20,IF(A21&lt;'Données projet'!$A$140,$CQ$205^A21,IF(A21='Données projet'!$A$140,'Données projet'!$B$140,CT20+CS21-DB20)))</f>
        <v>51.276971117915458</v>
      </c>
      <c r="CU21" s="18">
        <f>CT21*VLOOKUP('Données projet'!$B$13,Paramètres!$A$1:$I$89,3,0)*VLOOKUP('Données projet'!$B$13,Paramètres!$A$1:$I$89,5,0)</f>
        <v>30.663628728513448</v>
      </c>
      <c r="CV21" s="14">
        <f t="shared" si="41"/>
        <v>9.4870815071768995</v>
      </c>
      <c r="CW21" s="22">
        <f t="shared" si="13"/>
        <v>69.929153660494023</v>
      </c>
      <c r="CX21" s="62">
        <f t="shared" si="14"/>
        <v>348.59582032716071</v>
      </c>
      <c r="CY21" s="62">
        <f ca="1">AVERAGE(OFFSET($CX$3,0,0,'Données projet'!$E$13+1,1))-AVERAGE(OFFSET($H$3,0,0,'Données projet'!$E$13+1,1))</f>
        <v>280.47174439810988</v>
      </c>
      <c r="CZ21" s="62">
        <f t="shared" si="42"/>
        <v>231.19476400361157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2.95</v>
      </c>
      <c r="DO21" s="13">
        <f>IF('Données projet'!$A$166&gt;35,DO20+DN21-DW20,IF(A21&lt;'Données projet'!$A$166,$DL$205^A21,IF(A21='Données projet'!$A$166,'Données projet'!$B$166,DO20+DN21-DW20)))</f>
        <v>39.243416572187222</v>
      </c>
      <c r="DP21" s="18">
        <f>DO21*VLOOKUP('Données projet'!$B$14,Paramètres!$A$1:$I$89,3,0)*VLOOKUP('Données projet'!$B$14,Paramètres!$A$1:$I$89,5,0)</f>
        <v>23.467563110167958</v>
      </c>
      <c r="DQ21" s="14">
        <f t="shared" si="43"/>
        <v>7.4902719297203753</v>
      </c>
      <c r="DR21" s="22">
        <f t="shared" si="16"/>
        <v>53.918229361138849</v>
      </c>
      <c r="DS21" s="62">
        <f t="shared" si="17"/>
        <v>332.58489602780554</v>
      </c>
      <c r="DT21" s="62">
        <f ca="1">AVERAGE(OFFSET($DS$3,0,0,'Données projet'!$E$14+1,1))-AVERAGE(OFFSET($H$3,0,0,'Données projet'!$E$14+1,1))</f>
        <v>282.98919020956595</v>
      </c>
      <c r="DU21" s="62">
        <f t="shared" si="44"/>
        <v>182.23565317232647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9">
        <f t="shared" si="1"/>
        <v>295.84975173858709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4.0476666666666672</v>
      </c>
      <c r="N22" s="14">
        <f>IF('Données projet'!$A$36&gt;35,N21+M22-V21,IF(A22&lt;'Données projet'!$A$36,$K$205^A22,IF(A22='Données projet'!$A$36,'Données projet'!$B$36,N21+M22-V21)))</f>
        <v>20.896479738262784</v>
      </c>
      <c r="O22" s="14">
        <f>N22*VLOOKUP('Données projet'!$B$9,Paramètres!$A$1:$I$89,3,0)*VLOOKUP('Données projet'!$B$9,Paramètres!$A$1:$I$89,5,0)</f>
        <v>9.779552517506982</v>
      </c>
      <c r="P22" s="14">
        <f t="shared" si="33"/>
        <v>3.4561924604811169</v>
      </c>
      <c r="Q22" s="22">
        <f t="shared" si="2"/>
        <v>23.052255836662599</v>
      </c>
      <c r="R22" s="62">
        <f t="shared" si="0"/>
        <v>302.94114472555145</v>
      </c>
      <c r="S22" s="62">
        <f ca="1">AVERAGE(OFFSET($R$3,0,0,'Données projet'!$E$9+1,1))-AVERAGE(OFFSET($H$3,0,0,'Données projet'!$E$9+1,1))</f>
        <v>172.62653085905839</v>
      </c>
      <c r="T22" s="62">
        <f t="shared" si="34"/>
        <v>103.0747749312265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289.36126704091066</v>
      </c>
      <c r="AO22" s="62">
        <f t="shared" si="36"/>
        <v>195.3674411454258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351.72520722798015</v>
      </c>
      <c r="BI22" s="62">
        <f ca="1">AVERAGE(OFFSET($BH$3,0,0,'Données projet'!$E$11+1,1))-AVERAGE(OFFSET($H$3,0,0,'Données projet'!$E$11+1,1))</f>
        <v>250.17147737747007</v>
      </c>
      <c r="BJ22" s="62">
        <f t="shared" si="38"/>
        <v>172.25613380618552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37.502525494917215</v>
      </c>
      <c r="CA22" s="14">
        <f t="shared" si="39"/>
        <v>11.334227770598273</v>
      </c>
      <c r="CB22" s="22">
        <f t="shared" si="10"/>
        <v>85.057345270772814</v>
      </c>
      <c r="CC22" s="62">
        <f t="shared" si="11"/>
        <v>364.94623415966169</v>
      </c>
      <c r="CD22" s="62">
        <f ca="1">AVERAGE(OFFSET($CC$3,0,0,'Données projet'!$E$12+1,1))-AVERAGE(OFFSET($H$3,0,0,'Données projet'!$E$12+1,1))</f>
        <v>311.71521576048417</v>
      </c>
      <c r="CE22" s="62">
        <f t="shared" si="40"/>
        <v>208.54841796921403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5.5909090909090908</v>
      </c>
      <c r="CT22" s="13">
        <f>IF('Données projet'!$A$140&gt;35,CT21+CS22-DB21,IF(A22&lt;'Données projet'!$A$140,$CQ$205^A22,IF(A22='Données projet'!$A$140,'Données projet'!$B$140,CT21+CS22-DB21)))</f>
        <v>63.814306040343304</v>
      </c>
      <c r="CU22" s="18">
        <f>CT22*VLOOKUP('Données projet'!$B$13,Paramètres!$A$1:$I$89,3,0)*VLOOKUP('Données projet'!$B$13,Paramètres!$A$1:$I$89,5,0)</f>
        <v>38.160955012125299</v>
      </c>
      <c r="CV22" s="14">
        <f t="shared" si="41"/>
        <v>11.509880661066306</v>
      </c>
      <c r="CW22" s="22">
        <f t="shared" si="13"/>
        <v>86.510038797475374</v>
      </c>
      <c r="CX22" s="62">
        <f t="shared" si="14"/>
        <v>366.39892768636423</v>
      </c>
      <c r="CY22" s="62">
        <f ca="1">AVERAGE(OFFSET($CX$3,0,0,'Données projet'!$E$13+1,1))-AVERAGE(OFFSET($H$3,0,0,'Données projet'!$E$13+1,1))</f>
        <v>280.47174439810988</v>
      </c>
      <c r="CZ22" s="62">
        <f t="shared" si="42"/>
        <v>231.19476400361157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2.95</v>
      </c>
      <c r="DO22" s="13">
        <f>IF('Données projet'!$A$166&gt;35,DO21+DN22-DW21,IF(A22&lt;'Données projet'!$A$166,$DL$205^A22,IF(A22='Données projet'!$A$166,'Données projet'!$B$166,DO21+DN22-DW21)))</f>
        <v>48.118204224171201</v>
      </c>
      <c r="DP22" s="18">
        <f>DO22*VLOOKUP('Données projet'!$B$14,Paramètres!$A$1:$I$89,3,0)*VLOOKUP('Données projet'!$B$14,Paramètres!$A$1:$I$89,5,0)</f>
        <v>28.77468612605438</v>
      </c>
      <c r="DQ22" s="14">
        <f t="shared" si="43"/>
        <v>8.9687894077481118</v>
      </c>
      <c r="DR22" s="22">
        <f t="shared" si="16"/>
        <v>65.736553221372674</v>
      </c>
      <c r="DS22" s="62">
        <f t="shared" si="17"/>
        <v>345.62544211026153</v>
      </c>
      <c r="DT22" s="62">
        <f ca="1">AVERAGE(OFFSET($DS$3,0,0,'Données projet'!$E$14+1,1))-AVERAGE(OFFSET($H$3,0,0,'Données projet'!$E$14+1,1))</f>
        <v>282.98919020956595</v>
      </c>
      <c r="DU22" s="62">
        <f t="shared" si="44"/>
        <v>182.23565317232647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9">
        <f t="shared" si="1"/>
        <v>297.85087537608922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4.0476666666666672</v>
      </c>
      <c r="N23" s="14">
        <f>IF('Données projet'!$A$36&gt;35,N22+M23-V22,IF(A23&lt;'Données projet'!$A$36,$K$205^A23,IF(A23='Données projet'!$A$36,'Données projet'!$B$36,N22+M23-V22)))</f>
        <v>24.521704991495451</v>
      </c>
      <c r="O23" s="14">
        <f>N23*VLOOKUP('Données projet'!$B$9,Paramètres!$A$1:$I$89,3,0)*VLOOKUP('Données projet'!$B$9,Paramètres!$A$1:$I$89,5,0)</f>
        <v>11.47615793601987</v>
      </c>
      <c r="P23" s="14">
        <f t="shared" si="33"/>
        <v>3.9809641513921119</v>
      </c>
      <c r="Q23" s="22">
        <f t="shared" si="2"/>
        <v>26.921154302242531</v>
      </c>
      <c r="R23" s="62">
        <f t="shared" si="0"/>
        <v>308.03226541335368</v>
      </c>
      <c r="S23" s="62">
        <f ca="1">AVERAGE(OFFSET($R$3,0,0,'Données projet'!$E$9+1,1))-AVERAGE(OFFSET($H$3,0,0,'Données projet'!$E$9+1,1))</f>
        <v>172.62653085905839</v>
      </c>
      <c r="T23" s="62">
        <f t="shared" si="34"/>
        <v>103.0747749312265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289.36126704091066</v>
      </c>
      <c r="AO23" s="62">
        <f t="shared" si="36"/>
        <v>195.3674411454258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367.26962158162712</v>
      </c>
      <c r="BI23" s="62">
        <f ca="1">AVERAGE(OFFSET($BH$3,0,0,'Données projet'!$E$11+1,1))-AVERAGE(OFFSET($H$3,0,0,'Données projet'!$E$11+1,1))</f>
        <v>250.17147737747007</v>
      </c>
      <c r="BJ23" s="62">
        <f t="shared" si="38"/>
        <v>172.25613380618552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45.208799999999997</v>
      </c>
      <c r="CA23" s="14">
        <f t="shared" si="39"/>
        <v>13.369251386406743</v>
      </c>
      <c r="CB23" s="22">
        <f t="shared" si="10"/>
        <v>102.02343949799173</v>
      </c>
      <c r="CC23" s="62">
        <f t="shared" si="11"/>
        <v>383.13455060910286</v>
      </c>
      <c r="CD23" s="62">
        <f ca="1">AVERAGE(OFFSET($CC$3,0,0,'Données projet'!$E$12+1,1))-AVERAGE(OFFSET($H$3,0,0,'Données projet'!$E$12+1,1))</f>
        <v>311.71521576048417</v>
      </c>
      <c r="CE23" s="62">
        <f t="shared" si="40"/>
        <v>208.54841796921403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5.5909090909090908</v>
      </c>
      <c r="CT23" s="13">
        <f>IF('Données projet'!$A$140&gt;35,CT22+CS23-DB22,IF(A23&lt;'Données projet'!$A$140,$CQ$205^A23,IF(A23='Données projet'!$A$140,'Données projet'!$B$140,CT22+CS23-DB22)))</f>
        <v>79.417047587426694</v>
      </c>
      <c r="CU23" s="18">
        <f>CT23*VLOOKUP('Données projet'!$B$13,Paramètres!$A$1:$I$89,3,0)*VLOOKUP('Données projet'!$B$13,Paramètres!$A$1:$I$89,5,0)</f>
        <v>47.49139445728116</v>
      </c>
      <c r="CV23" s="14">
        <f t="shared" si="41"/>
        <v>13.96397329692701</v>
      </c>
      <c r="CW23" s="22">
        <f t="shared" si="13"/>
        <v>107.03476550524589</v>
      </c>
      <c r="CX23" s="62">
        <f t="shared" si="14"/>
        <v>388.14587661635704</v>
      </c>
      <c r="CY23" s="62">
        <f ca="1">AVERAGE(OFFSET($CX$3,0,0,'Données projet'!$E$13+1,1))-AVERAGE(OFFSET($H$3,0,0,'Données projet'!$E$13+1,1))</f>
        <v>280.47174439810988</v>
      </c>
      <c r="CZ23" s="62">
        <f t="shared" si="42"/>
        <v>231.19476400361157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59</v>
      </c>
      <c r="DM23" s="13">
        <f>VLOOKUP(A23,'Données projet'!$A$165:$I$185,9,0)</f>
        <v>2.95</v>
      </c>
      <c r="DN23" s="13">
        <f t="array" ref="DN23">INDEX(DM:DM,MIN(IF(ISNUMBER(DM23:DM219),ROW(DM23:DM219),"")))</f>
        <v>2.95</v>
      </c>
      <c r="DO23" s="13">
        <f>IF('Données projet'!$A$166&gt;35,DO22+DN23-DW22,IF(A23&lt;'Données projet'!$A$166,$DL$205^A23,IF(A23='Données projet'!$A$166,'Données projet'!$B$166,DO22+DN23-DW22)))</f>
        <v>59</v>
      </c>
      <c r="DP23" s="18">
        <f>DO23*VLOOKUP('Données projet'!$B$14,Paramètres!$A$1:$I$89,3,0)*VLOOKUP('Données projet'!$B$14,Paramètres!$A$1:$I$89,5,0)</f>
        <v>35.282000000000004</v>
      </c>
      <c r="DQ23" s="14">
        <f t="shared" si="43"/>
        <v>10.73915395799758</v>
      </c>
      <c r="DR23" s="22">
        <f t="shared" si="16"/>
        <v>80.153509810179131</v>
      </c>
      <c r="DS23" s="62">
        <f t="shared" si="17"/>
        <v>361.26462092129026</v>
      </c>
      <c r="DT23" s="62">
        <f ca="1">AVERAGE(OFFSET($DS$3,0,0,'Données projet'!$E$14+1,1))-AVERAGE(OFFSET($H$3,0,0,'Données projet'!$E$14+1,1))</f>
        <v>282.98919020956595</v>
      </c>
      <c r="DU23" s="62">
        <f t="shared" si="44"/>
        <v>182.23565317232647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3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1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2.0312247417624798</v>
      </c>
      <c r="ED23" s="24">
        <f t="shared" si="18"/>
        <v>2.0312247417624798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9">
        <f t="shared" si="1"/>
        <v>299.84937234200714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4.0476666666666672</v>
      </c>
      <c r="N24" s="14">
        <f>IF('Données projet'!$A$36&gt;35,N23+M24-V23,IF(A24&lt;'Données projet'!$A$36,$K$205^A24,IF(A24='Données projet'!$A$36,'Données projet'!$B$36,N23+M24-V23)))</f>
        <v>28.775852355116477</v>
      </c>
      <c r="O24" s="14">
        <f>N24*VLOOKUP('Données projet'!$B$9,Paramètres!$A$1:$I$89,3,0)*VLOOKUP('Données projet'!$B$9,Paramètres!$A$1:$I$89,5,0)</f>
        <v>13.467098902194511</v>
      </c>
      <c r="P24" s="14">
        <f t="shared" si="33"/>
        <v>4.5854146595942122</v>
      </c>
      <c r="Q24" s="22">
        <f t="shared" si="2"/>
        <v>31.44146112011536</v>
      </c>
      <c r="R24" s="62">
        <f t="shared" si="0"/>
        <v>313.77479445344869</v>
      </c>
      <c r="S24" s="62">
        <f ca="1">AVERAGE(OFFSET($R$3,0,0,'Données projet'!$E$9+1,1))-AVERAGE(OFFSET($H$3,0,0,'Données projet'!$E$9+1,1))</f>
        <v>172.62653085905839</v>
      </c>
      <c r="T24" s="62">
        <f t="shared" si="34"/>
        <v>103.0747749312265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5.8</v>
      </c>
      <c r="AI24" s="14">
        <f>IF('Données projet'!$A$62&gt;35,AI23+AH24-AQ23,IF(A24&lt;'Données projet'!$A$62,$AF$205^A24,IF(A24='Données projet'!$A$62,'Données projet'!$B$62,AI23+AH24-AQ23)))</f>
        <v>47.8</v>
      </c>
      <c r="AJ24" s="14">
        <f>AI24*VLOOKUP('Données projet'!$B$10,Paramètres!$A$1:$I$89,3,0)*VLOOKUP('Données projet'!$B$10,Paramètres!$A$1:$I$89,5,0)</f>
        <v>48.469200000000001</v>
      </c>
      <c r="AK24" s="14">
        <f t="shared" si="35"/>
        <v>14.217711300184344</v>
      </c>
      <c r="AL24" s="22">
        <f t="shared" si="4"/>
        <v>109.17970384782107</v>
      </c>
      <c r="AM24" s="62">
        <f t="shared" si="5"/>
        <v>391.5130371811544</v>
      </c>
      <c r="AN24" s="62">
        <f ca="1">AVERAGE(OFFSET($AM$3,0,0,'Données projet'!$E$10+1,1))-AVERAGE(OFFSET($H$3,0,0,'Données projet'!$E$10+1,1))</f>
        <v>289.36126704091066</v>
      </c>
      <c r="AO24" s="62">
        <f t="shared" si="36"/>
        <v>195.3674411454258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5.8</v>
      </c>
      <c r="BD24" s="13">
        <f>IF('Données projet'!$A$88&gt;35,BD23+BC24-BL23,IF(A24&lt;'Données projet'!$A$88,$BA$205^A24,IF(A24='Données projet'!$A$88,'Données projet'!$B$88,BD23+BC24-BL23)))</f>
        <v>47.8</v>
      </c>
      <c r="BE24" s="14">
        <f>BD24*VLOOKUP('Données projet'!$B$11,Paramètres!$A$1:$I$89,3,0)*VLOOKUP('Données projet'!$B$11,Paramètres!$A$1:$I$89,5,0)</f>
        <v>43.249439999999993</v>
      </c>
      <c r="BF24" s="14">
        <f t="shared" si="37"/>
        <v>12.85595739620004</v>
      </c>
      <c r="BG24" s="22">
        <f t="shared" si="7"/>
        <v>97.716900465048397</v>
      </c>
      <c r="BH24" s="62">
        <f t="shared" si="8"/>
        <v>380.05023379838173</v>
      </c>
      <c r="BI24" s="62">
        <f ca="1">AVERAGE(OFFSET($BH$3,0,0,'Données projet'!$E$11+1,1))-AVERAGE(OFFSET($H$3,0,0,'Données projet'!$E$11+1,1))</f>
        <v>250.17147737747007</v>
      </c>
      <c r="BJ24" s="62">
        <f t="shared" si="38"/>
        <v>172.25613380618552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5.8</v>
      </c>
      <c r="BY24" s="13">
        <f>IF('Données projet'!$A$114&gt;35,BY23+BX24-CG23,IF(A24&lt;'Données projet'!$A$114,$BV$205^A24,IF(A24='Données projet'!$A$114,'Données projet'!$B$114,BY23+BX24-CG23)))</f>
        <v>47.8</v>
      </c>
      <c r="BZ24" s="14">
        <f>BY24*VLOOKUP('Données projet'!$B$12,Paramètres!$A$1:$I$89,3,0)*VLOOKUP('Données projet'!$B$12,Paramètres!$A$1:$I$89,5,0)</f>
        <v>51.451919999999987</v>
      </c>
      <c r="CA24" s="14">
        <f t="shared" si="39"/>
        <v>14.988097376125479</v>
      </c>
      <c r="CB24" s="22">
        <f t="shared" si="10"/>
        <v>115.71636359675186</v>
      </c>
      <c r="CC24" s="62">
        <f t="shared" si="11"/>
        <v>398.04969693008519</v>
      </c>
      <c r="CD24" s="62">
        <f ca="1">AVERAGE(OFFSET($CC$3,0,0,'Données projet'!$E$12+1,1))-AVERAGE(OFFSET($H$3,0,0,'Données projet'!$E$12+1,1))</f>
        <v>311.71521576048417</v>
      </c>
      <c r="CE24" s="62">
        <f t="shared" si="40"/>
        <v>208.54841796921403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5.5909090909090908</v>
      </c>
      <c r="CT24" s="13">
        <f>IF('Données projet'!$A$140&gt;35,CT23+CS24-DB23,IF(A24&lt;'Données projet'!$A$140,$CQ$205^A24,IF(A24='Données projet'!$A$140,'Données projet'!$B$140,CT23+CS24-DB23)))</f>
        <v>98.834694582689295</v>
      </c>
      <c r="CU24" s="18">
        <f>CT24*VLOOKUP('Données projet'!$B$13,Paramètres!$A$1:$I$89,3,0)*VLOOKUP('Données projet'!$B$13,Paramètres!$A$1:$I$89,5,0)</f>
        <v>59.103147360448204</v>
      </c>
      <c r="CV24" s="14">
        <f t="shared" si="41"/>
        <v>16.94131815778756</v>
      </c>
      <c r="CW24" s="22">
        <f t="shared" si="13"/>
        <v>132.44411077759398</v>
      </c>
      <c r="CX24" s="62">
        <f t="shared" si="14"/>
        <v>414.77744411092726</v>
      </c>
      <c r="CY24" s="62">
        <f ca="1">AVERAGE(OFFSET($CX$3,0,0,'Données projet'!$E$13+1,1))-AVERAGE(OFFSET($H$3,0,0,'Données projet'!$E$13+1,1))</f>
        <v>280.47174439810988</v>
      </c>
      <c r="CZ24" s="62">
        <f t="shared" si="42"/>
        <v>231.19476400361157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</v>
      </c>
      <c r="DO24" s="13">
        <f>IF('Données projet'!$A$166&gt;35,DO23+DN24-DW23,IF(A24&lt;'Données projet'!$A$166,$DL$205^A24,IF(A24='Données projet'!$A$166,'Données projet'!$B$166,DO23+DN24-DW23)))</f>
        <v>66</v>
      </c>
      <c r="DP24" s="18">
        <f>DO24*VLOOKUP('Données projet'!$B$14,Paramètres!$A$1:$I$89,3,0)*VLOOKUP('Données projet'!$B$14,Paramètres!$A$1:$I$89,5,0)</f>
        <v>39.468000000000004</v>
      </c>
      <c r="DQ24" s="14">
        <f t="shared" si="43"/>
        <v>11.8575305564269</v>
      </c>
      <c r="DR24" s="22">
        <f t="shared" si="16"/>
        <v>89.391965719110203</v>
      </c>
      <c r="DS24" s="62">
        <f t="shared" si="17"/>
        <v>371.72529905244352</v>
      </c>
      <c r="DT24" s="62">
        <f ca="1">AVERAGE(OFFSET($DS$3,0,0,'Données projet'!$E$14+1,1))-AVERAGE(OFFSET($H$3,0,0,'Données projet'!$E$14+1,1))</f>
        <v>282.98919020956595</v>
      </c>
      <c r="DU24" s="62">
        <f t="shared" si="44"/>
        <v>182.23565317232647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1.4362927890141435</v>
      </c>
      <c r="ED24" s="24">
        <f t="shared" si="18"/>
        <v>1.4362927890141435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9">
        <f t="shared" si="1"/>
        <v>301.84538199666349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4.0476666666666672</v>
      </c>
      <c r="N25" s="14">
        <f>IF('Données projet'!$A$36&gt;35,N24+M25-V24,IF(A25&lt;'Données projet'!$A$36,$K$205^A25,IF(A25='Données projet'!$A$36,'Données projet'!$B$36,N24+M25-V24)))</f>
        <v>33.768030365369967</v>
      </c>
      <c r="O25" s="14">
        <f>N25*VLOOKUP('Données projet'!$B$9,Paramètres!$A$1:$I$89,3,0)*VLOOKUP('Données projet'!$B$9,Paramètres!$A$1:$I$89,5,0)</f>
        <v>15.803438210993145</v>
      </c>
      <c r="P25" s="14">
        <f t="shared" si="33"/>
        <v>5.281642034648538</v>
      </c>
      <c r="Q25" s="22">
        <f t="shared" si="2"/>
        <v>36.723181427825928</v>
      </c>
      <c r="R25" s="62">
        <f t="shared" si="0"/>
        <v>320.27873698338146</v>
      </c>
      <c r="S25" s="62">
        <f ca="1">AVERAGE(OFFSET($R$3,0,0,'Données projet'!$E$9+1,1))-AVERAGE(OFFSET($H$3,0,0,'Données projet'!$E$9+1,1))</f>
        <v>172.62653085905839</v>
      </c>
      <c r="T25" s="62">
        <f t="shared" si="34"/>
        <v>103.0747749312265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5.8</v>
      </c>
      <c r="AI25" s="14">
        <f>IF('Données projet'!$A$62&gt;35,AI24+AH25-AQ24,IF(A25&lt;'Données projet'!$A$62,$AF$205^A25,IF(A25='Données projet'!$A$62,'Données projet'!$B$62,AI24+AH25-AQ24)))</f>
        <v>53.599999999999994</v>
      </c>
      <c r="AJ25" s="14">
        <f>AI25*VLOOKUP('Données projet'!$B$10,Paramètres!$A$1:$I$89,3,0)*VLOOKUP('Données projet'!$B$10,Paramètres!$A$1:$I$89,5,0)</f>
        <v>54.350399999999993</v>
      </c>
      <c r="AK25" s="14">
        <f t="shared" si="35"/>
        <v>15.731756297324257</v>
      </c>
      <c r="AL25" s="22">
        <f t="shared" si="4"/>
        <v>122.05975555117305</v>
      </c>
      <c r="AM25" s="62">
        <f t="shared" si="5"/>
        <v>405.6153111067286</v>
      </c>
      <c r="AN25" s="62">
        <f ca="1">AVERAGE(OFFSET($AM$3,0,0,'Données projet'!$E$10+1,1))-AVERAGE(OFFSET($H$3,0,0,'Données projet'!$E$10+1,1))</f>
        <v>289.36126704091066</v>
      </c>
      <c r="AO25" s="62">
        <f t="shared" si="36"/>
        <v>195.3674411454258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5.8</v>
      </c>
      <c r="BD25" s="13">
        <f>IF('Données projet'!$A$88&gt;35,BD24+BC25-BL24,IF(A25&lt;'Données projet'!$A$88,$BA$205^A25,IF(A25='Données projet'!$A$88,'Données projet'!$B$88,BD24+BC25-BL24)))</f>
        <v>53.599999999999994</v>
      </c>
      <c r="BE25" s="14">
        <f>BD25*VLOOKUP('Données projet'!$B$11,Paramètres!$A$1:$I$89,3,0)*VLOOKUP('Données projet'!$B$11,Paramètres!$A$1:$I$89,5,0)</f>
        <v>48.497279999999989</v>
      </c>
      <c r="BF25" s="14">
        <f t="shared" si="37"/>
        <v>14.224989131913244</v>
      </c>
      <c r="BG25" s="22">
        <f t="shared" si="7"/>
        <v>109.24128540474889</v>
      </c>
      <c r="BH25" s="62">
        <f t="shared" si="8"/>
        <v>392.79684096030445</v>
      </c>
      <c r="BI25" s="62">
        <f ca="1">AVERAGE(OFFSET($BH$3,0,0,'Données projet'!$E$11+1,1))-AVERAGE(OFFSET($H$3,0,0,'Données projet'!$E$11+1,1))</f>
        <v>250.17147737747007</v>
      </c>
      <c r="BJ25" s="62">
        <f t="shared" si="38"/>
        <v>172.25613380618552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5.8</v>
      </c>
      <c r="BY25" s="13">
        <f>IF('Données projet'!$A$114&gt;35,BY24+BX25-CG24,IF(A25&lt;'Données projet'!$A$114,$BV$205^A25,IF(A25='Données projet'!$A$114,'Données projet'!$B$114,BY24+BX25-CG24)))</f>
        <v>53.599999999999994</v>
      </c>
      <c r="BZ25" s="14">
        <f>BY25*VLOOKUP('Données projet'!$B$12,Paramètres!$A$1:$I$89,3,0)*VLOOKUP('Données projet'!$B$12,Paramètres!$A$1:$I$89,5,0)</f>
        <v>57.695039999999992</v>
      </c>
      <c r="CA25" s="14">
        <f t="shared" si="39"/>
        <v>16.584180836384974</v>
      </c>
      <c r="CB25" s="22">
        <f t="shared" si="10"/>
        <v>129.36964295670381</v>
      </c>
      <c r="CC25" s="62">
        <f t="shared" si="11"/>
        <v>412.92519851225939</v>
      </c>
      <c r="CD25" s="62">
        <f ca="1">AVERAGE(OFFSET($CC$3,0,0,'Données projet'!$E$12+1,1))-AVERAGE(OFFSET($H$3,0,0,'Données projet'!$E$12+1,1))</f>
        <v>311.71521576048417</v>
      </c>
      <c r="CE25" s="62">
        <f t="shared" si="40"/>
        <v>208.54841796921403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>
        <f>VLOOKUP(A25,'Données projet'!$A$139:$I$159,2,0)</f>
        <v>123</v>
      </c>
      <c r="CR25" s="13">
        <f>VLOOKUP(A25,'Données projet'!$A$139:$I$159,9,0)</f>
        <v>5.5909090909090908</v>
      </c>
      <c r="CS25" s="13">
        <f t="array" ref="CS25">INDEX(CR:CR,MIN(IF(ISNUMBER(CR25:CR221),ROW(CR25:CR221),"")))</f>
        <v>5.5909090909090908</v>
      </c>
      <c r="CT25" s="13">
        <f>IF('Données projet'!$A$140&gt;35,CT24+CS25-DB24,IF(A25&lt;'Données projet'!$A$140,$CQ$205^A25,IF(A25='Données projet'!$A$140,'Données projet'!$B$140,CT24+CS25-DB24)))</f>
        <v>123</v>
      </c>
      <c r="CU25" s="18">
        <f>CT25*VLOOKUP('Données projet'!$B$13,Paramètres!$A$1:$I$89,3,0)*VLOOKUP('Données projet'!$B$13,Paramètres!$A$1:$I$89,5,0)</f>
        <v>73.554000000000016</v>
      </c>
      <c r="CV25" s="14">
        <f t="shared" si="41"/>
        <v>20.553481077376691</v>
      </c>
      <c r="CW25" s="22">
        <f t="shared" si="13"/>
        <v>163.90386287643108</v>
      </c>
      <c r="CX25" s="62">
        <f t="shared" si="14"/>
        <v>447.45941843198659</v>
      </c>
      <c r="CY25" s="62">
        <f ca="1">AVERAGE(OFFSET($CX$3,0,0,'Données projet'!$E$13+1,1))-AVERAGE(OFFSET($H$3,0,0,'Données projet'!$E$13+1,1))</f>
        <v>280.47174439810988</v>
      </c>
      <c r="CZ25" s="62">
        <f t="shared" si="42"/>
        <v>231.19476400361157</v>
      </c>
      <c r="DA25" s="16">
        <f>IF(ISNA(VLOOKUP(A25,'Données projet'!$A$139:$I$159,3,0)),0,VLOOKUP(A25,'Données projet'!$A$139:$I$159,3,0))</f>
        <v>1</v>
      </c>
      <c r="DB25" s="16">
        <f>IF(ISNA(VLOOKUP(A25,'Données projet'!$A$139:$I$159,4,0)),0,VLOOKUP(A25,'Données projet'!$A$139:$I$159,4,0))</f>
        <v>16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1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10.833198622733226</v>
      </c>
      <c r="DI25" s="24">
        <f t="shared" si="15"/>
        <v>10.833198622733226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</v>
      </c>
      <c r="DO25" s="13">
        <f>IF('Données projet'!$A$166&gt;35,DO24+DN25-DW24,IF(A25&lt;'Données projet'!$A$166,$DL$205^A25,IF(A25='Données projet'!$A$166,'Données projet'!$B$166,DO24+DN25-DW24)))</f>
        <v>76</v>
      </c>
      <c r="DP25" s="18">
        <f>DO25*VLOOKUP('Données projet'!$B$14,Paramètres!$A$1:$I$89,3,0)*VLOOKUP('Données projet'!$B$14,Paramètres!$A$1:$I$89,5,0)</f>
        <v>45.448</v>
      </c>
      <c r="DQ25" s="14">
        <f t="shared" si="43"/>
        <v>13.431735195887134</v>
      </c>
      <c r="DR25" s="22">
        <f t="shared" si="16"/>
        <v>102.54887213283676</v>
      </c>
      <c r="DS25" s="62">
        <f t="shared" si="17"/>
        <v>386.10442768839232</v>
      </c>
      <c r="DT25" s="62">
        <f ca="1">AVERAGE(OFFSET($DS$3,0,0,'Données projet'!$E$14+1,1))-AVERAGE(OFFSET($H$3,0,0,'Données projet'!$E$14+1,1))</f>
        <v>282.98919020956595</v>
      </c>
      <c r="DU25" s="62">
        <f t="shared" si="44"/>
        <v>182.23565317232647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1.0156123708812401</v>
      </c>
      <c r="ED25" s="24">
        <f t="shared" si="18"/>
        <v>1.0156123708812401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9">
        <f t="shared" si="1"/>
        <v>303.83903031512267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4.0476666666666672</v>
      </c>
      <c r="N26" s="14">
        <f>IF('Données projet'!$A$36&gt;35,N25+M26-V25,IF(A26&lt;'Données projet'!$A$36,$K$205^A26,IF(A26='Données projet'!$A$36,'Données projet'!$B$36,N25+M26-V25)))</f>
        <v>39.626276250121265</v>
      </c>
      <c r="O26" s="14">
        <f>N26*VLOOKUP('Données projet'!$B$9,Paramètres!$A$1:$I$89,3,0)*VLOOKUP('Données projet'!$B$9,Paramètres!$A$1:$I$89,5,0)</f>
        <v>18.545097285056752</v>
      </c>
      <c r="P26" s="14">
        <f t="shared" si="33"/>
        <v>6.0835812359519474</v>
      </c>
      <c r="Q26" s="22">
        <f t="shared" si="2"/>
        <v>42.894948424090153</v>
      </c>
      <c r="R26" s="62">
        <f t="shared" si="0"/>
        <v>327.67272620186793</v>
      </c>
      <c r="S26" s="62">
        <f ca="1">AVERAGE(OFFSET($R$3,0,0,'Données projet'!$E$9+1,1))-AVERAGE(OFFSET($H$3,0,0,'Données projet'!$E$9+1,1))</f>
        <v>172.62653085905839</v>
      </c>
      <c r="T26" s="62">
        <f t="shared" si="34"/>
        <v>103.0747749312265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5.8</v>
      </c>
      <c r="AI26" s="14">
        <f>IF('Données projet'!$A$62&gt;35,AI25+AH26-AQ25,IF(A26&lt;'Données projet'!$A$62,$AF$205^A26,IF(A26='Données projet'!$A$62,'Données projet'!$B$62,AI25+AH26-AQ25)))</f>
        <v>59.399999999999991</v>
      </c>
      <c r="AJ26" s="14">
        <f>AI26*VLOOKUP('Données projet'!$B$10,Paramètres!$A$1:$I$89,3,0)*VLOOKUP('Données projet'!$B$10,Paramètres!$A$1:$I$89,5,0)</f>
        <v>60.231599999999993</v>
      </c>
      <c r="AK26" s="14">
        <f t="shared" si="35"/>
        <v>17.226811623136925</v>
      </c>
      <c r="AL26" s="22">
        <f t="shared" si="4"/>
        <v>134.90673357696349</v>
      </c>
      <c r="AM26" s="62">
        <f t="shared" si="5"/>
        <v>419.68451135474129</v>
      </c>
      <c r="AN26" s="62">
        <f ca="1">AVERAGE(OFFSET($AM$3,0,0,'Données projet'!$E$10+1,1))-AVERAGE(OFFSET($H$3,0,0,'Données projet'!$E$10+1,1))</f>
        <v>289.36126704091066</v>
      </c>
      <c r="AO26" s="62">
        <f t="shared" si="36"/>
        <v>195.3674411454258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5.8</v>
      </c>
      <c r="BD26" s="13">
        <f>IF('Données projet'!$A$88&gt;35,BD25+BC26-BL25,IF(A26&lt;'Données projet'!$A$88,$BA$205^A26,IF(A26='Données projet'!$A$88,'Données projet'!$B$88,BD25+BC26-BL25)))</f>
        <v>59.399999999999991</v>
      </c>
      <c r="BE26" s="14">
        <f>BD26*VLOOKUP('Données projet'!$B$11,Paramètres!$A$1:$I$89,3,0)*VLOOKUP('Données projet'!$B$11,Paramètres!$A$1:$I$89,5,0)</f>
        <v>53.745119999999986</v>
      </c>
      <c r="BF26" s="14">
        <f t="shared" si="37"/>
        <v>15.576850002330584</v>
      </c>
      <c r="BG26" s="22">
        <f t="shared" si="7"/>
        <v>120.73576442072574</v>
      </c>
      <c r="BH26" s="62">
        <f t="shared" si="8"/>
        <v>405.5135421985035</v>
      </c>
      <c r="BI26" s="62">
        <f ca="1">AVERAGE(OFFSET($BH$3,0,0,'Données projet'!$E$11+1,1))-AVERAGE(OFFSET($H$3,0,0,'Données projet'!$E$11+1,1))</f>
        <v>250.17147737747007</v>
      </c>
      <c r="BJ26" s="62">
        <f t="shared" si="38"/>
        <v>172.25613380618552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5.8</v>
      </c>
      <c r="BY26" s="13">
        <f>IF('Données projet'!$A$114&gt;35,BY25+BX26-CG25,IF(A26&lt;'Données projet'!$A$114,$BV$205^A26,IF(A26='Données projet'!$A$114,'Données projet'!$B$114,BY25+BX26-CG25)))</f>
        <v>59.399999999999991</v>
      </c>
      <c r="BZ26" s="14">
        <f>BY26*VLOOKUP('Données projet'!$B$12,Paramètres!$A$1:$I$89,3,0)*VLOOKUP('Données projet'!$B$12,Paramètres!$A$1:$I$89,5,0)</f>
        <v>63.938159999999989</v>
      </c>
      <c r="CA26" s="14">
        <f t="shared" si="39"/>
        <v>18.160245670792225</v>
      </c>
      <c r="CB26" s="22">
        <f t="shared" si="10"/>
        <v>142.98805654329644</v>
      </c>
      <c r="CC26" s="62">
        <f t="shared" si="11"/>
        <v>427.76583432107418</v>
      </c>
      <c r="CD26" s="62">
        <f ca="1">AVERAGE(OFFSET($CC$3,0,0,'Données projet'!$E$12+1,1))-AVERAGE(OFFSET($H$3,0,0,'Données projet'!$E$12+1,1))</f>
        <v>311.71521576048417</v>
      </c>
      <c r="CE26" s="62">
        <f t="shared" si="40"/>
        <v>208.54841796921403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12.333333333333334</v>
      </c>
      <c r="CT26" s="13">
        <f>IF('Données projet'!$A$140&gt;35,CT25+CS26-DB25,IF(A26&lt;'Données projet'!$A$140,$CQ$205^A26,IF(A26='Données projet'!$A$140,'Données projet'!$B$140,CT25+CS26-DB25)))</f>
        <v>119.33333333333334</v>
      </c>
      <c r="CU26" s="18">
        <f>CT26*VLOOKUP('Données projet'!$B$13,Paramètres!$A$1:$I$89,3,0)*VLOOKUP('Données projet'!$B$13,Paramètres!$A$1:$I$89,5,0)</f>
        <v>71.361333333333349</v>
      </c>
      <c r="CV26" s="14">
        <f t="shared" si="41"/>
        <v>20.011144716858571</v>
      </c>
      <c r="CW26" s="22">
        <f t="shared" si="13"/>
        <v>159.14039927075092</v>
      </c>
      <c r="CX26" s="62">
        <f t="shared" si="14"/>
        <v>443.91817704852872</v>
      </c>
      <c r="CY26" s="62">
        <f ca="1">AVERAGE(OFFSET($CX$3,0,0,'Données projet'!$E$13+1,1))-AVERAGE(OFFSET($H$3,0,0,'Données projet'!$E$13+1,1))</f>
        <v>280.47174439810988</v>
      </c>
      <c r="CZ26" s="62">
        <f t="shared" si="42"/>
        <v>231.19476400361157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7.6602282080754316</v>
      </c>
      <c r="DI26" s="24">
        <f t="shared" si="15"/>
        <v>7.6602282080754316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</v>
      </c>
      <c r="DO26" s="13">
        <f>IF('Données projet'!$A$166&gt;35,DO25+DN26-DW25,IF(A26&lt;'Données projet'!$A$166,$DL$205^A26,IF(A26='Données projet'!$A$166,'Données projet'!$B$166,DO25+DN26-DW25)))</f>
        <v>86</v>
      </c>
      <c r="DP26" s="18">
        <f>DO26*VLOOKUP('Données projet'!$B$14,Paramètres!$A$1:$I$89,3,0)*VLOOKUP('Données projet'!$B$14,Paramètres!$A$1:$I$89,5,0)</f>
        <v>51.428000000000004</v>
      </c>
      <c r="DQ26" s="14">
        <f t="shared" si="43"/>
        <v>14.981940313719676</v>
      </c>
      <c r="DR26" s="22">
        <f t="shared" si="16"/>
        <v>115.66397937972845</v>
      </c>
      <c r="DS26" s="62">
        <f t="shared" si="17"/>
        <v>400.44175715750623</v>
      </c>
      <c r="DT26" s="62">
        <f ca="1">AVERAGE(OFFSET($DS$3,0,0,'Données projet'!$E$14+1,1))-AVERAGE(OFFSET($H$3,0,0,'Données projet'!$E$14+1,1))</f>
        <v>282.98919020956595</v>
      </c>
      <c r="DU26" s="62">
        <f t="shared" si="44"/>
        <v>182.23565317232647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0.71814639450707185</v>
      </c>
      <c r="ED26" s="24">
        <f t="shared" si="18"/>
        <v>0.71814639450707185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9">
        <f t="shared" si="1"/>
        <v>305.83043169862646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4.0476666666666672</v>
      </c>
      <c r="N27" s="14">
        <f>IF('Données projet'!$A$36&gt;35,N26+M27-V26,IF(A27&lt;'Données projet'!$A$36,$K$205^A27,IF(A27='Données projet'!$A$36,'Données projet'!$B$36,N26+M27-V26)))</f>
        <v>46.500839772439015</v>
      </c>
      <c r="O27" s="14">
        <f>N27*VLOOKUP('Données projet'!$B$9,Paramètres!$A$1:$I$89,3,0)*VLOOKUP('Données projet'!$B$9,Paramètres!$A$1:$I$89,5,0)</f>
        <v>21.762393013501459</v>
      </c>
      <c r="P27" s="14">
        <f t="shared" si="33"/>
        <v>7.0072830403186224</v>
      </c>
      <c r="Q27" s="22">
        <f t="shared" si="2"/>
        <v>50.10718579373664</v>
      </c>
      <c r="R27" s="62">
        <f t="shared" si="0"/>
        <v>336.10718579373662</v>
      </c>
      <c r="S27" s="62">
        <f ca="1">AVERAGE(OFFSET($R$3,0,0,'Données projet'!$E$9+1,1))-AVERAGE(OFFSET($H$3,0,0,'Données projet'!$E$9+1,1))</f>
        <v>172.62653085905839</v>
      </c>
      <c r="T27" s="62">
        <f t="shared" si="34"/>
        <v>103.0747749312265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5.8</v>
      </c>
      <c r="AI27" s="14">
        <f>IF('Données projet'!$A$62&gt;35,AI26+AH27-AQ26,IF(A27&lt;'Données projet'!$A$62,$AF$205^A27,IF(A27='Données projet'!$A$62,'Données projet'!$B$62,AI26+AH27-AQ26)))</f>
        <v>65.199999999999989</v>
      </c>
      <c r="AJ27" s="14">
        <f>AI27*VLOOKUP('Données projet'!$B$10,Paramètres!$A$1:$I$89,3,0)*VLOOKUP('Données projet'!$B$10,Paramètres!$A$1:$I$89,5,0)</f>
        <v>66.112799999999993</v>
      </c>
      <c r="AK27" s="14">
        <f t="shared" si="35"/>
        <v>18.704942500096539</v>
      </c>
      <c r="AL27" s="22">
        <f t="shared" si="4"/>
        <v>147.72423485433478</v>
      </c>
      <c r="AM27" s="62">
        <f t="shared" si="5"/>
        <v>433.72423485433478</v>
      </c>
      <c r="AN27" s="62">
        <f ca="1">AVERAGE(OFFSET($AM$3,0,0,'Données projet'!$E$10+1,1))-AVERAGE(OFFSET($H$3,0,0,'Données projet'!$E$10+1,1))</f>
        <v>289.36126704091066</v>
      </c>
      <c r="AO27" s="62">
        <f t="shared" si="36"/>
        <v>195.3674411454258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5.8</v>
      </c>
      <c r="BD27" s="13">
        <f>IF('Données projet'!$A$88&gt;35,BD26+BC27-BL26,IF(A27&lt;'Données projet'!$A$88,$BA$205^A27,IF(A27='Données projet'!$A$88,'Données projet'!$B$88,BD26+BC27-BL26)))</f>
        <v>65.199999999999989</v>
      </c>
      <c r="BE27" s="14">
        <f>BD27*VLOOKUP('Données projet'!$B$11,Paramètres!$A$1:$I$89,3,0)*VLOOKUP('Données projet'!$B$11,Paramètres!$A$1:$I$89,5,0)</f>
        <v>58.992959999999982</v>
      </c>
      <c r="BF27" s="14">
        <f t="shared" si="37"/>
        <v>16.913407425602649</v>
      </c>
      <c r="BG27" s="22">
        <f t="shared" si="7"/>
        <v>132.20358993292459</v>
      </c>
      <c r="BH27" s="62">
        <f t="shared" si="8"/>
        <v>418.20358993292461</v>
      </c>
      <c r="BI27" s="62">
        <f ca="1">AVERAGE(OFFSET($BH$3,0,0,'Données projet'!$E$11+1,1))-AVERAGE(OFFSET($H$3,0,0,'Données projet'!$E$11+1,1))</f>
        <v>250.17147737747007</v>
      </c>
      <c r="BJ27" s="62">
        <f t="shared" si="38"/>
        <v>172.25613380618552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5.8</v>
      </c>
      <c r="BY27" s="13">
        <f>IF('Données projet'!$A$114&gt;35,BY26+BX27-CG26,IF(A27&lt;'Données projet'!$A$114,$BV$205^A27,IF(A27='Données projet'!$A$114,'Données projet'!$B$114,BY26+BX27-CG26)))</f>
        <v>65.199999999999989</v>
      </c>
      <c r="BZ27" s="14">
        <f>BY27*VLOOKUP('Données projet'!$B$12,Paramètres!$A$1:$I$89,3,0)*VLOOKUP('Données projet'!$B$12,Paramètres!$A$1:$I$89,5,0)</f>
        <v>70.181279999999973</v>
      </c>
      <c r="CA27" s="14">
        <f t="shared" si="39"/>
        <v>19.718469005812477</v>
      </c>
      <c r="CB27" s="22">
        <f t="shared" si="10"/>
        <v>156.57539618512337</v>
      </c>
      <c r="CC27" s="62">
        <f t="shared" si="11"/>
        <v>442.5753961851234</v>
      </c>
      <c r="CD27" s="62">
        <f ca="1">AVERAGE(OFFSET($CC$3,0,0,'Données projet'!$E$12+1,1))-AVERAGE(OFFSET($H$3,0,0,'Données projet'!$E$12+1,1))</f>
        <v>311.71521576048417</v>
      </c>
      <c r="CE27" s="62">
        <f t="shared" si="40"/>
        <v>208.54841796921403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12.333333333333334</v>
      </c>
      <c r="CT27" s="13">
        <f>IF('Données projet'!$A$140&gt;35,CT26+CS27-DB26,IF(A27&lt;'Données projet'!$A$140,$CQ$205^A27,IF(A27='Données projet'!$A$140,'Données projet'!$B$140,CT26+CS27-DB26)))</f>
        <v>131.66666666666669</v>
      </c>
      <c r="CU27" s="18">
        <f>CT27*VLOOKUP('Données projet'!$B$13,Paramètres!$A$1:$I$89,3,0)*VLOOKUP('Données projet'!$B$13,Paramètres!$A$1:$I$89,5,0)</f>
        <v>78.736666666666679</v>
      </c>
      <c r="CV27" s="14">
        <f t="shared" si="41"/>
        <v>21.828006984037064</v>
      </c>
      <c r="CW27" s="22">
        <f t="shared" si="13"/>
        <v>175.15013994164235</v>
      </c>
      <c r="CX27" s="62">
        <f t="shared" si="14"/>
        <v>461.15013994164235</v>
      </c>
      <c r="CY27" s="62">
        <f ca="1">AVERAGE(OFFSET($CX$3,0,0,'Données projet'!$E$13+1,1))-AVERAGE(OFFSET($H$3,0,0,'Données projet'!$E$13+1,1))</f>
        <v>280.47174439810988</v>
      </c>
      <c r="CZ27" s="62">
        <f t="shared" si="42"/>
        <v>231.19476400361157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5.416599311366614</v>
      </c>
      <c r="DI27" s="24">
        <f t="shared" si="15"/>
        <v>5.416599311366614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</v>
      </c>
      <c r="DO27" s="13">
        <f>IF('Données projet'!$A$166&gt;35,DO26+DN27-DW26,IF(A27&lt;'Données projet'!$A$166,$DL$205^A27,IF(A27='Données projet'!$A$166,'Données projet'!$B$166,DO26+DN27-DW26)))</f>
        <v>96</v>
      </c>
      <c r="DP27" s="18">
        <f>DO27*VLOOKUP('Données projet'!$B$14,Paramètres!$A$1:$I$89,3,0)*VLOOKUP('Données projet'!$B$14,Paramètres!$A$1:$I$89,5,0)</f>
        <v>57.408000000000008</v>
      </c>
      <c r="DQ27" s="14">
        <f t="shared" si="43"/>
        <v>16.511255298579947</v>
      </c>
      <c r="DR27" s="22">
        <f t="shared" si="16"/>
        <v>128.74270297836009</v>
      </c>
      <c r="DS27" s="62">
        <f t="shared" si="17"/>
        <v>414.74270297836006</v>
      </c>
      <c r="DT27" s="62">
        <f ca="1">AVERAGE(OFFSET($DS$3,0,0,'Données projet'!$E$14+1,1))-AVERAGE(OFFSET($H$3,0,0,'Données projet'!$E$14+1,1))</f>
        <v>282.98919020956595</v>
      </c>
      <c r="DU27" s="62">
        <f t="shared" si="44"/>
        <v>182.23565317232647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0.50780618544062017</v>
      </c>
      <c r="ED27" s="24">
        <f t="shared" si="18"/>
        <v>0.50780618544062017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9">
        <f t="shared" si="1"/>
        <v>307.81969047561677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4.0476666666666672</v>
      </c>
      <c r="N28" s="14">
        <f>IF('Données projet'!$A$36&gt;35,N27+M28-V27,IF(A28&lt;'Données projet'!$A$36,$K$205^A28,IF(A28='Données projet'!$A$36,'Données projet'!$B$36,N27+M28-V27)))</f>
        <v>54.568036771697152</v>
      </c>
      <c r="O28" s="14">
        <f>N28*VLOOKUP('Données projet'!$B$9,Paramètres!$A$1:$I$89,3,0)*VLOOKUP('Données projet'!$B$9,Paramètres!$A$1:$I$89,5,0)</f>
        <v>25.537841209154266</v>
      </c>
      <c r="P28" s="14">
        <f t="shared" si="33"/>
        <v>8.0712352975514357</v>
      </c>
      <c r="Q28" s="22">
        <f t="shared" si="2"/>
        <v>58.535808249179098</v>
      </c>
      <c r="R28" s="62">
        <f t="shared" si="0"/>
        <v>345.7580304714013</v>
      </c>
      <c r="S28" s="62">
        <f ca="1">AVERAGE(OFFSET($R$3,0,0,'Données projet'!$E$9+1,1))-AVERAGE(OFFSET($H$3,0,0,'Données projet'!$E$9+1,1))</f>
        <v>172.62653085905839</v>
      </c>
      <c r="T28" s="62">
        <f t="shared" si="34"/>
        <v>103.0747749312265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5.8</v>
      </c>
      <c r="AH28" s="13">
        <f t="array" ref="AH28">INDEX(AG:AG,MIN(IF(ISNUMBER(AG28:AG224),ROW(AG28:AG224),"")))</f>
        <v>5.8</v>
      </c>
      <c r="AI28" s="14">
        <f>IF('Données projet'!$A$62&gt;35,AI27+AH28-AQ27,IF(A28&lt;'Données projet'!$A$62,$AF$205^A28,IF(A28='Données projet'!$A$62,'Données projet'!$B$62,AI27+AH28-AQ27)))</f>
        <v>70.999999999999986</v>
      </c>
      <c r="AJ28" s="14">
        <f>AI28*VLOOKUP('Données projet'!$B$10,Paramètres!$A$1:$I$89,3,0)*VLOOKUP('Données projet'!$B$10,Paramètres!$A$1:$I$89,5,0)</f>
        <v>71.993999999999986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447.73740194499908</v>
      </c>
      <c r="AN28" s="62">
        <f ca="1">AVERAGE(OFFSET($AM$3,0,0,'Données projet'!$E$10+1,1))-AVERAGE(OFFSET($H$3,0,0,'Données projet'!$E$10+1,1))</f>
        <v>289.36126704091066</v>
      </c>
      <c r="AO28" s="62">
        <f t="shared" si="36"/>
        <v>195.3674411454258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5.8</v>
      </c>
      <c r="BC28" s="13">
        <f t="array" ref="BC28">INDEX(BB:BB,MIN(IF(ISNUMBER(BB28:BB224),ROW(BB28:BB224),"")))</f>
        <v>5.8</v>
      </c>
      <c r="BD28" s="13">
        <f>IF('Données projet'!$A$88&gt;35,BD27+BC28-BL27,IF(A28&lt;'Données projet'!$A$88,$BA$205^A28,IF(A28='Données projet'!$A$88,'Données projet'!$B$88,BD27+BC28-BL27)))</f>
        <v>70.999999999999986</v>
      </c>
      <c r="BE28" s="14">
        <f>BD28*VLOOKUP('Données projet'!$B$11,Paramètres!$A$1:$I$89,3,0)*VLOOKUP('Données projet'!$B$11,Paramètres!$A$1:$I$89,5,0)</f>
        <v>64.240799999999979</v>
      </c>
      <c r="BF28" s="14">
        <f t="shared" si="37"/>
        <v>18.236177554745847</v>
      </c>
      <c r="BG28" s="22">
        <f t="shared" si="7"/>
        <v>143.64740257451564</v>
      </c>
      <c r="BH28" s="62">
        <f t="shared" si="8"/>
        <v>430.86962479673787</v>
      </c>
      <c r="BI28" s="62">
        <f ca="1">AVERAGE(OFFSET($BH$3,0,0,'Données projet'!$E$11+1,1))-AVERAGE(OFFSET($H$3,0,0,'Données projet'!$E$11+1,1))</f>
        <v>250.17147737747007</v>
      </c>
      <c r="BJ28" s="62">
        <f t="shared" si="38"/>
        <v>172.25613380618552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71</v>
      </c>
      <c r="BW28" s="13">
        <f>VLOOKUP(A28,'Données projet'!$A$113:$I$133,9,0)</f>
        <v>5.8</v>
      </c>
      <c r="BX28" s="13">
        <f t="array" ref="BX28">INDEX(BW:BW,MIN(IF(ISNUMBER(BW28:BW224),ROW(BW28:BW224),"")))</f>
        <v>5.8</v>
      </c>
      <c r="BY28" s="13">
        <f>IF('Données projet'!$A$114&gt;35,BY27+BX28-CG27,IF(A28&lt;'Données projet'!$A$114,$BV$205^A28,IF(A28='Données projet'!$A$114,'Données projet'!$B$114,BY27+BX28-CG27)))</f>
        <v>70.999999999999986</v>
      </c>
      <c r="BZ28" s="14">
        <f>BY28*VLOOKUP('Données projet'!$B$12,Paramètres!$A$1:$I$89,3,0)*VLOOKUP('Données projet'!$B$12,Paramètres!$A$1:$I$89,5,0)</f>
        <v>76.424399999999977</v>
      </c>
      <c r="CA28" s="14">
        <f t="shared" si="39"/>
        <v>21.260618446015851</v>
      </c>
      <c r="CB28" s="22">
        <f t="shared" si="10"/>
        <v>170.13474046014423</v>
      </c>
      <c r="CC28" s="62">
        <f t="shared" si="11"/>
        <v>457.35696268236643</v>
      </c>
      <c r="CD28" s="62">
        <f ca="1">AVERAGE(OFFSET($CC$3,0,0,'Données projet'!$E$12+1,1))-AVERAGE(OFFSET($H$3,0,0,'Données projet'!$E$12+1,1))</f>
        <v>311.71521576048417</v>
      </c>
      <c r="CE28" s="62">
        <f t="shared" si="40"/>
        <v>208.54841796921403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144</v>
      </c>
      <c r="CR28" s="13">
        <f>VLOOKUP(A28,'Données projet'!$A$139:$I$159,9,0)</f>
        <v>12.333333333333334</v>
      </c>
      <c r="CS28" s="13">
        <f t="array" ref="CS28">INDEX(CR:CR,MIN(IF(ISNUMBER(CR28:CR224),ROW(CR28:CR224),"")))</f>
        <v>12.333333333333334</v>
      </c>
      <c r="CT28" s="13">
        <f>IF('Données projet'!$A$140&gt;35,CT27+CS28-DB27,IF(A28&lt;'Données projet'!$A$140,$CQ$205^A28,IF(A28='Données projet'!$A$140,'Données projet'!$B$140,CT27+CS28-DB27)))</f>
        <v>144.00000000000003</v>
      </c>
      <c r="CU28" s="18">
        <f>CT28*VLOOKUP('Données projet'!$B$13,Paramètres!$A$1:$I$89,3,0)*VLOOKUP('Données projet'!$B$13,Paramètres!$A$1:$I$89,5,0)</f>
        <v>86.112000000000009</v>
      </c>
      <c r="CV28" s="14">
        <f t="shared" si="41"/>
        <v>23.625136642852297</v>
      </c>
      <c r="CW28" s="22">
        <f t="shared" si="13"/>
        <v>191.12551298630106</v>
      </c>
      <c r="CX28" s="62">
        <f t="shared" si="14"/>
        <v>478.34773520852332</v>
      </c>
      <c r="CY28" s="62">
        <f ca="1">AVERAGE(OFFSET($CX$3,0,0,'Données projet'!$E$13+1,1))-AVERAGE(OFFSET($H$3,0,0,'Données projet'!$E$13+1,1))</f>
        <v>280.47174439810988</v>
      </c>
      <c r="CZ28" s="62">
        <f t="shared" si="42"/>
        <v>231.19476400361157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17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1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15.34038764069177</v>
      </c>
      <c r="DI28" s="24">
        <f t="shared" si="15"/>
        <v>15.34038764069177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10</v>
      </c>
      <c r="DO28" s="13">
        <f>IF('Données projet'!$A$166&gt;35,DO27+DN28-DW27,IF(A28&lt;'Données projet'!$A$166,$DL$205^A28,IF(A28='Données projet'!$A$166,'Données projet'!$B$166,DO27+DN28-DW27)))</f>
        <v>106</v>
      </c>
      <c r="DP28" s="18">
        <f>DO28*VLOOKUP('Données projet'!$B$14,Paramètres!$A$1:$I$89,3,0)*VLOOKUP('Données projet'!$B$14,Paramètres!$A$1:$I$89,5,0)</f>
        <v>63.388000000000012</v>
      </c>
      <c r="DQ28" s="14">
        <f t="shared" si="43"/>
        <v>18.022104085041263</v>
      </c>
      <c r="DR28" s="22">
        <f t="shared" si="16"/>
        <v>141.78926461478019</v>
      </c>
      <c r="DS28" s="62">
        <f t="shared" si="17"/>
        <v>429.01148683700239</v>
      </c>
      <c r="DT28" s="62">
        <f ca="1">AVERAGE(OFFSET($DS$3,0,0,'Données projet'!$E$14+1,1))-AVERAGE(OFFSET($H$3,0,0,'Données projet'!$E$14+1,1))</f>
        <v>282.98919020956595</v>
      </c>
      <c r="DU28" s="62">
        <f t="shared" si="44"/>
        <v>182.23565317232647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0.35907319725353598</v>
      </c>
      <c r="ED28" s="24">
        <f t="shared" si="18"/>
        <v>0.35907319725353598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9">
        <f t="shared" si="1"/>
        <v>309.80690215583428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4.0476666666666672</v>
      </c>
      <c r="N29" s="14">
        <f>IF('Données projet'!$A$36&gt;35,N28+M29-V28,IF(A29&lt;'Données projet'!$A$36,$K$205^A29,IF(A29='Données projet'!$A$36,'Données projet'!$B$36,N28+M29-V28)))</f>
        <v>64.034771236156331</v>
      </c>
      <c r="O29" s="14">
        <f>N29*VLOOKUP('Données projet'!$B$9,Paramètres!$A$1:$I$89,3,0)*VLOOKUP('Données projet'!$B$9,Paramètres!$A$1:$I$89,5,0)</f>
        <v>29.96827293852116</v>
      </c>
      <c r="P29" s="14">
        <f t="shared" si="33"/>
        <v>9.2967329639189398</v>
      </c>
      <c r="Q29" s="22">
        <f t="shared" si="2"/>
        <v>68.386551946749833</v>
      </c>
      <c r="R29" s="62">
        <f t="shared" si="0"/>
        <v>356.83099639119428</v>
      </c>
      <c r="S29" s="62">
        <f ca="1">AVERAGE(OFFSET($R$3,0,0,'Données projet'!$E$9+1,1))-AVERAGE(OFFSET($H$3,0,0,'Données projet'!$E$9+1,1))</f>
        <v>172.62653085905839</v>
      </c>
      <c r="T29" s="62">
        <f t="shared" si="34"/>
        <v>103.0747749312265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69.999999999999986</v>
      </c>
      <c r="AJ29" s="14">
        <f>AI29*VLOOKUP('Données projet'!$B$10,Paramètres!$A$1:$I$89,3,0)*VLOOKUP('Données projet'!$B$10,Paramètres!$A$1:$I$89,5,0)</f>
        <v>70.97999999999999</v>
      </c>
      <c r="AK29" s="14">
        <f t="shared" si="35"/>
        <v>19.916628839746853</v>
      </c>
      <c r="AL29" s="22">
        <f t="shared" si="4"/>
        <v>158.31162856255909</v>
      </c>
      <c r="AM29" s="62">
        <f t="shared" si="5"/>
        <v>446.75607300700358</v>
      </c>
      <c r="AN29" s="62">
        <f ca="1">AVERAGE(OFFSET($AM$3,0,0,'Données projet'!$E$10+1,1))-AVERAGE(OFFSET($H$3,0,0,'Données projet'!$E$10+1,1))</f>
        <v>289.36126704091066</v>
      </c>
      <c r="AO29" s="62">
        <f t="shared" si="36"/>
        <v>195.3674411454258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69.999999999999986</v>
      </c>
      <c r="BE29" s="14">
        <f>BD29*VLOOKUP('Données projet'!$B$11,Paramètres!$A$1:$I$89,3,0)*VLOOKUP('Données projet'!$B$11,Paramètres!$A$1:$I$89,5,0)</f>
        <v>63.335999999999984</v>
      </c>
      <c r="BF29" s="14">
        <f t="shared" si="37"/>
        <v>18.009040022946227</v>
      </c>
      <c r="BG29" s="22">
        <f t="shared" si="7"/>
        <v>141.67594470663133</v>
      </c>
      <c r="BH29" s="62">
        <f t="shared" si="8"/>
        <v>430.12038915107576</v>
      </c>
      <c r="BI29" s="62">
        <f ca="1">AVERAGE(OFFSET($BH$3,0,0,'Données projet'!$E$11+1,1))-AVERAGE(OFFSET($H$3,0,0,'Données projet'!$E$11+1,1))</f>
        <v>250.17147737747007</v>
      </c>
      <c r="BJ29" s="62">
        <f t="shared" si="38"/>
        <v>172.25613380618552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69.999999999999986</v>
      </c>
      <c r="BZ29" s="14">
        <f>BY29*VLOOKUP('Données projet'!$B$12,Paramètres!$A$1:$I$89,3,0)*VLOOKUP('Données projet'!$B$12,Paramètres!$A$1:$I$89,5,0)</f>
        <v>75.347999999999971</v>
      </c>
      <c r="CA29" s="14">
        <f t="shared" si="39"/>
        <v>20.99581051771704</v>
      </c>
      <c r="CB29" s="22">
        <f t="shared" si="10"/>
        <v>167.79880331835713</v>
      </c>
      <c r="CC29" s="62">
        <f t="shared" si="11"/>
        <v>456.24324776280162</v>
      </c>
      <c r="CD29" s="62">
        <f ca="1">AVERAGE(OFFSET($CC$3,0,0,'Données projet'!$E$12+1,1))-AVERAGE(OFFSET($H$3,0,0,'Données projet'!$E$12+1,1))</f>
        <v>311.71521576048417</v>
      </c>
      <c r="CE29" s="62">
        <f t="shared" si="40"/>
        <v>208.54841796921403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13.4</v>
      </c>
      <c r="CT29" s="13">
        <f>IF('Données projet'!$A$140&gt;35,CT28+CS29-DB28,IF(A29&lt;'Données projet'!$A$140,$CQ$205^A29,IF(A29='Données projet'!$A$140,'Données projet'!$B$140,CT28+CS29-DB28)))</f>
        <v>140.40000000000003</v>
      </c>
      <c r="CU29" s="18">
        <f>CT29*VLOOKUP('Données projet'!$B$13,Paramètres!$A$1:$I$89,3,0)*VLOOKUP('Données projet'!$B$13,Paramètres!$A$1:$I$89,5,0)</f>
        <v>83.959200000000024</v>
      </c>
      <c r="CV29" s="14">
        <f t="shared" si="41"/>
        <v>23.102490880810642</v>
      </c>
      <c r="CW29" s="22">
        <f t="shared" si="13"/>
        <v>186.46577828407854</v>
      </c>
      <c r="CX29" s="62">
        <f t="shared" si="14"/>
        <v>474.91022272852297</v>
      </c>
      <c r="CY29" s="62">
        <f ca="1">AVERAGE(OFFSET($CX$3,0,0,'Données projet'!$E$13+1,1))-AVERAGE(OFFSET($H$3,0,0,'Données projet'!$E$13+1,1))</f>
        <v>280.47174439810988</v>
      </c>
      <c r="CZ29" s="62">
        <f t="shared" si="42"/>
        <v>231.19476400361157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10.847292126763454</v>
      </c>
      <c r="DI29" s="24">
        <f t="shared" si="15"/>
        <v>10.847292126763454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10</v>
      </c>
      <c r="DO29" s="13">
        <f>IF('Données projet'!$A$166&gt;35,DO28+DN29-DW28,IF(A29&lt;'Données projet'!$A$166,$DL$205^A29,IF(A29='Données projet'!$A$166,'Données projet'!$B$166,DO28+DN29-DW28)))</f>
        <v>116</v>
      </c>
      <c r="DP29" s="18">
        <f>DO29*VLOOKUP('Données projet'!$B$14,Paramètres!$A$1:$I$89,3,0)*VLOOKUP('Données projet'!$B$14,Paramètres!$A$1:$I$89,5,0)</f>
        <v>69.367999999999995</v>
      </c>
      <c r="DQ29" s="14">
        <f t="shared" si="43"/>
        <v>19.516426948203531</v>
      </c>
      <c r="DR29" s="22">
        <f t="shared" si="16"/>
        <v>154.80704360145447</v>
      </c>
      <c r="DS29" s="62">
        <f t="shared" si="17"/>
        <v>443.2514880458989</v>
      </c>
      <c r="DT29" s="62">
        <f ca="1">AVERAGE(OFFSET($DS$3,0,0,'Données projet'!$E$14+1,1))-AVERAGE(OFFSET($H$3,0,0,'Données projet'!$E$14+1,1))</f>
        <v>282.98919020956595</v>
      </c>
      <c r="DU29" s="62">
        <f t="shared" si="44"/>
        <v>182.23565317232647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0.25390309272031009</v>
      </c>
      <c r="ED29" s="24">
        <f t="shared" si="18"/>
        <v>0.25390309272031009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9">
        <f t="shared" si="1"/>
        <v>311.79215448605208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4.0476666666666672</v>
      </c>
      <c r="N30" s="14">
        <f>IF('Données projet'!$A$36&gt;35,N29+M30-V29,IF(A30&lt;'Données projet'!$A$36,$K$205^A30,IF(A30='Données projet'!$A$36,'Données projet'!$B$36,N29+M30-V29)))</f>
        <v>75.143841887191726</v>
      </c>
      <c r="O30" s="14">
        <f>N30*VLOOKUP('Données projet'!$B$9,Paramètres!$A$1:$I$89,3,0)*VLOOKUP('Données projet'!$B$9,Paramètres!$A$1:$I$89,5,0)</f>
        <v>35.167318003205729</v>
      </c>
      <c r="P30" s="14">
        <f t="shared" si="33"/>
        <v>10.708304319741121</v>
      </c>
      <c r="Q30" s="22">
        <f t="shared" si="2"/>
        <v>79.900042212465777</v>
      </c>
      <c r="R30" s="62">
        <f t="shared" si="0"/>
        <v>369.56670887913248</v>
      </c>
      <c r="S30" s="62">
        <f ca="1">AVERAGE(OFFSET($R$3,0,0,'Données projet'!$E$9+1,1))-AVERAGE(OFFSET($H$3,0,0,'Données projet'!$E$9+1,1))</f>
        <v>172.62653085905839</v>
      </c>
      <c r="T30" s="62">
        <f t="shared" si="34"/>
        <v>103.0747749312265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76.999999999999986</v>
      </c>
      <c r="AJ30" s="14">
        <f>AI30*VLOOKUP('Données projet'!$B$10,Paramètres!$A$1:$I$89,3,0)*VLOOKUP('Données projet'!$B$10,Paramètres!$A$1:$I$89,5,0)</f>
        <v>78.077999999999989</v>
      </c>
      <c r="AK30" s="14">
        <f t="shared" si="35"/>
        <v>21.666582091642084</v>
      </c>
      <c r="AL30" s="22">
        <f t="shared" si="4"/>
        <v>173.72181380960993</v>
      </c>
      <c r="AM30" s="62">
        <f t="shared" si="5"/>
        <v>463.38848047627664</v>
      </c>
      <c r="AN30" s="62">
        <f ca="1">AVERAGE(OFFSET($AM$3,0,0,'Données projet'!$E$10+1,1))-AVERAGE(OFFSET($H$3,0,0,'Données projet'!$E$10+1,1))</f>
        <v>289.36126704091066</v>
      </c>
      <c r="AO30" s="62">
        <f t="shared" si="36"/>
        <v>195.3674411454258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76.999999999999986</v>
      </c>
      <c r="BE30" s="14">
        <f>BD30*VLOOKUP('Données projet'!$B$11,Paramètres!$A$1:$I$89,3,0)*VLOOKUP('Données projet'!$B$11,Paramètres!$A$1:$I$89,5,0)</f>
        <v>69.669599999999988</v>
      </c>
      <c r="BF30" s="14">
        <f t="shared" si="37"/>
        <v>19.591385027476957</v>
      </c>
      <c r="BG30" s="22">
        <f t="shared" si="7"/>
        <v>155.46288225618903</v>
      </c>
      <c r="BH30" s="62">
        <f t="shared" si="8"/>
        <v>445.12954892285575</v>
      </c>
      <c r="BI30" s="62">
        <f ca="1">AVERAGE(OFFSET($BH$3,0,0,'Données projet'!$E$11+1,1))-AVERAGE(OFFSET($H$3,0,0,'Données projet'!$E$11+1,1))</f>
        <v>250.17147737747007</v>
      </c>
      <c r="BJ30" s="62">
        <f t="shared" si="38"/>
        <v>172.25613380618552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76.999999999999986</v>
      </c>
      <c r="BZ30" s="14">
        <f>BY30*VLOOKUP('Données projet'!$B$12,Paramètres!$A$1:$I$89,3,0)*VLOOKUP('Données projet'!$B$12,Paramètres!$A$1:$I$89,5,0)</f>
        <v>82.882799999999989</v>
      </c>
      <c r="CA30" s="14">
        <f t="shared" si="39"/>
        <v>22.840584911380041</v>
      </c>
      <c r="CB30" s="22">
        <f t="shared" si="10"/>
        <v>184.1348953873202</v>
      </c>
      <c r="CC30" s="62">
        <f t="shared" si="11"/>
        <v>473.80156205398691</v>
      </c>
      <c r="CD30" s="62">
        <f ca="1">AVERAGE(OFFSET($CC$3,0,0,'Données projet'!$E$12+1,1))-AVERAGE(OFFSET($H$3,0,0,'Données projet'!$E$12+1,1))</f>
        <v>311.71521576048417</v>
      </c>
      <c r="CE30" s="62">
        <f t="shared" si="40"/>
        <v>208.54841796921403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13.4</v>
      </c>
      <c r="CT30" s="13">
        <f>IF('Données projet'!$A$140&gt;35,CT29+CS30-DB29,IF(A30&lt;'Données projet'!$A$140,$CQ$205^A30,IF(A30='Données projet'!$A$140,'Données projet'!$B$140,CT29+CS30-DB29)))</f>
        <v>153.80000000000004</v>
      </c>
      <c r="CU30" s="18">
        <f>CT30*VLOOKUP('Données projet'!$B$13,Paramètres!$A$1:$I$89,3,0)*VLOOKUP('Données projet'!$B$13,Paramètres!$A$1:$I$89,5,0)</f>
        <v>91.972400000000022</v>
      </c>
      <c r="CV30" s="14">
        <f t="shared" si="41"/>
        <v>25.040318527820091</v>
      </c>
      <c r="CW30" s="22">
        <f t="shared" si="13"/>
        <v>203.79715143595334</v>
      </c>
      <c r="CX30" s="62">
        <f t="shared" si="14"/>
        <v>493.46381810262005</v>
      </c>
      <c r="CY30" s="62">
        <f ca="1">AVERAGE(OFFSET($CX$3,0,0,'Données projet'!$E$13+1,1))-AVERAGE(OFFSET($H$3,0,0,'Données projet'!$E$13+1,1))</f>
        <v>280.47174439810988</v>
      </c>
      <c r="CZ30" s="62">
        <f t="shared" si="42"/>
        <v>231.19476400361157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7.6701938203458866</v>
      </c>
      <c r="DI30" s="24">
        <f t="shared" si="15"/>
        <v>7.6701938203458866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10</v>
      </c>
      <c r="DO30" s="13">
        <f>IF('Données projet'!$A$166&gt;35,DO29+DN30-DW29,IF(A30&lt;'Données projet'!$A$166,$DL$205^A30,IF(A30='Données projet'!$A$166,'Données projet'!$B$166,DO29+DN30-DW29)))</f>
        <v>126</v>
      </c>
      <c r="DP30" s="18">
        <f>DO30*VLOOKUP('Données projet'!$B$14,Paramètres!$A$1:$I$89,3,0)*VLOOKUP('Données projet'!$B$14,Paramètres!$A$1:$I$89,5,0)</f>
        <v>75.347999999999999</v>
      </c>
      <c r="DQ30" s="14">
        <f t="shared" si="43"/>
        <v>20.99581051771704</v>
      </c>
      <c r="DR30" s="22">
        <f t="shared" si="16"/>
        <v>167.79880331835713</v>
      </c>
      <c r="DS30" s="62">
        <f t="shared" si="17"/>
        <v>457.46546998502379</v>
      </c>
      <c r="DT30" s="62">
        <f ca="1">AVERAGE(OFFSET($DS$3,0,0,'Données projet'!$E$14+1,1))-AVERAGE(OFFSET($H$3,0,0,'Données projet'!$E$14+1,1))</f>
        <v>282.98919020956595</v>
      </c>
      <c r="DU30" s="62">
        <f t="shared" si="44"/>
        <v>182.23565317232647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0.17953659862676799</v>
      </c>
      <c r="ED30" s="24">
        <f t="shared" si="18"/>
        <v>0.17953659862676799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9">
        <f t="shared" si="1"/>
        <v>313.77552834500773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4.0476666666666672</v>
      </c>
      <c r="N31" s="14">
        <f>IF('Données projet'!$A$36&gt;35,N30+M31-V30,IF(A31&lt;'Données projet'!$A$36,$K$205^A31,IF(A31='Données projet'!$A$36,'Données projet'!$B$36,N30+M31-V30)))</f>
        <v>88.180169376149777</v>
      </c>
      <c r="O31" s="14">
        <f>N31*VLOOKUP('Données projet'!$B$9,Paramètres!$A$1:$I$89,3,0)*VLOOKUP('Données projet'!$B$9,Paramètres!$A$1:$I$89,5,0)</f>
        <v>41.268319268038091</v>
      </c>
      <c r="P31" s="14">
        <f t="shared" si="33"/>
        <v>12.334201901809736</v>
      </c>
      <c r="Q31" s="22">
        <f t="shared" si="2"/>
        <v>93.357724370818289</v>
      </c>
      <c r="R31" s="62">
        <f t="shared" si="0"/>
        <v>384.24661325970715</v>
      </c>
      <c r="S31" s="62">
        <f ca="1">AVERAGE(OFFSET($R$3,0,0,'Données projet'!$E$9+1,1))-AVERAGE(OFFSET($H$3,0,0,'Données projet'!$E$9+1,1))</f>
        <v>172.62653085905839</v>
      </c>
      <c r="T31" s="62">
        <f t="shared" si="34"/>
        <v>103.0747749312265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83.999999999999986</v>
      </c>
      <c r="AJ31" s="14">
        <f>AI31*VLOOKUP('Données projet'!$B$10,Paramètres!$A$1:$I$89,3,0)*VLOOKUP('Données projet'!$B$10,Paramètres!$A$1:$I$89,5,0)</f>
        <v>85.175999999999988</v>
      </c>
      <c r="AK31" s="14">
        <f t="shared" si="35"/>
        <v>23.398088487656434</v>
      </c>
      <c r="AL31" s="22">
        <f t="shared" si="4"/>
        <v>189.09987078266826</v>
      </c>
      <c r="AM31" s="62">
        <f t="shared" si="5"/>
        <v>479.98875967155709</v>
      </c>
      <c r="AN31" s="62">
        <f ca="1">AVERAGE(OFFSET($AM$3,0,0,'Données projet'!$E$10+1,1))-AVERAGE(OFFSET($H$3,0,0,'Données projet'!$E$10+1,1))</f>
        <v>289.36126704091066</v>
      </c>
      <c r="AO31" s="62">
        <f t="shared" si="36"/>
        <v>195.3674411454258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83.999999999999986</v>
      </c>
      <c r="BE31" s="14">
        <f>BD31*VLOOKUP('Données projet'!$B$11,Paramètres!$A$1:$I$89,3,0)*VLOOKUP('Données projet'!$B$11,Paramètres!$A$1:$I$89,5,0)</f>
        <v>76.003199999999993</v>
      </c>
      <c r="BF31" s="14">
        <f t="shared" si="37"/>
        <v>21.157049992000438</v>
      </c>
      <c r="BG31" s="22">
        <f t="shared" si="7"/>
        <v>169.22076873606741</v>
      </c>
      <c r="BH31" s="62">
        <f t="shared" si="8"/>
        <v>460.1096576249563</v>
      </c>
      <c r="BI31" s="62">
        <f ca="1">AVERAGE(OFFSET($BH$3,0,0,'Données projet'!$E$11+1,1))-AVERAGE(OFFSET($H$3,0,0,'Données projet'!$E$11+1,1))</f>
        <v>250.17147737747007</v>
      </c>
      <c r="BJ31" s="62">
        <f t="shared" si="38"/>
        <v>172.25613380618552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83.999999999999986</v>
      </c>
      <c r="BZ31" s="14">
        <f>BY31*VLOOKUP('Données projet'!$B$12,Paramètres!$A$1:$I$89,3,0)*VLOOKUP('Données projet'!$B$12,Paramètres!$A$1:$I$89,5,0)</f>
        <v>90.417599999999979</v>
      </c>
      <c r="CA31" s="14">
        <f t="shared" si="39"/>
        <v>24.665912907068826</v>
      </c>
      <c r="CB31" s="22">
        <f t="shared" si="10"/>
        <v>200.43711831314485</v>
      </c>
      <c r="CC31" s="62">
        <f t="shared" si="11"/>
        <v>491.32600720203368</v>
      </c>
      <c r="CD31" s="62">
        <f ca="1">AVERAGE(OFFSET($CC$3,0,0,'Données projet'!$E$12+1,1))-AVERAGE(OFFSET($H$3,0,0,'Données projet'!$E$12+1,1))</f>
        <v>311.71521576048417</v>
      </c>
      <c r="CE31" s="62">
        <f t="shared" si="40"/>
        <v>208.54841796921403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13.4</v>
      </c>
      <c r="CT31" s="13">
        <f>IF('Données projet'!$A$140&gt;35,CT30+CS31-DB30,IF(A31&lt;'Données projet'!$A$140,$CQ$205^A31,IF(A31='Données projet'!$A$140,'Données projet'!$B$140,CT30+CS31-DB30)))</f>
        <v>167.20000000000005</v>
      </c>
      <c r="CU31" s="18">
        <f>CT31*VLOOKUP('Données projet'!$B$13,Paramètres!$A$1:$I$89,3,0)*VLOOKUP('Données projet'!$B$13,Paramètres!$A$1:$I$89,5,0)</f>
        <v>99.985600000000034</v>
      </c>
      <c r="CV31" s="14">
        <f t="shared" si="41"/>
        <v>26.958566918169435</v>
      </c>
      <c r="CW31" s="22">
        <f t="shared" si="13"/>
        <v>221.09442404914515</v>
      </c>
      <c r="CX31" s="62">
        <f t="shared" si="14"/>
        <v>511.98331293803403</v>
      </c>
      <c r="CY31" s="62">
        <f ca="1">AVERAGE(OFFSET($CX$3,0,0,'Données projet'!$E$13+1,1))-AVERAGE(OFFSET($H$3,0,0,'Données projet'!$E$13+1,1))</f>
        <v>280.47174439810988</v>
      </c>
      <c r="CZ31" s="62">
        <f t="shared" si="42"/>
        <v>231.19476400361157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5.4236460633817281</v>
      </c>
      <c r="DI31" s="24">
        <f t="shared" si="15"/>
        <v>5.4236460633817281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10</v>
      </c>
      <c r="DO31" s="13">
        <f>IF('Données projet'!$A$166&gt;35,DO30+DN31-DW30,IF(A31&lt;'Données projet'!$A$166,$DL$205^A31,IF(A31='Données projet'!$A$166,'Données projet'!$B$166,DO30+DN31-DW30)))</f>
        <v>136</v>
      </c>
      <c r="DP31" s="18">
        <f>DO31*VLOOKUP('Données projet'!$B$14,Paramètres!$A$1:$I$89,3,0)*VLOOKUP('Données projet'!$B$14,Paramètres!$A$1:$I$89,5,0)</f>
        <v>81.328000000000003</v>
      </c>
      <c r="DQ31" s="14">
        <f t="shared" si="43"/>
        <v>22.461575251587323</v>
      </c>
      <c r="DR31" s="22">
        <f t="shared" si="16"/>
        <v>180.76684356318125</v>
      </c>
      <c r="DS31" s="62">
        <f t="shared" si="17"/>
        <v>471.65573245207008</v>
      </c>
      <c r="DT31" s="62">
        <f ca="1">AVERAGE(OFFSET($DS$3,0,0,'Données projet'!$E$14+1,1))-AVERAGE(OFFSET($H$3,0,0,'Données projet'!$E$14+1,1))</f>
        <v>282.98919020956595</v>
      </c>
      <c r="DU31" s="62">
        <f t="shared" si="44"/>
        <v>182.23565317232647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0.12695154636015504</v>
      </c>
      <c r="ED31" s="24">
        <f t="shared" si="18"/>
        <v>0.12695154636015504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9">
        <f t="shared" si="1"/>
        <v>315.75709850689469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4.0476666666666672</v>
      </c>
      <c r="N32" s="14">
        <f>IF('Données projet'!$A$36&gt;35,N31+M32-V31,IF(A32&lt;'Données projet'!$A$36,$K$205^A32,IF(A32='Données projet'!$A$36,'Données projet'!$B$36,N31+M32-V31)))</f>
        <v>103.47810380629259</v>
      </c>
      <c r="O32" s="14">
        <f>N32*VLOOKUP('Données projet'!$B$9,Paramètres!$A$1:$I$89,3,0)*VLOOKUP('Données projet'!$B$9,Paramètres!$A$1:$I$89,5,0)</f>
        <v>48.427752581344933</v>
      </c>
      <c r="P32" s="14">
        <f t="shared" si="33"/>
        <v>14.206967976633383</v>
      </c>
      <c r="Q32" s="22">
        <f t="shared" si="2"/>
        <v>109.08880497181222</v>
      </c>
      <c r="R32" s="62">
        <f t="shared" si="0"/>
        <v>401.19991608292338</v>
      </c>
      <c r="S32" s="62">
        <f ca="1">AVERAGE(OFFSET($R$3,0,0,'Données projet'!$E$9+1,1))-AVERAGE(OFFSET($H$3,0,0,'Données projet'!$E$9+1,1))</f>
        <v>172.62653085905839</v>
      </c>
      <c r="T32" s="62">
        <f t="shared" si="34"/>
        <v>103.0747749312265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90.999999999999986</v>
      </c>
      <c r="AJ32" s="14">
        <f>AI32*VLOOKUP('Données projet'!$B$10,Paramètres!$A$1:$I$89,3,0)*VLOOKUP('Données projet'!$B$10,Paramètres!$A$1:$I$89,5,0)</f>
        <v>92.273999999999987</v>
      </c>
      <c r="AK32" s="14">
        <f t="shared" si="35"/>
        <v>25.112860036087554</v>
      </c>
      <c r="AL32" s="22">
        <f t="shared" si="4"/>
        <v>204.44878122951911</v>
      </c>
      <c r="AM32" s="62">
        <f t="shared" si="5"/>
        <v>496.55989234063026</v>
      </c>
      <c r="AN32" s="62">
        <f ca="1">AVERAGE(OFFSET($AM$3,0,0,'Données projet'!$E$10+1,1))-AVERAGE(OFFSET($H$3,0,0,'Données projet'!$E$10+1,1))</f>
        <v>289.36126704091066</v>
      </c>
      <c r="AO32" s="62">
        <f t="shared" si="36"/>
        <v>195.3674411454258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90.999999999999986</v>
      </c>
      <c r="BE32" s="14">
        <f>BD32*VLOOKUP('Données projet'!$B$11,Paramètres!$A$1:$I$89,3,0)*VLOOKUP('Données projet'!$B$11,Paramètres!$A$1:$I$89,5,0)</f>
        <v>82.336799999999982</v>
      </c>
      <c r="BF32" s="14">
        <f t="shared" si="37"/>
        <v>22.707582950885364</v>
      </c>
      <c r="BG32" s="22">
        <f t="shared" si="7"/>
        <v>182.9523003061253</v>
      </c>
      <c r="BH32" s="62">
        <f t="shared" si="8"/>
        <v>475.06341141723647</v>
      </c>
      <c r="BI32" s="62">
        <f ca="1">AVERAGE(OFFSET($BH$3,0,0,'Données projet'!$E$11+1,1))-AVERAGE(OFFSET($H$3,0,0,'Données projet'!$E$11+1,1))</f>
        <v>250.17147737747007</v>
      </c>
      <c r="BJ32" s="62">
        <f t="shared" si="38"/>
        <v>172.25613380618552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90.999999999999986</v>
      </c>
      <c r="BZ32" s="14">
        <f>BY32*VLOOKUP('Données projet'!$B$12,Paramètres!$A$1:$I$89,3,0)*VLOOKUP('Données projet'!$B$12,Paramètres!$A$1:$I$89,5,0)</f>
        <v>97.952399999999983</v>
      </c>
      <c r="CA32" s="14">
        <f t="shared" si="39"/>
        <v>26.473599278177087</v>
      </c>
      <c r="CB32" s="22">
        <f t="shared" si="10"/>
        <v>216.70861540949173</v>
      </c>
      <c r="CC32" s="62">
        <f t="shared" si="11"/>
        <v>508.8197265206029</v>
      </c>
      <c r="CD32" s="62">
        <f ca="1">AVERAGE(OFFSET($CC$3,0,0,'Données projet'!$E$12+1,1))-AVERAGE(OFFSET($H$3,0,0,'Données projet'!$E$12+1,1))</f>
        <v>311.71521576048417</v>
      </c>
      <c r="CE32" s="62">
        <f t="shared" si="40"/>
        <v>208.54841796921403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13.4</v>
      </c>
      <c r="CT32" s="13">
        <f>IF('Données projet'!$A$140&gt;35,CT31+CS32-DB31,IF(A32&lt;'Données projet'!$A$140,$CQ$205^A32,IF(A32='Données projet'!$A$140,'Données projet'!$B$140,CT31+CS32-DB31)))</f>
        <v>180.60000000000005</v>
      </c>
      <c r="CU32" s="18">
        <f>CT32*VLOOKUP('Données projet'!$B$13,Paramètres!$A$1:$I$89,3,0)*VLOOKUP('Données projet'!$B$13,Paramètres!$A$1:$I$89,5,0)</f>
        <v>107.99880000000003</v>
      </c>
      <c r="CV32" s="14">
        <f t="shared" si="41"/>
        <v>28.85898360070161</v>
      </c>
      <c r="CW32" s="22">
        <f t="shared" si="13"/>
        <v>238.36063977122203</v>
      </c>
      <c r="CX32" s="62">
        <f t="shared" si="14"/>
        <v>530.47175088233314</v>
      </c>
      <c r="CY32" s="62">
        <f ca="1">AVERAGE(OFFSET($CX$3,0,0,'Données projet'!$E$13+1,1))-AVERAGE(OFFSET($H$3,0,0,'Données projet'!$E$13+1,1))</f>
        <v>280.47174439810988</v>
      </c>
      <c r="CZ32" s="62">
        <f t="shared" si="42"/>
        <v>231.19476400361157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3.8350969101729437</v>
      </c>
      <c r="DI32" s="24">
        <f t="shared" si="15"/>
        <v>3.8350969101729437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10</v>
      </c>
      <c r="DO32" s="13">
        <f>IF('Données projet'!$A$166&gt;35,DO31+DN32-DW31,IF(A32&lt;'Données projet'!$A$166,$DL$205^A32,IF(A32='Données projet'!$A$166,'Données projet'!$B$166,DO31+DN32-DW31)))</f>
        <v>146</v>
      </c>
      <c r="DP32" s="18">
        <f>DO32*VLOOKUP('Données projet'!$B$14,Paramètres!$A$1:$I$89,3,0)*VLOOKUP('Données projet'!$B$14,Paramètres!$A$1:$I$89,5,0)</f>
        <v>87.307999999999993</v>
      </c>
      <c r="DQ32" s="14">
        <f t="shared" si="43"/>
        <v>23.914836409796052</v>
      </c>
      <c r="DR32" s="22">
        <f t="shared" si="16"/>
        <v>193.71310674706146</v>
      </c>
      <c r="DS32" s="62">
        <f t="shared" si="17"/>
        <v>485.82421785817257</v>
      </c>
      <c r="DT32" s="62">
        <f ca="1">AVERAGE(OFFSET($DS$3,0,0,'Données projet'!$E$14+1,1))-AVERAGE(OFFSET($H$3,0,0,'Données projet'!$E$14+1,1))</f>
        <v>282.98919020956595</v>
      </c>
      <c r="DU32" s="62">
        <f t="shared" si="44"/>
        <v>182.23565317232647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8.9768299313383995E-2</v>
      </c>
      <c r="ED32" s="24">
        <f t="shared" si="18"/>
        <v>8.9768299313383995E-2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9">
        <f t="shared" si="1"/>
        <v>317.73693429658658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121.43</v>
      </c>
      <c r="L33" s="13">
        <f>VLOOKUP(A33,'Données projet'!$A$35:$I$55,9,0)</f>
        <v>4.0476666666666672</v>
      </c>
      <c r="M33" s="13">
        <f t="array" ref="M33">INDEX(L:L,MIN(IF(ISNUMBER(L33:L229),ROW(L33:L229),"")))</f>
        <v>4.0476666666666672</v>
      </c>
      <c r="N33" s="14">
        <f>IF('Données projet'!$A$36&gt;35,N32+M33-V32,IF(A33&lt;'Données projet'!$A$36,$K$205^A33,IF(A33='Données projet'!$A$36,'Données projet'!$B$36,N32+M33-V32)))</f>
        <v>121.43</v>
      </c>
      <c r="O33" s="14">
        <f>N33*VLOOKUP('Données projet'!$B$9,Paramètres!$A$1:$I$89,3,0)*VLOOKUP('Données projet'!$B$9,Paramètres!$A$1:$I$89,5,0)</f>
        <v>56.829240000000006</v>
      </c>
      <c r="P33" s="14">
        <f t="shared" si="33"/>
        <v>16.364085872428582</v>
      </c>
      <c r="Q33" s="22">
        <f t="shared" si="2"/>
        <v>127.47837589447978</v>
      </c>
      <c r="R33" s="62">
        <f t="shared" si="0"/>
        <v>420.81170922781308</v>
      </c>
      <c r="S33" s="62">
        <f ca="1">AVERAGE(OFFSET($R$3,0,0,'Données projet'!$E$9+1,1))-AVERAGE(OFFSET($H$3,0,0,'Données projet'!$E$9+1,1))</f>
        <v>172.62653085905839</v>
      </c>
      <c r="T33" s="62">
        <f t="shared" si="34"/>
        <v>103.0747749312265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97.999999999999986</v>
      </c>
      <c r="AJ33" s="14">
        <f>AI33*VLOOKUP('Données projet'!$B$10,Paramètres!$A$1:$I$89,3,0)*VLOOKUP('Données projet'!$B$10,Paramètres!$A$1:$I$89,5,0)</f>
        <v>99.372</v>
      </c>
      <c r="AK33" s="14">
        <f t="shared" si="35"/>
        <v>26.812330397327713</v>
      </c>
      <c r="AL33" s="22">
        <f t="shared" si="4"/>
        <v>219.7710421086791</v>
      </c>
      <c r="AM33" s="62">
        <f t="shared" si="5"/>
        <v>513.10437544201238</v>
      </c>
      <c r="AN33" s="62">
        <f ca="1">AVERAGE(OFFSET($AM$3,0,0,'Données projet'!$E$10+1,1))-AVERAGE(OFFSET($H$3,0,0,'Données projet'!$E$10+1,1))</f>
        <v>289.36126704091066</v>
      </c>
      <c r="AO33" s="62">
        <f t="shared" si="36"/>
        <v>195.3674411454258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97.999999999999986</v>
      </c>
      <c r="BE33" s="14">
        <f>BD33*VLOOKUP('Données projet'!$B$11,Paramètres!$A$1:$I$89,3,0)*VLOOKUP('Données projet'!$B$11,Paramètres!$A$1:$I$89,5,0)</f>
        <v>88.670399999999987</v>
      </c>
      <c r="BF33" s="14">
        <f t="shared" si="37"/>
        <v>24.244280250395512</v>
      </c>
      <c r="BG33" s="22">
        <f t="shared" si="7"/>
        <v>196.65973476943881</v>
      </c>
      <c r="BH33" s="62">
        <f t="shared" si="8"/>
        <v>489.9930681027721</v>
      </c>
      <c r="BI33" s="62">
        <f ca="1">AVERAGE(OFFSET($BH$3,0,0,'Données projet'!$E$11+1,1))-AVERAGE(OFFSET($H$3,0,0,'Données projet'!$E$11+1,1))</f>
        <v>250.17147737747007</v>
      </c>
      <c r="BJ33" s="62">
        <f t="shared" si="38"/>
        <v>172.25613380618552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97.999999999999986</v>
      </c>
      <c r="BZ33" s="14">
        <f>BY33*VLOOKUP('Données projet'!$B$12,Paramètres!$A$1:$I$89,3,0)*VLOOKUP('Données projet'!$B$12,Paramètres!$A$1:$I$89,5,0)</f>
        <v>105.48719999999999</v>
      </c>
      <c r="CA33" s="14">
        <f t="shared" si="39"/>
        <v>28.265155367923839</v>
      </c>
      <c r="CB33" s="22">
        <f t="shared" si="10"/>
        <v>232.95201893246733</v>
      </c>
      <c r="CC33" s="62">
        <f t="shared" si="11"/>
        <v>526.28535226580061</v>
      </c>
      <c r="CD33" s="62">
        <f ca="1">AVERAGE(OFFSET($CC$3,0,0,'Données projet'!$E$12+1,1))-AVERAGE(OFFSET($H$3,0,0,'Données projet'!$E$12+1,1))</f>
        <v>311.71521576048417</v>
      </c>
      <c r="CE33" s="62">
        <f t="shared" si="40"/>
        <v>208.54841796921403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194</v>
      </c>
      <c r="CR33" s="13">
        <f>VLOOKUP(A33,'Données projet'!$A$139:$I$159,9,0)</f>
        <v>13.4</v>
      </c>
      <c r="CS33" s="13">
        <f t="array" ref="CS33">INDEX(CR:CR,MIN(IF(ISNUMBER(CR33:CR229),ROW(CR33:CR229),"")))</f>
        <v>13.4</v>
      </c>
      <c r="CT33" s="13">
        <f>IF('Données projet'!$A$140&gt;35,CT32+CS33-DB32,IF(A33&lt;'Données projet'!$A$140,$CQ$205^A33,IF(A33='Données projet'!$A$140,'Données projet'!$B$140,CT32+CS33-DB32)))</f>
        <v>194.00000000000006</v>
      </c>
      <c r="CU33" s="18">
        <f>CT33*VLOOKUP('Données projet'!$B$13,Paramètres!$A$1:$I$89,3,0)*VLOOKUP('Données projet'!$B$13,Paramètres!$A$1:$I$89,5,0)</f>
        <v>116.01200000000003</v>
      </c>
      <c r="CV33" s="14">
        <f t="shared" si="41"/>
        <v>30.743042086238173</v>
      </c>
      <c r="CW33" s="22">
        <f t="shared" si="13"/>
        <v>255.59836496686489</v>
      </c>
      <c r="CX33" s="62">
        <f t="shared" si="14"/>
        <v>548.93169830019815</v>
      </c>
      <c r="CY33" s="62">
        <f ca="1">AVERAGE(OFFSET($CX$3,0,0,'Données projet'!$E$13+1,1))-AVERAGE(OFFSET($H$3,0,0,'Données projet'!$E$13+1,1))</f>
        <v>280.47174439810988</v>
      </c>
      <c r="CZ33" s="62">
        <f t="shared" si="42"/>
        <v>231.19476400361157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34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9.0000000000000011E-2</v>
      </c>
      <c r="DE33" s="17">
        <f>IF(ISNA(VLOOKUP(A33,'Données projet'!$A$139:$I$159,7,0)),0%,VLOOKUP(A33,'Données projet'!$A$139:$I$159,7,0))</f>
        <v>0.8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2.4178959553116695</v>
      </c>
      <c r="DH33" s="23">
        <f>EXP(-LN(2)/2)*DH32+(1-EXP(-LN(2)/2))/(LN(2)/2)*DB33*DE33*VLOOKUP('Données projet'!$B$13,Paramètres!$A$1:$I$89,3,0)*0.475*44/12</f>
        <v>21.128260690337349</v>
      </c>
      <c r="DI33" s="24">
        <f t="shared" si="15"/>
        <v>23.54615664564902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156</v>
      </c>
      <c r="DM33" s="13">
        <f>VLOOKUP(A33,'Données projet'!$A$165:$I$185,9,0)</f>
        <v>10</v>
      </c>
      <c r="DN33" s="13">
        <f t="array" ref="DN33">INDEX(DM:DM,MIN(IF(ISNUMBER(DM33:DM229),ROW(DM33:DM229),"")))</f>
        <v>10</v>
      </c>
      <c r="DO33" s="13">
        <f>IF('Données projet'!$A$166&gt;35,DO32+DN33-DW32,IF(A33&lt;'Données projet'!$A$166,$DL$205^A33,IF(A33='Données projet'!$A$166,'Données projet'!$B$166,DO32+DN33-DW32)))</f>
        <v>156</v>
      </c>
      <c r="DP33" s="18">
        <f>DO33*VLOOKUP('Données projet'!$B$14,Paramètres!$A$1:$I$89,3,0)*VLOOKUP('Données projet'!$B$14,Paramètres!$A$1:$I$89,5,0)</f>
        <v>93.288000000000011</v>
      </c>
      <c r="DQ33" s="14">
        <f t="shared" si="43"/>
        <v>25.356547829040977</v>
      </c>
      <c r="DR33" s="22">
        <f t="shared" si="16"/>
        <v>206.63925413557971</v>
      </c>
      <c r="DS33" s="62">
        <f t="shared" si="17"/>
        <v>499.97258746891305</v>
      </c>
      <c r="DT33" s="62">
        <f ca="1">AVERAGE(OFFSET($DS$3,0,0,'Données projet'!$E$14+1,1))-AVERAGE(OFFSET($H$3,0,0,'Données projet'!$E$14+1,1))</f>
        <v>282.98919020956595</v>
      </c>
      <c r="DU33" s="62">
        <f t="shared" si="44"/>
        <v>182.23565317232647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12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1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8.188374740229996</v>
      </c>
      <c r="ED33" s="24">
        <f t="shared" si="18"/>
        <v>8.188374740229996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9">
        <f t="shared" si="1"/>
        <v>319.71510015504356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11.481</v>
      </c>
      <c r="N34" s="14">
        <f>IF('Données projet'!$A$36&gt;35,N33+M34-V33,IF(A34&lt;'Données projet'!$A$36,$K$205^A34,IF(A34='Données projet'!$A$36,'Données projet'!$B$36,N33+M34-V33)))</f>
        <v>132.911</v>
      </c>
      <c r="O34" s="14">
        <f>N34*VLOOKUP('Données projet'!$B$9,Paramètres!$A$1:$I$89,3,0)*VLOOKUP('Données projet'!$B$9,Paramètres!$A$1:$I$89,5,0)</f>
        <v>62.202348000000001</v>
      </c>
      <c r="P34" s="14">
        <f t="shared" si="33"/>
        <v>17.723918097544789</v>
      </c>
      <c r="Q34" s="22">
        <f t="shared" si="2"/>
        <v>139.20491345322381</v>
      </c>
      <c r="R34" s="62">
        <f t="shared" si="0"/>
        <v>432.53824678655712</v>
      </c>
      <c r="S34" s="62">
        <f ca="1">AVERAGE(OFFSET($R$3,0,0,'Données projet'!$E$9+1,1))-AVERAGE(OFFSET($H$3,0,0,'Données projet'!$E$9+1,1))</f>
        <v>172.62653085905839</v>
      </c>
      <c r="T34" s="62">
        <f t="shared" si="34"/>
        <v>103.0747749312265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84.799999999999983</v>
      </c>
      <c r="AJ34" s="14">
        <f>AI34*VLOOKUP('Données projet'!$B$10,Paramètres!$A$1:$I$89,3,0)*VLOOKUP('Données projet'!$B$10,Paramètres!$A$1:$I$89,5,0)</f>
        <v>85.987199999999987</v>
      </c>
      <c r="AK34" s="14">
        <f t="shared" si="35"/>
        <v>23.594880218992504</v>
      </c>
      <c r="AL34" s="22">
        <f t="shared" si="4"/>
        <v>190.85545638141193</v>
      </c>
      <c r="AM34" s="62">
        <f t="shared" si="5"/>
        <v>484.18878971474521</v>
      </c>
      <c r="AN34" s="62">
        <f ca="1">AVERAGE(OFFSET($AM$3,0,0,'Données projet'!$E$10+1,1))-AVERAGE(OFFSET($H$3,0,0,'Données projet'!$E$10+1,1))</f>
        <v>289.36126704091066</v>
      </c>
      <c r="AO34" s="62">
        <f t="shared" si="36"/>
        <v>195.3674411454258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84.799999999999983</v>
      </c>
      <c r="BE34" s="14">
        <f>BD34*VLOOKUP('Données projet'!$B$11,Paramètres!$A$1:$I$89,3,0)*VLOOKUP('Données projet'!$B$11,Paramètres!$A$1:$I$89,5,0)</f>
        <v>76.727039999999974</v>
      </c>
      <c r="BF34" s="14">
        <f t="shared" si="37"/>
        <v>21.334993267156708</v>
      </c>
      <c r="BG34" s="22">
        <f t="shared" si="7"/>
        <v>170.79137460696452</v>
      </c>
      <c r="BH34" s="62">
        <f t="shared" si="8"/>
        <v>464.12470794029787</v>
      </c>
      <c r="BI34" s="62">
        <f ca="1">AVERAGE(OFFSET($BH$3,0,0,'Données projet'!$E$11+1,1))-AVERAGE(OFFSET($H$3,0,0,'Données projet'!$E$11+1,1))</f>
        <v>250.17147737747007</v>
      </c>
      <c r="BJ34" s="62">
        <f t="shared" si="38"/>
        <v>172.25613380618552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7.8</v>
      </c>
      <c r="BY34" s="13">
        <f>IF('Données projet'!$A$114&gt;35,BY33+BX34-CG33,IF(A34&lt;'Données projet'!$A$114,$BV$205^A34,IF(A34='Données projet'!$A$114,'Données projet'!$B$114,BY33+BX34-CG33)))</f>
        <v>84.799999999999983</v>
      </c>
      <c r="BZ34" s="14">
        <f>BY34*VLOOKUP('Données projet'!$B$12,Paramètres!$A$1:$I$89,3,0)*VLOOKUP('Données projet'!$B$12,Paramètres!$A$1:$I$89,5,0)</f>
        <v>91.278719999999979</v>
      </c>
      <c r="CA34" s="14">
        <f t="shared" si="39"/>
        <v>24.873367789912262</v>
      </c>
      <c r="CB34" s="22">
        <f t="shared" si="10"/>
        <v>202.29821956743046</v>
      </c>
      <c r="CC34" s="62">
        <f t="shared" si="11"/>
        <v>495.63155290076378</v>
      </c>
      <c r="CD34" s="62">
        <f ca="1">AVERAGE(OFFSET($CC$3,0,0,'Données projet'!$E$12+1,1))-AVERAGE(OFFSET($H$3,0,0,'Données projet'!$E$12+1,1))</f>
        <v>311.71521576048417</v>
      </c>
      <c r="CE34" s="62">
        <f t="shared" si="40"/>
        <v>208.54841796921403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14.6</v>
      </c>
      <c r="CT34" s="13">
        <f>IF('Données projet'!$A$140&gt;35,CT33+CS34-DB33,IF(A34&lt;'Données projet'!$A$140,$CQ$205^A34,IF(A34='Données projet'!$A$140,'Données projet'!$B$140,CT33+CS34-DB33)))</f>
        <v>174.60000000000005</v>
      </c>
      <c r="CU34" s="18">
        <f>CT34*VLOOKUP('Données projet'!$B$13,Paramètres!$A$1:$I$89,3,0)*VLOOKUP('Données projet'!$B$13,Paramètres!$A$1:$I$89,5,0)</f>
        <v>104.41080000000004</v>
      </c>
      <c r="CV34" s="14">
        <f t="shared" si="41"/>
        <v>28.010155571424168</v>
      </c>
      <c r="CW34" s="22">
        <f t="shared" si="13"/>
        <v>230.63316428689714</v>
      </c>
      <c r="CX34" s="62">
        <f t="shared" si="14"/>
        <v>523.96649762023048</v>
      </c>
      <c r="CY34" s="62">
        <f ca="1">AVERAGE(OFFSET($CX$3,0,0,'Données projet'!$E$13+1,1))-AVERAGE(OFFSET($H$3,0,0,'Données projet'!$E$13+1,1))</f>
        <v>280.47174439810988</v>
      </c>
      <c r="CZ34" s="62">
        <f t="shared" si="42"/>
        <v>231.19476400361157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2.3517784632620495</v>
      </c>
      <c r="DH34" s="23">
        <f>EXP(-LN(2)/2)*DH33+(1-EXP(-LN(2)/2))/(LN(2)/2)*DB34*DE34*VLOOKUP('Données projet'!$B$13,Paramètres!$A$1:$I$89,3,0)*0.475*44/12</f>
        <v>14.939936408814706</v>
      </c>
      <c r="DI34" s="24">
        <f t="shared" si="15"/>
        <v>17.291714872076756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10.3</v>
      </c>
      <c r="DO34" s="13">
        <f>IF('Données projet'!$A$166&gt;35,DO33+DN34-DW33,IF(A34&lt;'Données projet'!$A$166,$DL$205^A34,IF(A34='Données projet'!$A$166,'Données projet'!$B$166,DO33+DN34-DW33)))</f>
        <v>154.30000000000001</v>
      </c>
      <c r="DP34" s="18">
        <f>DO34*VLOOKUP('Données projet'!$B$14,Paramètres!$A$1:$I$89,3,0)*VLOOKUP('Données projet'!$B$14,Paramètres!$A$1:$I$89,5,0)</f>
        <v>92.271400000000014</v>
      </c>
      <c r="DQ34" s="14">
        <f t="shared" si="43"/>
        <v>25.112234796315317</v>
      </c>
      <c r="DR34" s="22">
        <f t="shared" si="16"/>
        <v>204.44316393691588</v>
      </c>
      <c r="DS34" s="62">
        <f t="shared" si="17"/>
        <v>497.77649727024919</v>
      </c>
      <c r="DT34" s="62">
        <f ca="1">AVERAGE(OFFSET($DS$3,0,0,'Données projet'!$E$14+1,1))-AVERAGE(OFFSET($H$3,0,0,'Données projet'!$E$14+1,1))</f>
        <v>282.98919020956595</v>
      </c>
      <c r="DU34" s="62">
        <f t="shared" si="44"/>
        <v>182.23565317232647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5.7900553057132651</v>
      </c>
      <c r="ED34" s="24">
        <f t="shared" si="18"/>
        <v>5.7900553057132651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9">
        <f t="shared" si="1"/>
        <v>321.69165612971409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11.481</v>
      </c>
      <c r="N35" s="14">
        <f>IF('Données projet'!$A$36&gt;35,N34+M35-V34,IF(A35&lt;'Données projet'!$A$36,$K$205^A35,IF(A35='Données projet'!$A$36,'Données projet'!$B$36,N34+M35-V34)))</f>
        <v>144.392</v>
      </c>
      <c r="O35" s="14">
        <f>N35*VLOOKUP('Données projet'!$B$9,Paramètres!$A$1:$I$89,3,0)*VLOOKUP('Données projet'!$B$9,Paramètres!$A$1:$I$89,5,0)</f>
        <v>67.575456000000003</v>
      </c>
      <c r="P35" s="14">
        <f t="shared" si="33"/>
        <v>19.070128173450531</v>
      </c>
      <c r="Q35" s="22">
        <f t="shared" ref="Q35:Q66" si="53">(O35+P35)*0.475*44/12</f>
        <v>150.90772576875966</v>
      </c>
      <c r="R35" s="62">
        <f t="shared" si="0"/>
        <v>444.241059102093</v>
      </c>
      <c r="S35" s="62">
        <f ca="1">AVERAGE(OFFSET($R$3,0,0,'Données projet'!$E$9+1,1))-AVERAGE(OFFSET($H$3,0,0,'Données projet'!$E$9+1,1))</f>
        <v>172.62653085905839</v>
      </c>
      <c r="T35" s="62">
        <f t="shared" si="34"/>
        <v>103.0747749312265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92.59999999999998</v>
      </c>
      <c r="AJ35" s="14">
        <f>AI35*VLOOKUP('Données projet'!$B$10,Paramètres!$A$1:$I$89,3,0)*VLOOKUP('Données projet'!$B$10,Paramètres!$A$1:$I$89,5,0)</f>
        <v>93.896399999999986</v>
      </c>
      <c r="AK35" s="14">
        <f t="shared" si="35"/>
        <v>25.502612364176063</v>
      </c>
      <c r="AL35" s="22">
        <f t="shared" si="4"/>
        <v>207.9532798676066</v>
      </c>
      <c r="AM35" s="62">
        <f t="shared" si="5"/>
        <v>501.28661320093988</v>
      </c>
      <c r="AN35" s="62">
        <f ca="1">AVERAGE(OFFSET($AM$3,0,0,'Données projet'!$E$10+1,1))-AVERAGE(OFFSET($H$3,0,0,'Données projet'!$E$10+1,1))</f>
        <v>289.36126704091066</v>
      </c>
      <c r="AO35" s="62">
        <f t="shared" si="36"/>
        <v>195.3674411454258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92.59999999999998</v>
      </c>
      <c r="BE35" s="14">
        <f>BD35*VLOOKUP('Données projet'!$B$11,Paramètres!$A$1:$I$89,3,0)*VLOOKUP('Données projet'!$B$11,Paramètres!$A$1:$I$89,5,0)</f>
        <v>83.784479999999974</v>
      </c>
      <c r="BF35" s="14">
        <f t="shared" si="37"/>
        <v>23.06000530770384</v>
      </c>
      <c r="BG35" s="22">
        <f t="shared" si="7"/>
        <v>186.08747857758416</v>
      </c>
      <c r="BH35" s="62">
        <f t="shared" si="8"/>
        <v>479.42081191091745</v>
      </c>
      <c r="BI35" s="62">
        <f ca="1">AVERAGE(OFFSET($BH$3,0,0,'Données projet'!$E$11+1,1))-AVERAGE(OFFSET($H$3,0,0,'Données projet'!$E$11+1,1))</f>
        <v>250.17147737747007</v>
      </c>
      <c r="BJ35" s="62">
        <f t="shared" si="38"/>
        <v>172.25613380618552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7.8</v>
      </c>
      <c r="BY35" s="13">
        <f>IF('Données projet'!$A$114&gt;35,BY34+BX35-CG34,IF(A35&lt;'Données projet'!$A$114,$BV$205^A35,IF(A35='Données projet'!$A$114,'Données projet'!$B$114,BY34+BX35-CG34)))</f>
        <v>92.59999999999998</v>
      </c>
      <c r="BZ35" s="14">
        <f>BY35*VLOOKUP('Données projet'!$B$12,Paramètres!$A$1:$I$89,3,0)*VLOOKUP('Données projet'!$B$12,Paramètres!$A$1:$I$89,5,0)</f>
        <v>99.674639999999982</v>
      </c>
      <c r="CA35" s="14">
        <f t="shared" si="39"/>
        <v>26.884470319417503</v>
      </c>
      <c r="CB35" s="22">
        <f t="shared" si="10"/>
        <v>220.42378380631877</v>
      </c>
      <c r="CC35" s="62">
        <f t="shared" si="11"/>
        <v>513.75711713965211</v>
      </c>
      <c r="CD35" s="62">
        <f ca="1">AVERAGE(OFFSET($CC$3,0,0,'Données projet'!$E$12+1,1))-AVERAGE(OFFSET($H$3,0,0,'Données projet'!$E$12+1,1))</f>
        <v>311.71521576048417</v>
      </c>
      <c r="CE35" s="62">
        <f t="shared" si="40"/>
        <v>208.54841796921403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14.6</v>
      </c>
      <c r="CT35" s="13">
        <f>IF('Données projet'!$A$140&gt;35,CT34+CS35-DB34,IF(A35&lt;'Données projet'!$A$140,$CQ$205^A35,IF(A35='Données projet'!$A$140,'Données projet'!$B$140,CT34+CS35-DB34)))</f>
        <v>189.20000000000005</v>
      </c>
      <c r="CU35" s="18">
        <f>CT35*VLOOKUP('Données projet'!$B$13,Paramètres!$A$1:$I$89,3,0)*VLOOKUP('Données projet'!$B$13,Paramètres!$A$1:$I$89,5,0)</f>
        <v>113.14160000000004</v>
      </c>
      <c r="CV35" s="14">
        <f t="shared" si="41"/>
        <v>30.069952587742019</v>
      </c>
      <c r="CW35" s="22">
        <f t="shared" si="13"/>
        <v>249.42678742365072</v>
      </c>
      <c r="CX35" s="62">
        <f t="shared" si="14"/>
        <v>542.76012075698407</v>
      </c>
      <c r="CY35" s="62">
        <f ca="1">AVERAGE(OFFSET($CX$3,0,0,'Données projet'!$E$13+1,1))-AVERAGE(OFFSET($H$3,0,0,'Données projet'!$E$13+1,1))</f>
        <v>280.47174439810988</v>
      </c>
      <c r="CZ35" s="62">
        <f t="shared" si="42"/>
        <v>231.19476400361157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2.2874689575094944</v>
      </c>
      <c r="DH35" s="23">
        <f>EXP(-LN(2)/2)*DH34+(1-EXP(-LN(2)/2))/(LN(2)/2)*DB35*DE35*VLOOKUP('Données projet'!$B$13,Paramètres!$A$1:$I$89,3,0)*0.475*44/12</f>
        <v>10.564130345168676</v>
      </c>
      <c r="DI35" s="24">
        <f t="shared" si="15"/>
        <v>12.851599302678171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10.3</v>
      </c>
      <c r="DO35" s="13">
        <f>IF('Données projet'!$A$166&gt;35,DO34+DN35-DW34,IF(A35&lt;'Données projet'!$A$166,$DL$205^A35,IF(A35='Données projet'!$A$166,'Données projet'!$B$166,DO34+DN35-DW34)))</f>
        <v>164.60000000000002</v>
      </c>
      <c r="DP35" s="18">
        <f>DO35*VLOOKUP('Données projet'!$B$14,Paramètres!$A$1:$I$89,3,0)*VLOOKUP('Données projet'!$B$14,Paramètres!$A$1:$I$89,5,0)</f>
        <v>98.430800000000019</v>
      </c>
      <c r="DQ35" s="14">
        <f t="shared" si="43"/>
        <v>26.587813857912444</v>
      </c>
      <c r="DR35" s="22">
        <f t="shared" si="16"/>
        <v>217.74075246919756</v>
      </c>
      <c r="DS35" s="62">
        <f t="shared" si="17"/>
        <v>511.07408580253087</v>
      </c>
      <c r="DT35" s="62">
        <f ca="1">AVERAGE(OFFSET($DS$3,0,0,'Données projet'!$E$14+1,1))-AVERAGE(OFFSET($H$3,0,0,'Données projet'!$E$14+1,1))</f>
        <v>282.98919020956595</v>
      </c>
      <c r="DU35" s="62">
        <f t="shared" si="44"/>
        <v>182.23565317232647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4.0941873701149989</v>
      </c>
      <c r="ED35" s="24">
        <f t="shared" si="18"/>
        <v>4.0941873701149989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9">
        <f t="shared" si="1"/>
        <v>323.66665830191403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11.481</v>
      </c>
      <c r="N36" s="14">
        <f>IF('Données projet'!$A$36&gt;35,N35+M36-V35,IF(A36&lt;'Données projet'!$A$36,$K$205^A36,IF(A36='Données projet'!$A$36,'Données projet'!$B$36,N35+M36-V35)))</f>
        <v>155.87299999999999</v>
      </c>
      <c r="O36" s="14">
        <f>N36*VLOOKUP('Données projet'!$B$9,Paramètres!$A$1:$I$89,3,0)*VLOOKUP('Données projet'!$B$9,Paramètres!$A$1:$I$89,5,0)</f>
        <v>72.94856399999999</v>
      </c>
      <c r="P36" s="14">
        <f t="shared" si="33"/>
        <v>20.403922377534563</v>
      </c>
      <c r="Q36" s="22">
        <f t="shared" si="53"/>
        <v>162.58891377420599</v>
      </c>
      <c r="R36" s="62">
        <f t="shared" si="0"/>
        <v>455.92224710753931</v>
      </c>
      <c r="S36" s="62">
        <f ca="1">AVERAGE(OFFSET($R$3,0,0,'Données projet'!$E$9+1,1))-AVERAGE(OFFSET($H$3,0,0,'Données projet'!$E$9+1,1))</f>
        <v>172.62653085905839</v>
      </c>
      <c r="T36" s="62">
        <f t="shared" si="34"/>
        <v>103.0747749312265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100.39999999999998</v>
      </c>
      <c r="AJ36" s="14">
        <f>AI36*VLOOKUP('Données projet'!$B$10,Paramètres!$A$1:$I$89,3,0)*VLOOKUP('Données projet'!$B$10,Paramètres!$A$1:$I$89,5,0)</f>
        <v>101.80559999999998</v>
      </c>
      <c r="AK36" s="14">
        <f t="shared" si="35"/>
        <v>27.391707821525987</v>
      </c>
      <c r="AL36" s="22">
        <f t="shared" si="4"/>
        <v>225.01864445582441</v>
      </c>
      <c r="AM36" s="62">
        <f t="shared" si="5"/>
        <v>518.35197778915767</v>
      </c>
      <c r="AN36" s="62">
        <f ca="1">AVERAGE(OFFSET($AM$3,0,0,'Données projet'!$E$10+1,1))-AVERAGE(OFFSET($H$3,0,0,'Données projet'!$E$10+1,1))</f>
        <v>289.36126704091066</v>
      </c>
      <c r="AO36" s="62">
        <f t="shared" si="36"/>
        <v>195.3674411454258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100.39999999999998</v>
      </c>
      <c r="BE36" s="14">
        <f>BD36*VLOOKUP('Données projet'!$B$11,Paramètres!$A$1:$I$89,3,0)*VLOOKUP('Données projet'!$B$11,Paramètres!$A$1:$I$89,5,0)</f>
        <v>90.841919999999973</v>
      </c>
      <c r="BF36" s="14">
        <f t="shared" si="37"/>
        <v>24.768165658148614</v>
      </c>
      <c r="BG36" s="22">
        <f t="shared" si="7"/>
        <v>201.35423252127546</v>
      </c>
      <c r="BH36" s="62">
        <f t="shared" si="8"/>
        <v>494.68756585460881</v>
      </c>
      <c r="BI36" s="62">
        <f ca="1">AVERAGE(OFFSET($BH$3,0,0,'Données projet'!$E$11+1,1))-AVERAGE(OFFSET($H$3,0,0,'Données projet'!$E$11+1,1))</f>
        <v>250.17147737747007</v>
      </c>
      <c r="BJ36" s="62">
        <f t="shared" si="38"/>
        <v>172.25613380618552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7.8</v>
      </c>
      <c r="BY36" s="13">
        <f>IF('Données projet'!$A$114&gt;35,BY35+BX36-CG35,IF(A36&lt;'Données projet'!$A$114,$BV$205^A36,IF(A36='Données projet'!$A$114,'Données projet'!$B$114,BY35+BX36-CG35)))</f>
        <v>100.39999999999998</v>
      </c>
      <c r="BZ36" s="14">
        <f>BY36*VLOOKUP('Données projet'!$B$12,Paramètres!$A$1:$I$89,3,0)*VLOOKUP('Données projet'!$B$12,Paramètres!$A$1:$I$89,5,0)</f>
        <v>108.07055999999997</v>
      </c>
      <c r="CA36" s="14">
        <f t="shared" si="39"/>
        <v>28.875926332959533</v>
      </c>
      <c r="CB36" s="22">
        <f t="shared" si="10"/>
        <v>238.51513036323777</v>
      </c>
      <c r="CC36" s="62">
        <f t="shared" si="11"/>
        <v>531.84846369657112</v>
      </c>
      <c r="CD36" s="62">
        <f ca="1">AVERAGE(OFFSET($CC$3,0,0,'Données projet'!$E$12+1,1))-AVERAGE(OFFSET($H$3,0,0,'Données projet'!$E$12+1,1))</f>
        <v>311.71521576048417</v>
      </c>
      <c r="CE36" s="62">
        <f t="shared" si="40"/>
        <v>208.54841796921403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14.6</v>
      </c>
      <c r="CT36" s="13">
        <f>IF('Données projet'!$A$140&gt;35,CT35+CS36-DB35,IF(A36&lt;'Données projet'!$A$140,$CQ$205^A36,IF(A36='Données projet'!$A$140,'Données projet'!$B$140,CT35+CS36-DB35)))</f>
        <v>203.80000000000004</v>
      </c>
      <c r="CU36" s="18">
        <f>CT36*VLOOKUP('Données projet'!$B$13,Paramètres!$A$1:$I$89,3,0)*VLOOKUP('Données projet'!$B$13,Paramètres!$A$1:$I$89,5,0)</f>
        <v>121.87240000000003</v>
      </c>
      <c r="CV36" s="14">
        <f t="shared" si="41"/>
        <v>32.111311550408985</v>
      </c>
      <c r="CW36" s="22">
        <f t="shared" si="13"/>
        <v>268.1882976169623</v>
      </c>
      <c r="CX36" s="62">
        <f t="shared" si="14"/>
        <v>561.52163095029562</v>
      </c>
      <c r="CY36" s="62">
        <f ca="1">AVERAGE(OFFSET($CX$3,0,0,'Données projet'!$E$13+1,1))-AVERAGE(OFFSET($H$3,0,0,'Données projet'!$E$13+1,1))</f>
        <v>280.47174439810988</v>
      </c>
      <c r="CZ36" s="62">
        <f t="shared" si="42"/>
        <v>231.19476400361157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2.2249179985736327</v>
      </c>
      <c r="DH36" s="23">
        <f>EXP(-LN(2)/2)*DH35+(1-EXP(-LN(2)/2))/(LN(2)/2)*DB36*DE36*VLOOKUP('Données projet'!$B$13,Paramètres!$A$1:$I$89,3,0)*0.475*44/12</f>
        <v>7.4699682044073548</v>
      </c>
      <c r="DI36" s="24">
        <f t="shared" si="15"/>
        <v>9.694886202980987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10.3</v>
      </c>
      <c r="DO36" s="13">
        <f>IF('Données projet'!$A$166&gt;35,DO35+DN36-DW35,IF(A36&lt;'Données projet'!$A$166,$DL$205^A36,IF(A36='Données projet'!$A$166,'Données projet'!$B$166,DO35+DN36-DW35)))</f>
        <v>174.90000000000003</v>
      </c>
      <c r="DP36" s="18">
        <f>DO36*VLOOKUP('Données projet'!$B$14,Paramètres!$A$1:$I$89,3,0)*VLOOKUP('Données projet'!$B$14,Paramètres!$A$1:$I$89,5,0)</f>
        <v>104.59020000000004</v>
      </c>
      <c r="DQ36" s="14">
        <f t="shared" si="43"/>
        <v>28.052676705559303</v>
      </c>
      <c r="DR36" s="22">
        <f t="shared" si="16"/>
        <v>231.01967692884918</v>
      </c>
      <c r="DS36" s="62">
        <f t="shared" si="17"/>
        <v>524.35301026218247</v>
      </c>
      <c r="DT36" s="62">
        <f ca="1">AVERAGE(OFFSET($DS$3,0,0,'Données projet'!$E$14+1,1))-AVERAGE(OFFSET($H$3,0,0,'Données projet'!$E$14+1,1))</f>
        <v>282.98919020956595</v>
      </c>
      <c r="DU36" s="62">
        <f t="shared" si="44"/>
        <v>182.23565317232647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2.895027652856633</v>
      </c>
      <c r="ED36" s="24">
        <f t="shared" si="18"/>
        <v>2.895027652856633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9">
        <f t="shared" si="1"/>
        <v>325.64015916094684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11.481</v>
      </c>
      <c r="N37" s="14">
        <f>IF('Données projet'!$A$36&gt;35,N36+M37-V36,IF(A37&lt;'Données projet'!$A$36,$K$205^A37,IF(A37='Données projet'!$A$36,'Données projet'!$B$36,N36+M37-V36)))</f>
        <v>167.35399999999998</v>
      </c>
      <c r="O37" s="14">
        <f>N37*VLOOKUP('Données projet'!$B$9,Paramètres!$A$1:$I$89,3,0)*VLOOKUP('Données projet'!$B$9,Paramètres!$A$1:$I$89,5,0)</f>
        <v>78.321671999999992</v>
      </c>
      <c r="P37" s="14">
        <f t="shared" si="33"/>
        <v>21.726319209146318</v>
      </c>
      <c r="Q37" s="22">
        <f t="shared" si="53"/>
        <v>174.25025135592981</v>
      </c>
      <c r="R37" s="62">
        <f t="shared" si="0"/>
        <v>467.58358468926315</v>
      </c>
      <c r="S37" s="62">
        <f ca="1">AVERAGE(OFFSET($R$3,0,0,'Données projet'!$E$9+1,1))-AVERAGE(OFFSET($H$3,0,0,'Données projet'!$E$9+1,1))</f>
        <v>172.62653085905839</v>
      </c>
      <c r="T37" s="62">
        <f t="shared" si="34"/>
        <v>103.0747749312265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108.19999999999997</v>
      </c>
      <c r="AJ37" s="14">
        <f>AI37*VLOOKUP('Données projet'!$B$10,Paramètres!$A$1:$I$89,3,0)*VLOOKUP('Données projet'!$B$10,Paramètres!$A$1:$I$89,5,0)</f>
        <v>109.71479999999998</v>
      </c>
      <c r="AK37" s="14">
        <f t="shared" si="35"/>
        <v>29.263779078727129</v>
      </c>
      <c r="AL37" s="22">
        <f t="shared" si="4"/>
        <v>242.05435856211636</v>
      </c>
      <c r="AM37" s="62">
        <f t="shared" si="5"/>
        <v>535.38769189544973</v>
      </c>
      <c r="AN37" s="62">
        <f ca="1">AVERAGE(OFFSET($AM$3,0,0,'Données projet'!$E$10+1,1))-AVERAGE(OFFSET($H$3,0,0,'Données projet'!$E$10+1,1))</f>
        <v>289.36126704091066</v>
      </c>
      <c r="AO37" s="62">
        <f t="shared" si="36"/>
        <v>195.3674411454258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108.19999999999997</v>
      </c>
      <c r="BE37" s="14">
        <f>BD37*VLOOKUP('Données projet'!$B$11,Paramètres!$A$1:$I$89,3,0)*VLOOKUP('Données projet'!$B$11,Paramètres!$A$1:$I$89,5,0)</f>
        <v>97.899359999999973</v>
      </c>
      <c r="BF37" s="14">
        <f t="shared" si="37"/>
        <v>26.46093236420182</v>
      </c>
      <c r="BG37" s="22">
        <f t="shared" si="7"/>
        <v>216.59417586765144</v>
      </c>
      <c r="BH37" s="62">
        <f t="shared" si="8"/>
        <v>509.92750920098479</v>
      </c>
      <c r="BI37" s="62">
        <f ca="1">AVERAGE(OFFSET($BH$3,0,0,'Données projet'!$E$11+1,1))-AVERAGE(OFFSET($H$3,0,0,'Données projet'!$E$11+1,1))</f>
        <v>250.17147737747007</v>
      </c>
      <c r="BJ37" s="62">
        <f t="shared" si="38"/>
        <v>172.25613380618552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7.8</v>
      </c>
      <c r="BY37" s="13">
        <f>IF('Données projet'!$A$114&gt;35,BY36+BX37-CG36,IF(A37&lt;'Données projet'!$A$114,$BV$205^A37,IF(A37='Données projet'!$A$114,'Données projet'!$B$114,BY36+BX37-CG36)))</f>
        <v>108.19999999999997</v>
      </c>
      <c r="BZ37" s="14">
        <f>BY37*VLOOKUP('Données projet'!$B$12,Paramètres!$A$1:$I$89,3,0)*VLOOKUP('Données projet'!$B$12,Paramètres!$A$1:$I$89,5,0)</f>
        <v>116.46647999999996</v>
      </c>
      <c r="CA37" s="14">
        <f t="shared" si="39"/>
        <v>30.849435690799186</v>
      </c>
      <c r="CB37" s="22">
        <f t="shared" si="10"/>
        <v>256.57521982814188</v>
      </c>
      <c r="CC37" s="62">
        <f t="shared" si="11"/>
        <v>549.9085531614752</v>
      </c>
      <c r="CD37" s="62">
        <f ca="1">AVERAGE(OFFSET($CC$3,0,0,'Données projet'!$E$12+1,1))-AVERAGE(OFFSET($H$3,0,0,'Données projet'!$E$12+1,1))</f>
        <v>311.71521576048417</v>
      </c>
      <c r="CE37" s="62">
        <f t="shared" si="40"/>
        <v>208.54841796921403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14.6</v>
      </c>
      <c r="CT37" s="13">
        <f>IF('Données projet'!$A$140&gt;35,CT36+CS37-DB36,IF(A37&lt;'Données projet'!$A$140,$CQ$205^A37,IF(A37='Données projet'!$A$140,'Données projet'!$B$140,CT36+CS37-DB36)))</f>
        <v>218.40000000000003</v>
      </c>
      <c r="CU37" s="18">
        <f>CT37*VLOOKUP('Données projet'!$B$13,Paramètres!$A$1:$I$89,3,0)*VLOOKUP('Données projet'!$B$13,Paramètres!$A$1:$I$89,5,0)</f>
        <v>130.60320000000004</v>
      </c>
      <c r="CV37" s="14">
        <f t="shared" si="41"/>
        <v>34.135703567016428</v>
      </c>
      <c r="CW37" s="22">
        <f t="shared" si="13"/>
        <v>286.92025704588701</v>
      </c>
      <c r="CX37" s="62">
        <f t="shared" si="14"/>
        <v>580.25359037922033</v>
      </c>
      <c r="CY37" s="62">
        <f ca="1">AVERAGE(OFFSET($CX$3,0,0,'Données projet'!$E$13+1,1))-AVERAGE(OFFSET($H$3,0,0,'Données projet'!$E$13+1,1))</f>
        <v>280.47174439810988</v>
      </c>
      <c r="CZ37" s="62">
        <f t="shared" si="42"/>
        <v>231.19476400361157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2.1640774988992844</v>
      </c>
      <c r="DH37" s="23">
        <f>EXP(-LN(2)/2)*DH36+(1-EXP(-LN(2)/2))/(LN(2)/2)*DB37*DE37*VLOOKUP('Données projet'!$B$13,Paramètres!$A$1:$I$89,3,0)*0.475*44/12</f>
        <v>5.2820651725843391</v>
      </c>
      <c r="DI37" s="24">
        <f t="shared" si="15"/>
        <v>7.4461426714836234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10.3</v>
      </c>
      <c r="DO37" s="13">
        <f>IF('Données projet'!$A$166&gt;35,DO36+DN37-DW36,IF(A37&lt;'Données projet'!$A$166,$DL$205^A37,IF(A37='Données projet'!$A$166,'Données projet'!$B$166,DO36+DN37-DW36)))</f>
        <v>185.20000000000005</v>
      </c>
      <c r="DP37" s="18">
        <f>DO37*VLOOKUP('Données projet'!$B$14,Paramètres!$A$1:$I$89,3,0)*VLOOKUP('Données projet'!$B$14,Paramètres!$A$1:$I$89,5,0)</f>
        <v>110.74960000000003</v>
      </c>
      <c r="DQ37" s="14">
        <f t="shared" si="43"/>
        <v>29.507526310895447</v>
      </c>
      <c r="DR37" s="22">
        <f t="shared" si="16"/>
        <v>244.28116165814291</v>
      </c>
      <c r="DS37" s="62">
        <f t="shared" si="17"/>
        <v>537.61449499147625</v>
      </c>
      <c r="DT37" s="62">
        <f ca="1">AVERAGE(OFFSET($DS$3,0,0,'Données projet'!$E$14+1,1))-AVERAGE(OFFSET($H$3,0,0,'Données projet'!$E$14+1,1))</f>
        <v>282.98919020956595</v>
      </c>
      <c r="DU37" s="62">
        <f t="shared" si="44"/>
        <v>182.23565317232647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2.0470936850574994</v>
      </c>
      <c r="ED37" s="24">
        <f t="shared" si="18"/>
        <v>2.0470936850574994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9">
        <f t="shared" si="1"/>
        <v>327.61220793297304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11.481</v>
      </c>
      <c r="N38" s="14">
        <f>IF('Données projet'!$A$36&gt;35,N37+M38-V37,IF(A38&lt;'Données projet'!$A$36,$K$205^A38,IF(A38='Données projet'!$A$36,'Données projet'!$B$36,N37+M38-V37)))</f>
        <v>178.83499999999998</v>
      </c>
      <c r="O38" s="14">
        <f>N38*VLOOKUP('Données projet'!$B$9,Paramètres!$A$1:$I$89,3,0)*VLOOKUP('Données projet'!$B$9,Paramètres!$A$1:$I$89,5,0)</f>
        <v>83.69477999999998</v>
      </c>
      <c r="P38" s="14">
        <f t="shared" si="33"/>
        <v>23.038189512649534</v>
      </c>
      <c r="Q38" s="22">
        <f t="shared" si="53"/>
        <v>185.89325523453124</v>
      </c>
      <c r="R38" s="62">
        <f t="shared" si="0"/>
        <v>479.22658856786455</v>
      </c>
      <c r="S38" s="62">
        <f ca="1">AVERAGE(OFFSET($R$3,0,0,'Données projet'!$E$9+1,1))-AVERAGE(OFFSET($H$3,0,0,'Données projet'!$E$9+1,1))</f>
        <v>172.62653085905839</v>
      </c>
      <c r="T38" s="62">
        <f t="shared" si="34"/>
        <v>103.0747749312265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115.99999999999997</v>
      </c>
      <c r="AJ38" s="14">
        <f>AI38*VLOOKUP('Données projet'!$B$10,Paramètres!$A$1:$I$89,3,0)*VLOOKUP('Données projet'!$B$10,Paramètres!$A$1:$I$89,5,0)</f>
        <v>117.62399999999997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289.36126704091066</v>
      </c>
      <c r="AO38" s="62">
        <f t="shared" si="36"/>
        <v>195.3674411454258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115.99999999999997</v>
      </c>
      <c r="BE38" s="14">
        <f>BD38*VLOOKUP('Données projet'!$B$11,Paramètres!$A$1:$I$89,3,0)*VLOOKUP('Données projet'!$B$11,Paramètres!$A$1:$I$89,5,0)</f>
        <v>104.95679999999996</v>
      </c>
      <c r="BF38" s="14">
        <f t="shared" si="37"/>
        <v>28.139541339232373</v>
      </c>
      <c r="BG38" s="22">
        <f t="shared" si="7"/>
        <v>231.80946116582962</v>
      </c>
      <c r="BH38" s="62">
        <f t="shared" si="8"/>
        <v>525.14279449916296</v>
      </c>
      <c r="BI38" s="62">
        <f ca="1">AVERAGE(OFFSET($BH$3,0,0,'Données projet'!$E$11+1,1))-AVERAGE(OFFSET($H$3,0,0,'Données projet'!$E$11+1,1))</f>
        <v>250.17147737747007</v>
      </c>
      <c r="BJ38" s="62">
        <f t="shared" si="38"/>
        <v>172.25613380618552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7.8</v>
      </c>
      <c r="BX38" s="13">
        <f t="array" ref="BX38">INDEX(BW:BW,MIN(IF(ISNUMBER(BW38:BW234),ROW(BW38:BW234),"")))</f>
        <v>7.8</v>
      </c>
      <c r="BY38" s="13">
        <f>IF('Données projet'!$A$114&gt;35,BY37+BX38-CG37,IF(A38&lt;'Données projet'!$A$114,$BV$205^A38,IF(A38='Données projet'!$A$114,'Données projet'!$B$114,BY37+BX38-CG37)))</f>
        <v>115.99999999999997</v>
      </c>
      <c r="BZ38" s="14">
        <f>BY38*VLOOKUP('Données projet'!$B$12,Paramètres!$A$1:$I$89,3,0)*VLOOKUP('Données projet'!$B$12,Paramètres!$A$1:$I$89,5,0)</f>
        <v>124.86239999999997</v>
      </c>
      <c r="CA38" s="14">
        <f t="shared" si="39"/>
        <v>32.80643928056157</v>
      </c>
      <c r="CB38" s="22">
        <f t="shared" si="10"/>
        <v>274.606561746978</v>
      </c>
      <c r="CC38" s="62">
        <f t="shared" si="11"/>
        <v>567.93989508031132</v>
      </c>
      <c r="CD38" s="62">
        <f ca="1">AVERAGE(OFFSET($CC$3,0,0,'Données projet'!$E$12+1,1))-AVERAGE(OFFSET($H$3,0,0,'Données projet'!$E$12+1,1))</f>
        <v>311.71521576048417</v>
      </c>
      <c r="CE38" s="62">
        <f t="shared" si="40"/>
        <v>208.54841796921403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233</v>
      </c>
      <c r="CR38" s="13">
        <f>VLOOKUP(A38,'Données projet'!$A$139:$I$159,9,0)</f>
        <v>14.6</v>
      </c>
      <c r="CS38" s="13">
        <f t="array" ref="CS38">INDEX(CR:CR,MIN(IF(ISNUMBER(CR38:CR234),ROW(CR38:CR234),"")))</f>
        <v>14.6</v>
      </c>
      <c r="CT38" s="13">
        <f>IF('Données projet'!$A$140&gt;35,CT37+CS38-DB37,IF(A38&lt;'Données projet'!$A$140,$CQ$205^A38,IF(A38='Données projet'!$A$140,'Données projet'!$B$140,CT37+CS38-DB37)))</f>
        <v>233.00000000000003</v>
      </c>
      <c r="CU38" s="18">
        <f>CT38*VLOOKUP('Données projet'!$B$13,Paramètres!$A$1:$I$89,3,0)*VLOOKUP('Données projet'!$B$13,Paramètres!$A$1:$I$89,5,0)</f>
        <v>139.33400000000003</v>
      </c>
      <c r="CV38" s="14">
        <f t="shared" si="41"/>
        <v>36.144391930570897</v>
      </c>
      <c r="CW38" s="22">
        <f t="shared" si="13"/>
        <v>305.62486594574438</v>
      </c>
      <c r="CX38" s="62">
        <f t="shared" si="14"/>
        <v>598.95819927907769</v>
      </c>
      <c r="CY38" s="62">
        <f ca="1">AVERAGE(OFFSET($CX$3,0,0,'Données projet'!$E$13+1,1))-AVERAGE(OFFSET($H$3,0,0,'Données projet'!$E$13+1,1))</f>
        <v>280.47174439810988</v>
      </c>
      <c r="CZ38" s="62">
        <f t="shared" si="42"/>
        <v>231.19476400361157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41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2.1049006858879937</v>
      </c>
      <c r="DH38" s="23">
        <f>EXP(-LN(2)/2)*DH37+(1-EXP(-LN(2)/2))/(LN(2)/2)*DB38*DE38*VLOOKUP('Données projet'!$B$13,Paramètres!$A$1:$I$89,3,0)*0.475*44/12</f>
        <v>3.7349841022036778</v>
      </c>
      <c r="DI38" s="24">
        <f t="shared" si="15"/>
        <v>5.8398847880916716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10.3</v>
      </c>
      <c r="DO38" s="13">
        <f>IF('Données projet'!$A$166&gt;35,DO37+DN38-DW37,IF(A38&lt;'Données projet'!$A$166,$DL$205^A38,IF(A38='Données projet'!$A$166,'Données projet'!$B$166,DO37+DN38-DW37)))</f>
        <v>195.50000000000006</v>
      </c>
      <c r="DP38" s="18">
        <f>DO38*VLOOKUP('Données projet'!$B$14,Paramètres!$A$1:$I$89,3,0)*VLOOKUP('Données projet'!$B$14,Paramètres!$A$1:$I$89,5,0)</f>
        <v>116.90900000000005</v>
      </c>
      <c r="DQ38" s="14">
        <f t="shared" si="43"/>
        <v>30.952983037024019</v>
      </c>
      <c r="DR38" s="22">
        <f t="shared" si="16"/>
        <v>257.52628712281688</v>
      </c>
      <c r="DS38" s="62">
        <f t="shared" si="17"/>
        <v>550.8596204561502</v>
      </c>
      <c r="DT38" s="62">
        <f ca="1">AVERAGE(OFFSET($DS$3,0,0,'Données projet'!$E$14+1,1))-AVERAGE(OFFSET($H$3,0,0,'Données projet'!$E$14+1,1))</f>
        <v>282.98919020956595</v>
      </c>
      <c r="DU38" s="62">
        <f t="shared" si="44"/>
        <v>182.23565317232647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1.4475138264283165</v>
      </c>
      <c r="ED38" s="24">
        <f t="shared" si="18"/>
        <v>1.4475138264283165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9">
        <f t="shared" si="1"/>
        <v>329.58285087123795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11.481</v>
      </c>
      <c r="N39" s="14">
        <f>IF('Données projet'!$A$36&gt;35,N38+M39-V38,IF(A39&lt;'Données projet'!$A$36,$K$205^A39,IF(A39='Données projet'!$A$36,'Données projet'!$B$36,N38+M39-V38)))</f>
        <v>190.31599999999997</v>
      </c>
      <c r="O39" s="14">
        <f>N39*VLOOKUP('Données projet'!$B$9,Paramètres!$A$1:$I$89,3,0)*VLOOKUP('Données projet'!$B$9,Paramètres!$A$1:$I$89,5,0)</f>
        <v>89.067887999999996</v>
      </c>
      <c r="P39" s="14">
        <f t="shared" si="33"/>
        <v>24.340285996059997</v>
      </c>
      <c r="Q39" s="22">
        <f t="shared" si="53"/>
        <v>197.51923637647113</v>
      </c>
      <c r="R39" s="62">
        <f t="shared" si="0"/>
        <v>490.85256970980447</v>
      </c>
      <c r="S39" s="62">
        <f ca="1">AVERAGE(OFFSET($R$3,0,0,'Données projet'!$E$9+1,1))-AVERAGE(OFFSET($H$3,0,0,'Données projet'!$E$9+1,1))</f>
        <v>172.62653085905839</v>
      </c>
      <c r="T39" s="62">
        <f t="shared" si="34"/>
        <v>103.0747749312265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103.39999999999998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524.90754606181804</v>
      </c>
      <c r="AN39" s="62">
        <f ca="1">AVERAGE(OFFSET($AM$3,0,0,'Données projet'!$E$10+1,1))-AVERAGE(OFFSET($H$3,0,0,'Données projet'!$E$10+1,1))</f>
        <v>289.36126704091066</v>
      </c>
      <c r="AO39" s="62">
        <f t="shared" si="36"/>
        <v>195.3674411454258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103.39999999999998</v>
      </c>
      <c r="BE39" s="14">
        <f>BD39*VLOOKUP('Données projet'!$B$11,Paramètres!$A$1:$I$89,3,0)*VLOOKUP('Données projet'!$B$11,Paramètres!$A$1:$I$89,5,0)</f>
        <v>93.556319999999971</v>
      </c>
      <c r="BF39" s="14">
        <f t="shared" si="37"/>
        <v>25.420979659258073</v>
      </c>
      <c r="BG39" s="22">
        <f t="shared" si="7"/>
        <v>207.21879690654112</v>
      </c>
      <c r="BH39" s="62">
        <f t="shared" si="8"/>
        <v>500.55213023987443</v>
      </c>
      <c r="BI39" s="62">
        <f ca="1">AVERAGE(OFFSET($BH$3,0,0,'Données projet'!$E$11+1,1))-AVERAGE(OFFSET($H$3,0,0,'Données projet'!$E$11+1,1))</f>
        <v>250.17147737747007</v>
      </c>
      <c r="BJ39" s="62">
        <f t="shared" si="38"/>
        <v>172.25613380618552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103.39999999999998</v>
      </c>
      <c r="BZ39" s="14">
        <f>BY39*VLOOKUP('Données projet'!$B$12,Paramètres!$A$1:$I$89,3,0)*VLOOKUP('Données projet'!$B$12,Paramètres!$A$1:$I$89,5,0)</f>
        <v>111.29975999999996</v>
      </c>
      <c r="CA39" s="14">
        <f t="shared" si="39"/>
        <v>29.637008492427363</v>
      </c>
      <c r="CB39" s="22">
        <f t="shared" si="10"/>
        <v>245.46487179097758</v>
      </c>
      <c r="CC39" s="62">
        <f t="shared" si="11"/>
        <v>538.79820512431093</v>
      </c>
      <c r="CD39" s="62">
        <f ca="1">AVERAGE(OFFSET($CC$3,0,0,'Données projet'!$E$12+1,1))-AVERAGE(OFFSET($H$3,0,0,'Données projet'!$E$12+1,1))</f>
        <v>311.71521576048417</v>
      </c>
      <c r="CE39" s="62">
        <f t="shared" si="40"/>
        <v>208.54841796921403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14.4</v>
      </c>
      <c r="CT39" s="13">
        <f>IF('Données projet'!$A$140&gt;35,CT38+CS39-DB38,IF(A39&lt;'Données projet'!$A$140,$CQ$205^A39,IF(A39='Données projet'!$A$140,'Données projet'!$B$140,CT38+CS39-DB38)))</f>
        <v>206.40000000000003</v>
      </c>
      <c r="CU39" s="18">
        <f>CT39*VLOOKUP('Données projet'!$B$13,Paramètres!$A$1:$I$89,3,0)*VLOOKUP('Données projet'!$B$13,Paramètres!$A$1:$I$89,5,0)</f>
        <v>123.42720000000003</v>
      </c>
      <c r="CV39" s="14">
        <f t="shared" si="41"/>
        <v>32.473022671122074</v>
      </c>
      <c r="CW39" s="22">
        <f t="shared" si="13"/>
        <v>271.5262211522043</v>
      </c>
      <c r="CX39" s="62">
        <f t="shared" si="14"/>
        <v>564.85955448553761</v>
      </c>
      <c r="CY39" s="62">
        <f ca="1">AVERAGE(OFFSET($CX$3,0,0,'Données projet'!$E$13+1,1))-AVERAGE(OFFSET($H$3,0,0,'Données projet'!$E$13+1,1))</f>
        <v>280.47174439810988</v>
      </c>
      <c r="CZ39" s="62">
        <f t="shared" si="42"/>
        <v>231.19476400361157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2.0473420659404704</v>
      </c>
      <c r="DH39" s="23">
        <f>EXP(-LN(2)/2)*DH38+(1-EXP(-LN(2)/2))/(LN(2)/2)*DB39*DE39*VLOOKUP('Données projet'!$B$13,Paramètres!$A$1:$I$89,3,0)*0.475*44/12</f>
        <v>2.64103258629217</v>
      </c>
      <c r="DI39" s="24">
        <f t="shared" si="15"/>
        <v>4.6883746522326408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10.3</v>
      </c>
      <c r="DO39" s="13">
        <f>IF('Données projet'!$A$166&gt;35,DO38+DN39-DW38,IF(A39&lt;'Données projet'!$A$166,$DL$205^A39,IF(A39='Données projet'!$A$166,'Données projet'!$B$166,DO38+DN39-DW38)))</f>
        <v>205.80000000000007</v>
      </c>
      <c r="DP39" s="18">
        <f>DO39*VLOOKUP('Données projet'!$B$14,Paramètres!$A$1:$I$89,3,0)*VLOOKUP('Données projet'!$B$14,Paramètres!$A$1:$I$89,5,0)</f>
        <v>123.06840000000005</v>
      </c>
      <c r="DQ39" s="14">
        <f t="shared" si="43"/>
        <v>32.389598186893679</v>
      </c>
      <c r="DR39" s="22">
        <f t="shared" si="16"/>
        <v>270.75601350883994</v>
      </c>
      <c r="DS39" s="62">
        <f t="shared" si="17"/>
        <v>564.0893468421732</v>
      </c>
      <c r="DT39" s="62">
        <f ca="1">AVERAGE(OFFSET($DS$3,0,0,'Données projet'!$E$14+1,1))-AVERAGE(OFFSET($H$3,0,0,'Données projet'!$E$14+1,1))</f>
        <v>282.98919020956595</v>
      </c>
      <c r="DU39" s="62">
        <f t="shared" si="44"/>
        <v>182.23565317232647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1.0235468425287497</v>
      </c>
      <c r="ED39" s="24">
        <f t="shared" si="18"/>
        <v>1.0235468425287497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9">
        <f t="shared" si="1"/>
        <v>331.55213151314524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11.481</v>
      </c>
      <c r="N40" s="14">
        <f>IF('Données projet'!$A$36&gt;35,N39+M40-V39,IF(A40&lt;'Données projet'!$A$36,$K$205^A40,IF(A40='Données projet'!$A$36,'Données projet'!$B$36,N39+M40-V39)))</f>
        <v>201.79699999999997</v>
      </c>
      <c r="O40" s="14">
        <f>N40*VLOOKUP('Données projet'!$B$9,Paramètres!$A$1:$I$89,3,0)*VLOOKUP('Données projet'!$B$9,Paramètres!$A$1:$I$89,5,0)</f>
        <v>94.440995999999984</v>
      </c>
      <c r="P40" s="14">
        <f t="shared" si="33"/>
        <v>25.633265420540909</v>
      </c>
      <c r="Q40" s="22">
        <f t="shared" si="53"/>
        <v>209.12933864077536</v>
      </c>
      <c r="R40" s="62">
        <f t="shared" si="0"/>
        <v>502.46267197410867</v>
      </c>
      <c r="S40" s="62">
        <f ca="1">AVERAGE(OFFSET($R$3,0,0,'Données projet'!$E$9+1,1))-AVERAGE(OFFSET($H$3,0,0,'Données projet'!$E$9+1,1))</f>
        <v>172.62653085905839</v>
      </c>
      <c r="T40" s="62">
        <f t="shared" si="34"/>
        <v>103.0747749312265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111.79999999999998</v>
      </c>
      <c r="AJ40" s="14">
        <f>AI40*VLOOKUP('Données projet'!$B$10,Paramètres!$A$1:$I$89,3,0)*VLOOKUP('Données projet'!$B$10,Paramètres!$A$1:$I$89,5,0)</f>
        <v>113.36519999999999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543.24100096888083</v>
      </c>
      <c r="AN40" s="62">
        <f ca="1">AVERAGE(OFFSET($AM$3,0,0,'Données projet'!$E$10+1,1))-AVERAGE(OFFSET($H$3,0,0,'Données projet'!$E$10+1,1))</f>
        <v>289.36126704091066</v>
      </c>
      <c r="AO40" s="62">
        <f t="shared" si="36"/>
        <v>195.3674411454258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111.79999999999998</v>
      </c>
      <c r="BE40" s="14">
        <f>BD40*VLOOKUP('Données projet'!$B$11,Paramètres!$A$1:$I$89,3,0)*VLOOKUP('Données projet'!$B$11,Paramètres!$A$1:$I$89,5,0)</f>
        <v>101.15663999999997</v>
      </c>
      <c r="BF40" s="14">
        <f t="shared" si="37"/>
        <v>27.237366379381644</v>
      </c>
      <c r="BG40" s="22">
        <f t="shared" si="7"/>
        <v>223.61956111075628</v>
      </c>
      <c r="BH40" s="62">
        <f t="shared" si="8"/>
        <v>516.95289444408957</v>
      </c>
      <c r="BI40" s="62">
        <f ca="1">AVERAGE(OFFSET($BH$3,0,0,'Données projet'!$E$11+1,1))-AVERAGE(OFFSET($H$3,0,0,'Données projet'!$E$11+1,1))</f>
        <v>250.17147737747007</v>
      </c>
      <c r="BJ40" s="62">
        <f t="shared" si="38"/>
        <v>172.25613380618552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111.79999999999998</v>
      </c>
      <c r="BZ40" s="14">
        <f>BY40*VLOOKUP('Données projet'!$B$12,Paramètres!$A$1:$I$89,3,0)*VLOOKUP('Données projet'!$B$12,Paramètres!$A$1:$I$89,5,0)</f>
        <v>120.34151999999997</v>
      </c>
      <c r="CA40" s="14">
        <f t="shared" si="39"/>
        <v>31.754640046026051</v>
      </c>
      <c r="CB40" s="22">
        <f t="shared" si="10"/>
        <v>264.90081208016198</v>
      </c>
      <c r="CC40" s="62">
        <f t="shared" si="11"/>
        <v>558.2341454134953</v>
      </c>
      <c r="CD40" s="62">
        <f ca="1">AVERAGE(OFFSET($CC$3,0,0,'Données projet'!$E$12+1,1))-AVERAGE(OFFSET($H$3,0,0,'Données projet'!$E$12+1,1))</f>
        <v>311.71521576048417</v>
      </c>
      <c r="CE40" s="62">
        <f t="shared" si="40"/>
        <v>208.54841796921403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14.4</v>
      </c>
      <c r="CT40" s="13">
        <f>IF('Données projet'!$A$140&gt;35,CT39+CS40-DB39,IF(A40&lt;'Données projet'!$A$140,$CQ$205^A40,IF(A40='Données projet'!$A$140,'Données projet'!$B$140,CT39+CS40-DB39)))</f>
        <v>220.80000000000004</v>
      </c>
      <c r="CU40" s="18">
        <f>CT40*VLOOKUP('Données projet'!$B$13,Paramètres!$A$1:$I$89,3,0)*VLOOKUP('Données projet'!$B$13,Paramètres!$A$1:$I$89,5,0)</f>
        <v>132.03840000000005</v>
      </c>
      <c r="CV40" s="14">
        <f t="shared" si="41"/>
        <v>34.466946374534373</v>
      </c>
      <c r="CW40" s="22">
        <f t="shared" si="13"/>
        <v>289.99681160231415</v>
      </c>
      <c r="CX40" s="62">
        <f t="shared" si="14"/>
        <v>583.33014493564747</v>
      </c>
      <c r="CY40" s="62">
        <f ca="1">AVERAGE(OFFSET($CX$3,0,0,'Données projet'!$E$13+1,1))-AVERAGE(OFFSET($H$3,0,0,'Données projet'!$E$13+1,1))</f>
        <v>280.47174439810988</v>
      </c>
      <c r="CZ40" s="62">
        <f t="shared" si="42"/>
        <v>231.19476400361157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1.9913573894822882</v>
      </c>
      <c r="DH40" s="23">
        <f>EXP(-LN(2)/2)*DH39+(1-EXP(-LN(2)/2))/(LN(2)/2)*DB40*DE40*VLOOKUP('Données projet'!$B$13,Paramètres!$A$1:$I$89,3,0)*0.475*44/12</f>
        <v>1.8674920511018394</v>
      </c>
      <c r="DI40" s="24">
        <f t="shared" si="15"/>
        <v>3.8588494405841276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10.3</v>
      </c>
      <c r="DO40" s="13">
        <f>IF('Données projet'!$A$166&gt;35,DO39+DN40-DW39,IF(A40&lt;'Données projet'!$A$166,$DL$205^A40,IF(A40='Données projet'!$A$166,'Données projet'!$B$166,DO39+DN40-DW39)))</f>
        <v>216.10000000000008</v>
      </c>
      <c r="DP40" s="18">
        <f>DO40*VLOOKUP('Données projet'!$B$14,Paramètres!$A$1:$I$89,3,0)*VLOOKUP('Données projet'!$B$14,Paramètres!$A$1:$I$89,5,0)</f>
        <v>129.22780000000006</v>
      </c>
      <c r="DQ40" s="14">
        <f t="shared" si="43"/>
        <v>33.817864762286938</v>
      </c>
      <c r="DR40" s="22">
        <f t="shared" si="16"/>
        <v>283.9711994609832</v>
      </c>
      <c r="DS40" s="62">
        <f t="shared" si="17"/>
        <v>577.30453279431651</v>
      </c>
      <c r="DT40" s="62">
        <f ca="1">AVERAGE(OFFSET($DS$3,0,0,'Données projet'!$E$14+1,1))-AVERAGE(OFFSET($H$3,0,0,'Données projet'!$E$14+1,1))</f>
        <v>282.98919020956595</v>
      </c>
      <c r="DU40" s="62">
        <f t="shared" si="44"/>
        <v>182.23565317232647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0.72375691321415825</v>
      </c>
      <c r="ED40" s="24">
        <f t="shared" si="18"/>
        <v>0.72375691321415825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9">
        <f t="shared" si="1"/>
        <v>333.52009090875754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11.481</v>
      </c>
      <c r="N41" s="14">
        <f>IF('Données projet'!$A$36&gt;35,N40+M41-V40,IF(A41&lt;'Données projet'!$A$36,$K$205^A41,IF(A41='Données projet'!$A$36,'Données projet'!$B$36,N40+M41-V40)))</f>
        <v>213.27799999999996</v>
      </c>
      <c r="O41" s="14">
        <f>N41*VLOOKUP('Données projet'!$B$9,Paramètres!$A$1:$I$89,3,0)*VLOOKUP('Données projet'!$B$9,Paramètres!$A$1:$I$89,5,0)</f>
        <v>99.814103999999986</v>
      </c>
      <c r="P41" s="14">
        <f t="shared" si="33"/>
        <v>26.917705594983317</v>
      </c>
      <c r="Q41" s="22">
        <f t="shared" si="53"/>
        <v>220.72456837792924</v>
      </c>
      <c r="R41" s="62">
        <f t="shared" si="0"/>
        <v>514.0579017112625</v>
      </c>
      <c r="S41" s="62">
        <f ca="1">AVERAGE(OFFSET($R$3,0,0,'Données projet'!$E$9+1,1))-AVERAGE(OFFSET($H$3,0,0,'Données projet'!$E$9+1,1))</f>
        <v>172.62653085905839</v>
      </c>
      <c r="T41" s="62">
        <f t="shared" si="34"/>
        <v>103.0747749312265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120.19999999999999</v>
      </c>
      <c r="AJ41" s="14">
        <f>AI41*VLOOKUP('Données projet'!$B$10,Paramètres!$A$1:$I$89,3,0)*VLOOKUP('Données projet'!$B$10,Paramètres!$A$1:$I$89,5,0)</f>
        <v>121.8828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561.54396129342854</v>
      </c>
      <c r="AN41" s="62">
        <f ca="1">AVERAGE(OFFSET($AM$3,0,0,'Données projet'!$E$10+1,1))-AVERAGE(OFFSET($H$3,0,0,'Données projet'!$E$10+1,1))</f>
        <v>289.36126704091066</v>
      </c>
      <c r="AO41" s="62">
        <f t="shared" si="36"/>
        <v>195.3674411454258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120.19999999999999</v>
      </c>
      <c r="BE41" s="14">
        <f>BD41*VLOOKUP('Données projet'!$B$11,Paramètres!$A$1:$I$89,3,0)*VLOOKUP('Données projet'!$B$11,Paramètres!$A$1:$I$89,5,0)</f>
        <v>108.75695999999999</v>
      </c>
      <c r="BF41" s="14">
        <f t="shared" si="37"/>
        <v>29.037921223305585</v>
      </c>
      <c r="BG41" s="22">
        <f t="shared" si="7"/>
        <v>239.99275146392384</v>
      </c>
      <c r="BH41" s="62">
        <f t="shared" si="8"/>
        <v>533.32608479725718</v>
      </c>
      <c r="BI41" s="62">
        <f ca="1">AVERAGE(OFFSET($BH$3,0,0,'Données projet'!$E$11+1,1))-AVERAGE(OFFSET($H$3,0,0,'Données projet'!$E$11+1,1))</f>
        <v>250.17147737747007</v>
      </c>
      <c r="BJ41" s="62">
        <f t="shared" si="38"/>
        <v>172.25613380618552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120.19999999999999</v>
      </c>
      <c r="BZ41" s="14">
        <f>BY41*VLOOKUP('Données projet'!$B$12,Paramètres!$A$1:$I$89,3,0)*VLOOKUP('Données projet'!$B$12,Paramètres!$A$1:$I$89,5,0)</f>
        <v>129.38327999999998</v>
      </c>
      <c r="CA41" s="14">
        <f t="shared" si="39"/>
        <v>33.853814032069536</v>
      </c>
      <c r="CB41" s="22">
        <f t="shared" si="10"/>
        <v>284.30460543918775</v>
      </c>
      <c r="CC41" s="62">
        <f t="shared" si="11"/>
        <v>577.63793877252101</v>
      </c>
      <c r="CD41" s="62">
        <f ca="1">AVERAGE(OFFSET($CC$3,0,0,'Données projet'!$E$12+1,1))-AVERAGE(OFFSET($H$3,0,0,'Données projet'!$E$12+1,1))</f>
        <v>311.71521576048417</v>
      </c>
      <c r="CE41" s="62">
        <f t="shared" si="40"/>
        <v>208.54841796921403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14.4</v>
      </c>
      <c r="CT41" s="13">
        <f>IF('Données projet'!$A$140&gt;35,CT40+CS41-DB40,IF(A41&lt;'Données projet'!$A$140,$CQ$205^A41,IF(A41='Données projet'!$A$140,'Données projet'!$B$140,CT40+CS41-DB40)))</f>
        <v>235.20000000000005</v>
      </c>
      <c r="CU41" s="18">
        <f>CT41*VLOOKUP('Données projet'!$B$13,Paramètres!$A$1:$I$89,3,0)*VLOOKUP('Données projet'!$B$13,Paramètres!$A$1:$I$89,5,0)</f>
        <v>140.64960000000002</v>
      </c>
      <c r="CV41" s="14">
        <f t="shared" si="41"/>
        <v>36.445779615258601</v>
      </c>
      <c r="CW41" s="22">
        <f t="shared" si="13"/>
        <v>308.44111949657542</v>
      </c>
      <c r="CX41" s="62">
        <f t="shared" si="14"/>
        <v>601.7744528299088</v>
      </c>
      <c r="CY41" s="62">
        <f ca="1">AVERAGE(OFFSET($CX$3,0,0,'Données projet'!$E$13+1,1))-AVERAGE(OFFSET($H$3,0,0,'Données projet'!$E$13+1,1))</f>
        <v>280.47174439810988</v>
      </c>
      <c r="CZ41" s="62">
        <f t="shared" si="42"/>
        <v>231.19476400361157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1.9369036169459612</v>
      </c>
      <c r="DH41" s="23">
        <f>EXP(-LN(2)/2)*DH40+(1-EXP(-LN(2)/2))/(LN(2)/2)*DB41*DE41*VLOOKUP('Données projet'!$B$13,Paramètres!$A$1:$I$89,3,0)*0.475*44/12</f>
        <v>1.3205162931460852</v>
      </c>
      <c r="DI41" s="24">
        <f t="shared" si="15"/>
        <v>3.2574199100920467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10.3</v>
      </c>
      <c r="DO41" s="13">
        <f>IF('Données projet'!$A$166&gt;35,DO40+DN41-DW40,IF(A41&lt;'Données projet'!$A$166,$DL$205^A41,IF(A41='Données projet'!$A$166,'Données projet'!$B$166,DO40+DN41-DW40)))</f>
        <v>226.40000000000009</v>
      </c>
      <c r="DP41" s="18">
        <f>DO41*VLOOKUP('Données projet'!$B$14,Paramètres!$A$1:$I$89,3,0)*VLOOKUP('Données projet'!$B$14,Paramètres!$A$1:$I$89,5,0)</f>
        <v>135.38720000000006</v>
      </c>
      <c r="DQ41" s="14">
        <f t="shared" si="43"/>
        <v>35.238226113459113</v>
      </c>
      <c r="DR41" s="22">
        <f t="shared" si="16"/>
        <v>297.17261714760809</v>
      </c>
      <c r="DS41" s="62">
        <f t="shared" si="17"/>
        <v>590.50595048094146</v>
      </c>
      <c r="DT41" s="62">
        <f ca="1">AVERAGE(OFFSET($DS$3,0,0,'Données projet'!$E$14+1,1))-AVERAGE(OFFSET($H$3,0,0,'Données projet'!$E$14+1,1))</f>
        <v>282.98919020956595</v>
      </c>
      <c r="DU41" s="62">
        <f t="shared" si="44"/>
        <v>182.23565317232647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0.51177342126437486</v>
      </c>
      <c r="ED41" s="24">
        <f t="shared" si="18"/>
        <v>0.51177342126437486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9">
        <f t="shared" si="1"/>
        <v>335.48676782456732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11.481</v>
      </c>
      <c r="N42" s="14">
        <f>IF('Données projet'!$A$36&gt;35,N41+M42-V41,IF(A42&lt;'Données projet'!$A$36,$K$205^A42,IF(A42='Données projet'!$A$36,'Données projet'!$B$36,N41+M42-V41)))</f>
        <v>224.75899999999996</v>
      </c>
      <c r="O42" s="14">
        <f>N42*VLOOKUP('Données projet'!$B$9,Paramètres!$A$1:$I$89,3,0)*VLOOKUP('Données projet'!$B$9,Paramètres!$A$1:$I$89,5,0)</f>
        <v>105.18721199999999</v>
      </c>
      <c r="P42" s="14">
        <f t="shared" si="33"/>
        <v>28.194118606639837</v>
      </c>
      <c r="Q42" s="22">
        <f t="shared" si="53"/>
        <v>232.30581747323103</v>
      </c>
      <c r="R42" s="62">
        <f t="shared" si="0"/>
        <v>525.63915080656432</v>
      </c>
      <c r="S42" s="62">
        <f ca="1">AVERAGE(OFFSET($R$3,0,0,'Données projet'!$E$9+1,1))-AVERAGE(OFFSET($H$3,0,0,'Données projet'!$E$9+1,1))</f>
        <v>172.62653085905839</v>
      </c>
      <c r="T42" s="62">
        <f t="shared" si="34"/>
        <v>103.0747749312265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579.8188005094587</v>
      </c>
      <c r="AN42" s="62">
        <f ca="1">AVERAGE(OFFSET($AM$3,0,0,'Données projet'!$E$10+1,1))-AVERAGE(OFFSET($H$3,0,0,'Données projet'!$E$10+1,1))</f>
        <v>289.36126704091066</v>
      </c>
      <c r="AO42" s="62">
        <f t="shared" si="36"/>
        <v>195.3674411454258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116.35727999999999</v>
      </c>
      <c r="BF42" s="14">
        <f t="shared" si="37"/>
        <v>30.823876427820704</v>
      </c>
      <c r="BG42" s="22">
        <f t="shared" si="7"/>
        <v>256.34051411178768</v>
      </c>
      <c r="BH42" s="62">
        <f t="shared" si="8"/>
        <v>549.67384744512105</v>
      </c>
      <c r="BI42" s="62">
        <f ca="1">AVERAGE(OFFSET($BH$3,0,0,'Données projet'!$E$11+1,1))-AVERAGE(OFFSET($H$3,0,0,'Données projet'!$E$11+1,1))</f>
        <v>250.17147737747007</v>
      </c>
      <c r="BJ42" s="62">
        <f t="shared" si="38"/>
        <v>172.25613380618552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</v>
      </c>
      <c r="BZ42" s="14">
        <f>BY42*VLOOKUP('Données projet'!$B$12,Paramètres!$A$1:$I$89,3,0)*VLOOKUP('Données projet'!$B$12,Paramètres!$A$1:$I$89,5,0)</f>
        <v>138.42504</v>
      </c>
      <c r="CA42" s="14">
        <f t="shared" si="39"/>
        <v>35.935967051850263</v>
      </c>
      <c r="CB42" s="22">
        <f t="shared" si="10"/>
        <v>303.67875394863921</v>
      </c>
      <c r="CC42" s="62">
        <f t="shared" si="11"/>
        <v>597.01208728197253</v>
      </c>
      <c r="CD42" s="62">
        <f ca="1">AVERAGE(OFFSET($CC$3,0,0,'Données projet'!$E$12+1,1))-AVERAGE(OFFSET($H$3,0,0,'Données projet'!$E$12+1,1))</f>
        <v>311.71521576048417</v>
      </c>
      <c r="CE42" s="62">
        <f t="shared" si="40"/>
        <v>208.54841796921403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14.4</v>
      </c>
      <c r="CT42" s="13">
        <f>IF('Données projet'!$A$140&gt;35,CT41+CS42-DB41,IF(A42&lt;'Données projet'!$A$140,$CQ$205^A42,IF(A42='Données projet'!$A$140,'Données projet'!$B$140,CT41+CS42-DB41)))</f>
        <v>249.60000000000005</v>
      </c>
      <c r="CU42" s="18">
        <f>CT42*VLOOKUP('Données projet'!$B$13,Paramètres!$A$1:$I$89,3,0)*VLOOKUP('Données projet'!$B$13,Paramètres!$A$1:$I$89,5,0)</f>
        <v>149.26080000000005</v>
      </c>
      <c r="CV42" s="14">
        <f t="shared" si="41"/>
        <v>38.410551499792909</v>
      </c>
      <c r="CW42" s="22">
        <f t="shared" si="13"/>
        <v>326.86093719547273</v>
      </c>
      <c r="CX42" s="62">
        <f t="shared" si="14"/>
        <v>620.1942705288061</v>
      </c>
      <c r="CY42" s="62">
        <f ca="1">AVERAGE(OFFSET($CX$3,0,0,'Données projet'!$E$13+1,1))-AVERAGE(OFFSET($H$3,0,0,'Données projet'!$E$13+1,1))</f>
        <v>280.47174439810988</v>
      </c>
      <c r="CZ42" s="62">
        <f t="shared" si="42"/>
        <v>231.19476400361157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1.8839388856832395</v>
      </c>
      <c r="DH42" s="23">
        <f>EXP(-LN(2)/2)*DH41+(1-EXP(-LN(2)/2))/(LN(2)/2)*DB42*DE42*VLOOKUP('Données projet'!$B$13,Paramètres!$A$1:$I$89,3,0)*0.475*44/12</f>
        <v>0.93374602555091979</v>
      </c>
      <c r="DI42" s="24">
        <f t="shared" si="15"/>
        <v>2.8176849112341591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10.3</v>
      </c>
      <c r="DO42" s="13">
        <f>IF('Données projet'!$A$166&gt;35,DO41+DN42-DW41,IF(A42&lt;'Données projet'!$A$166,$DL$205^A42,IF(A42='Données projet'!$A$166,'Données projet'!$B$166,DO41+DN42-DW41)))</f>
        <v>236.7000000000001</v>
      </c>
      <c r="DP42" s="18">
        <f>DO42*VLOOKUP('Données projet'!$B$14,Paramètres!$A$1:$I$89,3,0)*VLOOKUP('Données projet'!$B$14,Paramètres!$A$1:$I$89,5,0)</f>
        <v>141.54660000000007</v>
      </c>
      <c r="DQ42" s="14">
        <f t="shared" si="43"/>
        <v>36.65108297022995</v>
      </c>
      <c r="DR42" s="22">
        <f t="shared" si="16"/>
        <v>310.36096450648392</v>
      </c>
      <c r="DS42" s="62">
        <f t="shared" si="17"/>
        <v>603.69429783981718</v>
      </c>
      <c r="DT42" s="62">
        <f ca="1">AVERAGE(OFFSET($DS$3,0,0,'Données projet'!$E$14+1,1))-AVERAGE(OFFSET($H$3,0,0,'Données projet'!$E$14+1,1))</f>
        <v>282.98919020956595</v>
      </c>
      <c r="DU42" s="62">
        <f t="shared" si="44"/>
        <v>182.23565317232647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0.36187845660707912</v>
      </c>
      <c r="ED42" s="24">
        <f t="shared" si="18"/>
        <v>0.36187845660707912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9">
        <f t="shared" si="1"/>
        <v>337.45219892578052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236.24</v>
      </c>
      <c r="L43" s="13">
        <f>VLOOKUP(A43,'Données projet'!$A$35:$I$55,9,0)</f>
        <v>11.481</v>
      </c>
      <c r="M43" s="13">
        <f t="array" ref="M43">INDEX(L:L,MIN(IF(ISNUMBER(L43:L239),ROW(L43:L239),"")))</f>
        <v>11.481</v>
      </c>
      <c r="N43" s="14">
        <f>IF('Données projet'!$A$36&gt;35,N42+M43-V42,IF(A43&lt;'Données projet'!$A$36,$K$205^A43,IF(A43='Données projet'!$A$36,'Données projet'!$B$36,N42+M43-V42)))</f>
        <v>236.23999999999995</v>
      </c>
      <c r="O43" s="14">
        <f>N43*VLOOKUP('Données projet'!$B$9,Paramètres!$A$1:$I$89,3,0)*VLOOKUP('Données projet'!$B$9,Paramètres!$A$1:$I$89,5,0)</f>
        <v>110.56031999999998</v>
      </c>
      <c r="P43" s="14">
        <f t="shared" si="33"/>
        <v>29.462961271460717</v>
      </c>
      <c r="Q43" s="22">
        <f t="shared" si="53"/>
        <v>243.87388154779401</v>
      </c>
      <c r="R43" s="62">
        <f t="shared" si="0"/>
        <v>537.20721488112736</v>
      </c>
      <c r="S43" s="62">
        <f ca="1">AVERAGE(OFFSET($R$3,0,0,'Données projet'!$E$9+1,1))-AVERAGE(OFFSET($H$3,0,0,'Données projet'!$E$9+1,1))</f>
        <v>172.62653085905839</v>
      </c>
      <c r="T43" s="62">
        <f t="shared" si="34"/>
        <v>103.0747749312265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598.06756449035197</v>
      </c>
      <c r="AN43" s="62">
        <f ca="1">AVERAGE(OFFSET($AM$3,0,0,'Données projet'!$E$10+1,1))-AVERAGE(OFFSET($H$3,0,0,'Données projet'!$E$10+1,1))</f>
        <v>289.36126704091066</v>
      </c>
      <c r="AO43" s="62">
        <f t="shared" si="36"/>
        <v>195.3674411454258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123.9576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565.99803230996918</v>
      </c>
      <c r="BI43" s="62">
        <f ca="1">AVERAGE(OFFSET($BH$3,0,0,'Données projet'!$E$11+1,1))-AVERAGE(OFFSET($H$3,0,0,'Données projet'!$E$11+1,1))</f>
        <v>250.17147737747007</v>
      </c>
      <c r="BJ43" s="62">
        <f t="shared" si="38"/>
        <v>172.25613380618552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</v>
      </c>
      <c r="BZ43" s="14">
        <f>BY43*VLOOKUP('Données projet'!$B$12,Paramètres!$A$1:$I$89,3,0)*VLOOKUP('Données projet'!$B$12,Paramètres!$A$1:$I$89,5,0)</f>
        <v>147.46679999999998</v>
      </c>
      <c r="CA43" s="14">
        <f t="shared" si="39"/>
        <v>38.002337418636273</v>
      </c>
      <c r="CB43" s="22">
        <f t="shared" si="10"/>
        <v>323.02541433745813</v>
      </c>
      <c r="CC43" s="62">
        <f t="shared" si="11"/>
        <v>616.35874767079144</v>
      </c>
      <c r="CD43" s="62">
        <f ca="1">AVERAGE(OFFSET($CC$3,0,0,'Données projet'!$E$12+1,1))-AVERAGE(OFFSET($H$3,0,0,'Données projet'!$E$12+1,1))</f>
        <v>311.71521576048417</v>
      </c>
      <c r="CE43" s="62">
        <f t="shared" si="40"/>
        <v>208.54841796921403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264</v>
      </c>
      <c r="CR43" s="13">
        <f>VLOOKUP(A43,'Données projet'!$A$139:$I$159,9,0)</f>
        <v>14.4</v>
      </c>
      <c r="CS43" s="13">
        <f t="array" ref="CS43">INDEX(CR:CR,MIN(IF(ISNUMBER(CR43:CR239),ROW(CR43:CR239),"")))</f>
        <v>14.4</v>
      </c>
      <c r="CT43" s="13">
        <f>IF('Données projet'!$A$140&gt;35,CT42+CS43-DB42,IF(A43&lt;'Données projet'!$A$140,$CQ$205^A43,IF(A43='Données projet'!$A$140,'Données projet'!$B$140,CT42+CS43-DB42)))</f>
        <v>264.00000000000006</v>
      </c>
      <c r="CU43" s="18">
        <f>CT43*VLOOKUP('Données projet'!$B$13,Paramètres!$A$1:$I$89,3,0)*VLOOKUP('Données projet'!$B$13,Paramètres!$A$1:$I$89,5,0)</f>
        <v>157.87200000000004</v>
      </c>
      <c r="CV43" s="14">
        <f t="shared" si="41"/>
        <v>40.362165684361159</v>
      </c>
      <c r="CW43" s="22">
        <f t="shared" si="13"/>
        <v>345.25783856692902</v>
      </c>
      <c r="CX43" s="62">
        <f t="shared" si="14"/>
        <v>638.59117190026234</v>
      </c>
      <c r="CY43" s="62">
        <f ca="1">AVERAGE(OFFSET($CX$3,0,0,'Données projet'!$E$13+1,1))-AVERAGE(OFFSET($H$3,0,0,'Données projet'!$E$13+1,1))</f>
        <v>280.47174439810988</v>
      </c>
      <c r="CZ43" s="62">
        <f t="shared" si="42"/>
        <v>231.19476400361157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41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1.8324224777821911</v>
      </c>
      <c r="DH43" s="23">
        <f>EXP(-LN(2)/2)*DH42+(1-EXP(-LN(2)/2))/(LN(2)/2)*DB43*DE43*VLOOKUP('Données projet'!$B$13,Paramètres!$A$1:$I$89,3,0)*0.475*44/12</f>
        <v>0.66025814657304271</v>
      </c>
      <c r="DI43" s="24">
        <f t="shared" si="15"/>
        <v>2.4926806243552337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247</v>
      </c>
      <c r="DM43" s="13">
        <f>VLOOKUP(A43,'Données projet'!$A$165:$I$185,9,0)</f>
        <v>10.3</v>
      </c>
      <c r="DN43" s="13">
        <f t="array" ref="DN43">INDEX(DM:DM,MIN(IF(ISNUMBER(DM43:DM239),ROW(DM43:DM239),"")))</f>
        <v>10.3</v>
      </c>
      <c r="DO43" s="13">
        <f>IF('Données projet'!$A$166&gt;35,DO42+DN43-DW42,IF(A43&lt;'Données projet'!$A$166,$DL$205^A43,IF(A43='Données projet'!$A$166,'Données projet'!$B$166,DO42+DN43-DW42)))</f>
        <v>247.00000000000011</v>
      </c>
      <c r="DP43" s="18">
        <f>DO43*VLOOKUP('Données projet'!$B$14,Paramètres!$A$1:$I$89,3,0)*VLOOKUP('Données projet'!$B$14,Paramètres!$A$1:$I$89,5,0)</f>
        <v>147.70600000000007</v>
      </c>
      <c r="DQ43" s="14">
        <f t="shared" si="43"/>
        <v>38.056799214709841</v>
      </c>
      <c r="DR43" s="22">
        <f t="shared" si="16"/>
        <v>323.53687529895308</v>
      </c>
      <c r="DS43" s="62">
        <f t="shared" si="17"/>
        <v>616.87020863228645</v>
      </c>
      <c r="DT43" s="62">
        <f ca="1">AVERAGE(OFFSET($DS$3,0,0,'Données projet'!$E$14+1,1))-AVERAGE(OFFSET($H$3,0,0,'Données projet'!$E$14+1,1))</f>
        <v>282.98919020956595</v>
      </c>
      <c r="DU43" s="62">
        <f t="shared" si="44"/>
        <v>182.23565317232647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0.25588671063218743</v>
      </c>
      <c r="ED43" s="24">
        <f t="shared" si="18"/>
        <v>0.25588671063218743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9">
        <f t="shared" si="1"/>
        <v>339.41641893985832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14.039090909090909</v>
      </c>
      <c r="N44" s="14">
        <f>IF('Données projet'!$A$36&gt;35,N43+M44-V43,IF(A44&lt;'Données projet'!$A$36,$K$205^A44,IF(A44='Données projet'!$A$36,'Données projet'!$B$36,N43+M44-V43)))</f>
        <v>250.27909090909085</v>
      </c>
      <c r="O44" s="14">
        <f>N44*VLOOKUP('Données projet'!$B$9,Paramètres!$A$1:$I$89,3,0)*VLOOKUP('Données projet'!$B$9,Paramètres!$A$1:$I$89,5,0)</f>
        <v>117.13061454545452</v>
      </c>
      <c r="P44" s="14">
        <f t="shared" si="33"/>
        <v>31.004822518675923</v>
      </c>
      <c r="Q44" s="22">
        <f t="shared" si="53"/>
        <v>258.00255288669382</v>
      </c>
      <c r="R44" s="62">
        <f t="shared" si="0"/>
        <v>551.33588622002708</v>
      </c>
      <c r="S44" s="62">
        <f ca="1">AVERAGE(OFFSET($R$3,0,0,'Données projet'!$E$9+1,1))-AVERAGE(OFFSET($H$3,0,0,'Données projet'!$E$9+1,1))</f>
        <v>172.62653085905839</v>
      </c>
      <c r="T44" s="62">
        <f t="shared" si="34"/>
        <v>103.0747749312265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126.1416</v>
      </c>
      <c r="AK44" s="14">
        <f t="shared" si="35"/>
        <v>33.10323903126482</v>
      </c>
      <c r="AL44" s="22">
        <f t="shared" si="4"/>
        <v>277.35142797945286</v>
      </c>
      <c r="AM44" s="62">
        <f t="shared" si="5"/>
        <v>570.68476131278612</v>
      </c>
      <c r="AN44" s="62">
        <f ca="1">AVERAGE(OFFSET($AM$3,0,0,'Données projet'!$E$10+1,1))-AVERAGE(OFFSET($H$3,0,0,'Données projet'!$E$10+1,1))</f>
        <v>289.36126704091066</v>
      </c>
      <c r="AO44" s="62">
        <f t="shared" si="36"/>
        <v>195.3674411454258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112.55712000000001</v>
      </c>
      <c r="BF44" s="14">
        <f t="shared" si="37"/>
        <v>29.932653834140599</v>
      </c>
      <c r="BG44" s="22">
        <f t="shared" si="7"/>
        <v>248.16968942779488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250.17147737747007</v>
      </c>
      <c r="BJ44" s="62">
        <f t="shared" si="38"/>
        <v>172.25613380618552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</v>
      </c>
      <c r="BZ44" s="14">
        <f>BY44*VLOOKUP('Données projet'!$B$12,Paramètres!$A$1:$I$89,3,0)*VLOOKUP('Données projet'!$B$12,Paramètres!$A$1:$I$89,5,0)</f>
        <v>133.90415999999999</v>
      </c>
      <c r="CA44" s="14">
        <f t="shared" si="39"/>
        <v>34.896936615903982</v>
      </c>
      <c r="CB44" s="22">
        <f t="shared" si="10"/>
        <v>293.99524327269938</v>
      </c>
      <c r="CC44" s="62">
        <f t="shared" si="11"/>
        <v>587.3285766060327</v>
      </c>
      <c r="CD44" s="62">
        <f ca="1">AVERAGE(OFFSET($CC$3,0,0,'Données projet'!$E$12+1,1))-AVERAGE(OFFSET($H$3,0,0,'Données projet'!$E$12+1,1))</f>
        <v>311.71521576048417</v>
      </c>
      <c r="CE44" s="62">
        <f t="shared" si="40"/>
        <v>208.54841796921403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16.600000000000001</v>
      </c>
      <c r="CT44" s="13">
        <f>IF('Données projet'!$A$140&gt;35,CT43+CS44-DB43,IF(A44&lt;'Données projet'!$A$140,$CQ$205^A44,IF(A44='Données projet'!$A$140,'Données projet'!$B$140,CT43+CS44-DB43)))</f>
        <v>239.60000000000008</v>
      </c>
      <c r="CU44" s="18">
        <f>CT44*VLOOKUP('Données projet'!$B$13,Paramètres!$A$1:$I$89,3,0)*VLOOKUP('Données projet'!$B$13,Paramètres!$A$1:$I$89,5,0)</f>
        <v>143.28080000000006</v>
      </c>
      <c r="CV44" s="14">
        <f t="shared" si="41"/>
        <v>37.047574465948976</v>
      </c>
      <c r="CW44" s="22">
        <f t="shared" si="13"/>
        <v>314.07191886152788</v>
      </c>
      <c r="CX44" s="62">
        <f t="shared" si="14"/>
        <v>607.40525219486119</v>
      </c>
      <c r="CY44" s="62">
        <f ca="1">AVERAGE(OFFSET($CX$3,0,0,'Données projet'!$E$13+1,1))-AVERAGE(OFFSET($H$3,0,0,'Données projet'!$E$13+1,1))</f>
        <v>280.47174439810988</v>
      </c>
      <c r="CZ44" s="62">
        <f t="shared" si="42"/>
        <v>231.19476400361157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1.7823147887643271</v>
      </c>
      <c r="DH44" s="23">
        <f>EXP(-LN(2)/2)*DH43+(1-EXP(-LN(2)/2))/(LN(2)/2)*DB44*DE44*VLOOKUP('Données projet'!$B$13,Paramètres!$A$1:$I$89,3,0)*0.475*44/12</f>
        <v>0.46687301277545995</v>
      </c>
      <c r="DI44" s="24">
        <f t="shared" si="15"/>
        <v>2.249187801539787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9.5</v>
      </c>
      <c r="DO44" s="13">
        <f>IF('Données projet'!$A$166&gt;35,DO43+DN44-DW43,IF(A44&lt;'Données projet'!$A$166,$DL$205^A44,IF(A44='Données projet'!$A$166,'Données projet'!$B$166,DO43+DN44-DW43)))</f>
        <v>235.50000000000011</v>
      </c>
      <c r="DP44" s="18">
        <f>DO44*VLOOKUP('Données projet'!$B$14,Paramètres!$A$1:$I$89,3,0)*VLOOKUP('Données projet'!$B$14,Paramètres!$A$1:$I$89,5,0)</f>
        <v>140.82900000000006</v>
      </c>
      <c r="DQ44" s="14">
        <f t="shared" si="43"/>
        <v>36.486852448658766</v>
      </c>
      <c r="DR44" s="22">
        <f t="shared" si="16"/>
        <v>308.82510968141406</v>
      </c>
      <c r="DS44" s="62">
        <f t="shared" si="17"/>
        <v>602.15844301474738</v>
      </c>
      <c r="DT44" s="62">
        <f ca="1">AVERAGE(OFFSET($DS$3,0,0,'Données projet'!$E$14+1,1))-AVERAGE(OFFSET($H$3,0,0,'Données projet'!$E$14+1,1))</f>
        <v>282.98919020956595</v>
      </c>
      <c r="DU44" s="62">
        <f t="shared" si="44"/>
        <v>182.23565317232647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0.18093922830353956</v>
      </c>
      <c r="ED44" s="24">
        <f t="shared" si="18"/>
        <v>0.18093922830353956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9">
        <f t="shared" si="1"/>
        <v>341.37946080365469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14.039090909090909</v>
      </c>
      <c r="N45" s="14">
        <f>IF('Données projet'!$A$36&gt;35,N44+M45-V44,IF(A45&lt;'Données projet'!$A$36,$K$205^A45,IF(A45='Données projet'!$A$36,'Données projet'!$B$36,N44+M45-V44)))</f>
        <v>264.31818181818176</v>
      </c>
      <c r="O45" s="14">
        <f>N45*VLOOKUP('Données projet'!$B$9,Paramètres!$A$1:$I$89,3,0)*VLOOKUP('Données projet'!$B$9,Paramètres!$A$1:$I$89,5,0)</f>
        <v>123.70090909090906</v>
      </c>
      <c r="P45" s="14">
        <f t="shared" si="33"/>
        <v>32.536643710439606</v>
      </c>
      <c r="Q45" s="22">
        <f t="shared" si="53"/>
        <v>272.11373779568225</v>
      </c>
      <c r="R45" s="62">
        <f t="shared" si="0"/>
        <v>565.44707112901551</v>
      </c>
      <c r="S45" s="62">
        <f ca="1">AVERAGE(OFFSET($R$3,0,0,'Données projet'!$E$9+1,1))-AVERAGE(OFFSET($H$3,0,0,'Données projet'!$E$9+1,1))</f>
        <v>172.62653085905839</v>
      </c>
      <c r="T45" s="62">
        <f t="shared" si="34"/>
        <v>103.0747749312265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134.65920000000003</v>
      </c>
      <c r="AK45" s="14">
        <f t="shared" si="35"/>
        <v>35.07074737441733</v>
      </c>
      <c r="AL45" s="22">
        <f t="shared" si="4"/>
        <v>295.61299167711019</v>
      </c>
      <c r="AM45" s="62">
        <f t="shared" si="5"/>
        <v>588.9463250104435</v>
      </c>
      <c r="AN45" s="62">
        <f ca="1">AVERAGE(OFFSET($AM$3,0,0,'Données projet'!$E$10+1,1))-AVERAGE(OFFSET($H$3,0,0,'Données projet'!$E$10+1,1))</f>
        <v>289.36126704091066</v>
      </c>
      <c r="AO45" s="62">
        <f t="shared" si="36"/>
        <v>195.3674411454258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120.15744000000001</v>
      </c>
      <c r="BF45" s="14">
        <f t="shared" si="37"/>
        <v>31.711716786129845</v>
      </c>
      <c r="BG45" s="22">
        <f t="shared" si="7"/>
        <v>264.50544806917611</v>
      </c>
      <c r="BH45" s="62">
        <f t="shared" si="8"/>
        <v>557.83878140250943</v>
      </c>
      <c r="BI45" s="62">
        <f ca="1">AVERAGE(OFFSET($BH$3,0,0,'Données projet'!$E$11+1,1))-AVERAGE(OFFSET($H$3,0,0,'Données projet'!$E$11+1,1))</f>
        <v>250.17147737747007</v>
      </c>
      <c r="BJ45" s="62">
        <f t="shared" si="38"/>
        <v>172.25613380618552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132.80000000000001</v>
      </c>
      <c r="BZ45" s="14">
        <f>BY45*VLOOKUP('Données projet'!$B$12,Paramètres!$A$1:$I$89,3,0)*VLOOKUP('Données projet'!$B$12,Paramètres!$A$1:$I$89,5,0)</f>
        <v>142.94592</v>
      </c>
      <c r="CA45" s="14">
        <f t="shared" si="39"/>
        <v>36.971054314096854</v>
      </c>
      <c r="CB45" s="22">
        <f t="shared" si="10"/>
        <v>313.35539693038533</v>
      </c>
      <c r="CC45" s="62">
        <f t="shared" si="11"/>
        <v>606.68873026371864</v>
      </c>
      <c r="CD45" s="62">
        <f ca="1">AVERAGE(OFFSET($CC$3,0,0,'Données projet'!$E$12+1,1))-AVERAGE(OFFSET($H$3,0,0,'Données projet'!$E$12+1,1))</f>
        <v>311.71521576048417</v>
      </c>
      <c r="CE45" s="62">
        <f t="shared" si="40"/>
        <v>208.54841796921403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16.600000000000001</v>
      </c>
      <c r="CT45" s="13">
        <f>IF('Données projet'!$A$140&gt;35,CT44+CS45-DB44,IF(A45&lt;'Données projet'!$A$140,$CQ$205^A45,IF(A45='Données projet'!$A$140,'Données projet'!$B$140,CT44+CS45-DB44)))</f>
        <v>256.2000000000001</v>
      </c>
      <c r="CU45" s="18">
        <f>CT45*VLOOKUP('Données projet'!$B$13,Paramètres!$A$1:$I$89,3,0)*VLOOKUP('Données projet'!$B$13,Paramètres!$A$1:$I$89,5,0)</f>
        <v>153.20760000000007</v>
      </c>
      <c r="CV45" s="14">
        <f t="shared" si="41"/>
        <v>39.306624169832133</v>
      </c>
      <c r="CW45" s="22">
        <f t="shared" si="13"/>
        <v>335.29560709579107</v>
      </c>
      <c r="CX45" s="62">
        <f t="shared" si="14"/>
        <v>628.62894042912444</v>
      </c>
      <c r="CY45" s="62">
        <f ca="1">AVERAGE(OFFSET($CX$3,0,0,'Données projet'!$E$13+1,1))-AVERAGE(OFFSET($H$3,0,0,'Données projet'!$E$13+1,1))</f>
        <v>280.47174439810988</v>
      </c>
      <c r="CZ45" s="62">
        <f t="shared" si="42"/>
        <v>231.19476400361157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1.7335772971377055</v>
      </c>
      <c r="DH45" s="23">
        <f>EXP(-LN(2)/2)*DH44+(1-EXP(-LN(2)/2))/(LN(2)/2)*DB45*DE45*VLOOKUP('Données projet'!$B$13,Paramètres!$A$1:$I$89,3,0)*0.475*44/12</f>
        <v>0.33012907328652141</v>
      </c>
      <c r="DI45" s="24">
        <f t="shared" si="15"/>
        <v>2.0637063704242271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9.5</v>
      </c>
      <c r="DO45" s="13">
        <f>IF('Données projet'!$A$166&gt;35,DO44+DN45-DW44,IF(A45&lt;'Données projet'!$A$166,$DL$205^A45,IF(A45='Données projet'!$A$166,'Données projet'!$B$166,DO44+DN45-DW44)))</f>
        <v>245.00000000000011</v>
      </c>
      <c r="DP45" s="18">
        <f>DO45*VLOOKUP('Données projet'!$B$14,Paramètres!$A$1:$I$89,3,0)*VLOOKUP('Données projet'!$B$14,Paramètres!$A$1:$I$89,5,0)</f>
        <v>146.51000000000008</v>
      </c>
      <c r="DQ45" s="14">
        <f t="shared" si="43"/>
        <v>37.784387209607431</v>
      </c>
      <c r="DR45" s="22">
        <f t="shared" si="16"/>
        <v>320.97939105673305</v>
      </c>
      <c r="DS45" s="62">
        <f t="shared" si="17"/>
        <v>614.31272439006636</v>
      </c>
      <c r="DT45" s="62">
        <f ca="1">AVERAGE(OFFSET($DS$3,0,0,'Données projet'!$E$14+1,1))-AVERAGE(OFFSET($H$3,0,0,'Données projet'!$E$14+1,1))</f>
        <v>282.98919020956595</v>
      </c>
      <c r="DU45" s="62">
        <f t="shared" si="44"/>
        <v>182.23565317232647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0.12794335531609372</v>
      </c>
      <c r="ED45" s="24">
        <f t="shared" si="18"/>
        <v>0.12794335531609372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9">
        <f t="shared" si="1"/>
        <v>343.34135579614605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14.039090909090909</v>
      </c>
      <c r="N46" s="14">
        <f>IF('Données projet'!$A$36&gt;35,N45+M46-V45,IF(A46&lt;'Données projet'!$A$36,$K$205^A46,IF(A46='Données projet'!$A$36,'Données projet'!$B$36,N45+M46-V45)))</f>
        <v>278.35727272727269</v>
      </c>
      <c r="O46" s="14">
        <f>N46*VLOOKUP('Données projet'!$B$9,Paramètres!$A$1:$I$89,3,0)*VLOOKUP('Données projet'!$B$9,Paramètres!$A$1:$I$89,5,0)</f>
        <v>130.27120363636362</v>
      </c>
      <c r="P46" s="14">
        <f t="shared" si="33"/>
        <v>34.059018927092339</v>
      </c>
      <c r="Q46" s="22">
        <f t="shared" si="53"/>
        <v>286.20847096468577</v>
      </c>
      <c r="R46" s="62">
        <f t="shared" si="0"/>
        <v>579.54180429801909</v>
      </c>
      <c r="S46" s="62">
        <f ca="1">AVERAGE(OFFSET($R$3,0,0,'Données projet'!$E$9+1,1))-AVERAGE(OFFSET($H$3,0,0,'Données projet'!$E$9+1,1))</f>
        <v>172.62653085905839</v>
      </c>
      <c r="T46" s="62">
        <f t="shared" si="34"/>
        <v>103.0747749312265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289.36126704091066</v>
      </c>
      <c r="AO46" s="62">
        <f t="shared" si="36"/>
        <v>195.3674411454258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127.75776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250.17147737747007</v>
      </c>
      <c r="BJ46" s="62">
        <f t="shared" si="38"/>
        <v>172.25613380618552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141.20000000000002</v>
      </c>
      <c r="BZ46" s="14">
        <f>BY46*VLOOKUP('Données projet'!$B$12,Paramètres!$A$1:$I$89,3,0)*VLOOKUP('Données projet'!$B$12,Paramètres!$A$1:$I$89,5,0)</f>
        <v>151.98768000000001</v>
      </c>
      <c r="CA46" s="14">
        <f t="shared" si="39"/>
        <v>39.029946373574369</v>
      </c>
      <c r="CB46" s="22">
        <f t="shared" si="10"/>
        <v>332.68903260064207</v>
      </c>
      <c r="CC46" s="62">
        <f t="shared" si="11"/>
        <v>626.02236593397538</v>
      </c>
      <c r="CD46" s="62">
        <f ca="1">AVERAGE(OFFSET($CC$3,0,0,'Données projet'!$E$12+1,1))-AVERAGE(OFFSET($H$3,0,0,'Données projet'!$E$12+1,1))</f>
        <v>311.71521576048417</v>
      </c>
      <c r="CE46" s="62">
        <f t="shared" si="40"/>
        <v>208.54841796921403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16.600000000000001</v>
      </c>
      <c r="CT46" s="13">
        <f>IF('Données projet'!$A$140&gt;35,CT45+CS46-DB45,IF(A46&lt;'Données projet'!$A$140,$CQ$205^A46,IF(A46='Données projet'!$A$140,'Données projet'!$B$140,CT45+CS46-DB45)))</f>
        <v>272.80000000000013</v>
      </c>
      <c r="CU46" s="18">
        <f>CT46*VLOOKUP('Données projet'!$B$13,Paramètres!$A$1:$I$89,3,0)*VLOOKUP('Données projet'!$B$13,Paramètres!$A$1:$I$89,5,0)</f>
        <v>163.13440000000008</v>
      </c>
      <c r="CV46" s="14">
        <f t="shared" si="41"/>
        <v>41.548687845426002</v>
      </c>
      <c r="CW46" s="22">
        <f t="shared" si="13"/>
        <v>356.48971133078379</v>
      </c>
      <c r="CX46" s="62">
        <f t="shared" si="14"/>
        <v>649.82304466411711</v>
      </c>
      <c r="CY46" s="62">
        <f ca="1">AVERAGE(OFFSET($CX$3,0,0,'Données projet'!$E$13+1,1))-AVERAGE(OFFSET($H$3,0,0,'Données projet'!$E$13+1,1))</f>
        <v>280.47174439810988</v>
      </c>
      <c r="CZ46" s="62">
        <f t="shared" si="42"/>
        <v>231.19476400361157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1.6861725347826071</v>
      </c>
      <c r="DH46" s="23">
        <f>EXP(-LN(2)/2)*DH45+(1-EXP(-LN(2)/2))/(LN(2)/2)*DB46*DE46*VLOOKUP('Données projet'!$B$13,Paramètres!$A$1:$I$89,3,0)*0.475*44/12</f>
        <v>0.23343650638773003</v>
      </c>
      <c r="DI46" s="24">
        <f t="shared" si="15"/>
        <v>1.919609041170337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9.5</v>
      </c>
      <c r="DO46" s="13">
        <f>IF('Données projet'!$A$166&gt;35,DO45+DN46-DW45,IF(A46&lt;'Données projet'!$A$166,$DL$205^A46,IF(A46='Données projet'!$A$166,'Données projet'!$B$166,DO45+DN46-DW45)))</f>
        <v>254.50000000000011</v>
      </c>
      <c r="DP46" s="18">
        <f>DO46*VLOOKUP('Données projet'!$B$14,Paramètres!$A$1:$I$89,3,0)*VLOOKUP('Données projet'!$B$14,Paramètres!$A$1:$I$89,5,0)</f>
        <v>152.19100000000009</v>
      </c>
      <c r="DQ46" s="14">
        <f t="shared" si="43"/>
        <v>39.076077236632756</v>
      </c>
      <c r="DR46" s="22">
        <f t="shared" si="16"/>
        <v>333.12349285380219</v>
      </c>
      <c r="DS46" s="62">
        <f t="shared" si="17"/>
        <v>626.45682618713545</v>
      </c>
      <c r="DT46" s="62">
        <f ca="1">AVERAGE(OFFSET($DS$3,0,0,'Données projet'!$E$14+1,1))-AVERAGE(OFFSET($H$3,0,0,'Données projet'!$E$14+1,1))</f>
        <v>282.98919020956595</v>
      </c>
      <c r="DU46" s="62">
        <f t="shared" si="44"/>
        <v>182.23565317232647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9.0469614151769781E-2</v>
      </c>
      <c r="ED46" s="24">
        <f t="shared" si="18"/>
        <v>9.0469614151769781E-2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9">
        <f t="shared" si="1"/>
        <v>345.30213365846572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14.039090909090909</v>
      </c>
      <c r="N47" s="14">
        <f>IF('Données projet'!$A$36&gt;35,N46+M47-V46,IF(A47&lt;'Données projet'!$A$36,$K$205^A47,IF(A47='Données projet'!$A$36,'Données projet'!$B$36,N46+M47-V46)))</f>
        <v>292.39636363636362</v>
      </c>
      <c r="O47" s="14">
        <f>N47*VLOOKUP('Données projet'!$B$9,Paramètres!$A$1:$I$89,3,0)*VLOOKUP('Données projet'!$B$9,Paramètres!$A$1:$I$89,5,0)</f>
        <v>136.84149818181817</v>
      </c>
      <c r="P47" s="14">
        <f t="shared" si="33"/>
        <v>35.572478938456648</v>
      </c>
      <c r="Q47" s="22">
        <f t="shared" si="53"/>
        <v>300.28767681781193</v>
      </c>
      <c r="R47" s="62">
        <f t="shared" si="0"/>
        <v>593.62101015114524</v>
      </c>
      <c r="S47" s="62">
        <f ca="1">AVERAGE(OFFSET($R$3,0,0,'Données projet'!$E$9+1,1))-AVERAGE(OFFSET($H$3,0,0,'Données projet'!$E$9+1,1))</f>
        <v>172.62653085905839</v>
      </c>
      <c r="T47" s="62">
        <f t="shared" si="34"/>
        <v>103.0747749312265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151.69440000000003</v>
      </c>
      <c r="AK47" s="14">
        <f t="shared" si="35"/>
        <v>38.963392010880654</v>
      </c>
      <c r="AL47" s="22">
        <f t="shared" si="4"/>
        <v>332.06232108561716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289.36126704091066</v>
      </c>
      <c r="AO47" s="62">
        <f t="shared" si="36"/>
        <v>195.3674411454258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135.35808</v>
      </c>
      <c r="BF47" s="14">
        <f t="shared" si="37"/>
        <v>35.231528980112834</v>
      </c>
      <c r="BG47" s="22">
        <f t="shared" si="7"/>
        <v>297.11023564036316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250.17147737747007</v>
      </c>
      <c r="BJ47" s="62">
        <f t="shared" si="38"/>
        <v>172.25613380618552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149.60000000000002</v>
      </c>
      <c r="BZ47" s="14">
        <f>BY47*VLOOKUP('Données projet'!$B$12,Paramètres!$A$1:$I$89,3,0)*VLOOKUP('Données projet'!$B$12,Paramètres!$A$1:$I$89,5,0)</f>
        <v>161.02944000000002</v>
      </c>
      <c r="CA47" s="14">
        <f t="shared" si="39"/>
        <v>41.074621732940685</v>
      </c>
      <c r="CB47" s="22">
        <f t="shared" si="10"/>
        <v>351.99790751820501</v>
      </c>
      <c r="CC47" s="62">
        <f t="shared" si="11"/>
        <v>645.33124085153827</v>
      </c>
      <c r="CD47" s="62">
        <f ca="1">AVERAGE(OFFSET($CC$3,0,0,'Données projet'!$E$12+1,1))-AVERAGE(OFFSET($H$3,0,0,'Données projet'!$E$12+1,1))</f>
        <v>311.71521576048417</v>
      </c>
      <c r="CE47" s="62">
        <f t="shared" si="40"/>
        <v>208.54841796921403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16.600000000000001</v>
      </c>
      <c r="CT47" s="13">
        <f>IF('Données projet'!$A$140&gt;35,CT46+CS47-DB46,IF(A47&lt;'Données projet'!$A$140,$CQ$205^A47,IF(A47='Données projet'!$A$140,'Données projet'!$B$140,CT46+CS47-DB46)))</f>
        <v>289.40000000000015</v>
      </c>
      <c r="CU47" s="18">
        <f>CT47*VLOOKUP('Données projet'!$B$13,Paramètres!$A$1:$I$89,3,0)*VLOOKUP('Données projet'!$B$13,Paramètres!$A$1:$I$89,5,0)</f>
        <v>173.0612000000001</v>
      </c>
      <c r="CV47" s="14">
        <f t="shared" si="41"/>
        <v>43.774916798471111</v>
      </c>
      <c r="CW47" s="22">
        <f t="shared" si="13"/>
        <v>377.65623675733735</v>
      </c>
      <c r="CX47" s="62">
        <f t="shared" si="14"/>
        <v>670.98957009067067</v>
      </c>
      <c r="CY47" s="62">
        <f ca="1">AVERAGE(OFFSET($CX$3,0,0,'Données projet'!$E$13+1,1))-AVERAGE(OFFSET($H$3,0,0,'Données projet'!$E$13+1,1))</f>
        <v>280.47174439810988</v>
      </c>
      <c r="CZ47" s="62">
        <f t="shared" si="42"/>
        <v>231.19476400361157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1.6400640581470169</v>
      </c>
      <c r="DH47" s="23">
        <f>EXP(-LN(2)/2)*DH46+(1-EXP(-LN(2)/2))/(LN(2)/2)*DB47*DE47*VLOOKUP('Données projet'!$B$13,Paramètres!$A$1:$I$89,3,0)*0.475*44/12</f>
        <v>0.16506453664326073</v>
      </c>
      <c r="DI47" s="24">
        <f t="shared" si="15"/>
        <v>1.8051285947902778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9.5</v>
      </c>
      <c r="DO47" s="13">
        <f>IF('Données projet'!$A$166&gt;35,DO46+DN47-DW46,IF(A47&lt;'Données projet'!$A$166,$DL$205^A47,IF(A47='Données projet'!$A$166,'Données projet'!$B$166,DO46+DN47-DW46)))</f>
        <v>264.00000000000011</v>
      </c>
      <c r="DP47" s="18">
        <f>DO47*VLOOKUP('Données projet'!$B$14,Paramètres!$A$1:$I$89,3,0)*VLOOKUP('Données projet'!$B$14,Paramètres!$A$1:$I$89,5,0)</f>
        <v>157.87200000000007</v>
      </c>
      <c r="DQ47" s="14">
        <f t="shared" si="43"/>
        <v>40.362165684361159</v>
      </c>
      <c r="DR47" s="22">
        <f t="shared" si="16"/>
        <v>345.25783856692919</v>
      </c>
      <c r="DS47" s="62">
        <f t="shared" si="17"/>
        <v>638.59117190026245</v>
      </c>
      <c r="DT47" s="62">
        <f ca="1">AVERAGE(OFFSET($DS$3,0,0,'Données projet'!$E$14+1,1))-AVERAGE(OFFSET($H$3,0,0,'Données projet'!$E$14+1,1))</f>
        <v>282.98919020956595</v>
      </c>
      <c r="DU47" s="62">
        <f t="shared" si="44"/>
        <v>182.23565317232647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6.3971677658046858E-2</v>
      </c>
      <c r="ED47" s="24">
        <f t="shared" si="18"/>
        <v>6.3971677658046858E-2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9">
        <f t="shared" si="1"/>
        <v>347.2618227027192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14.039090909090909</v>
      </c>
      <c r="N48" s="14">
        <f>IF('Données projet'!$A$36&gt;35,N47+M48-V47,IF(A48&lt;'Données projet'!$A$36,$K$205^A48,IF(A48='Données projet'!$A$36,'Données projet'!$B$36,N47+M48-V47)))</f>
        <v>306.43545454545455</v>
      </c>
      <c r="O48" s="14">
        <f>N48*VLOOKUP('Données projet'!$B$9,Paramètres!$A$1:$I$89,3,0)*VLOOKUP('Données projet'!$B$9,Paramètres!$A$1:$I$89,5,0)</f>
        <v>143.41179272727274</v>
      </c>
      <c r="P48" s="14">
        <f t="shared" si="33"/>
        <v>37.077500665836773</v>
      </c>
      <c r="Q48" s="22">
        <f t="shared" si="53"/>
        <v>314.35218599299907</v>
      </c>
      <c r="R48" s="62">
        <f t="shared" si="0"/>
        <v>607.68551932633238</v>
      </c>
      <c r="S48" s="62">
        <f ca="1">AVERAGE(OFFSET($R$3,0,0,'Données projet'!$E$9+1,1))-AVERAGE(OFFSET($H$3,0,0,'Données projet'!$E$9+1,1))</f>
        <v>172.62653085905839</v>
      </c>
      <c r="T48" s="62">
        <f t="shared" si="34"/>
        <v>103.0747749312265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160.21200000000005</v>
      </c>
      <c r="AK48" s="14">
        <f t="shared" si="35"/>
        <v>40.890328912852695</v>
      </c>
      <c r="AL48" s="22">
        <f t="shared" si="4"/>
        <v>350.25322285655176</v>
      </c>
      <c r="AM48" s="62">
        <f t="shared" si="5"/>
        <v>643.58655618988507</v>
      </c>
      <c r="AN48" s="62">
        <f ca="1">AVERAGE(OFFSET($AM$3,0,0,'Données projet'!$E$10+1,1))-AVERAGE(OFFSET($H$3,0,0,'Données projet'!$E$10+1,1))</f>
        <v>289.36126704091066</v>
      </c>
      <c r="AO48" s="62">
        <f t="shared" si="36"/>
        <v>195.3674411454258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250.17147737747007</v>
      </c>
      <c r="BJ48" s="62">
        <f t="shared" si="38"/>
        <v>172.25613380618552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158.00000000000003</v>
      </c>
      <c r="BZ48" s="14">
        <f>BY48*VLOOKUP('Données projet'!$B$12,Paramètres!$A$1:$I$89,3,0)*VLOOKUP('Données projet'!$B$12,Paramètres!$A$1:$I$89,5,0)</f>
        <v>170.07120000000003</v>
      </c>
      <c r="CA48" s="14">
        <f t="shared" si="39"/>
        <v>43.10596962815594</v>
      </c>
      <c r="CB48" s="22">
        <f t="shared" si="10"/>
        <v>371.28357043570503</v>
      </c>
      <c r="CC48" s="62">
        <f t="shared" si="11"/>
        <v>664.61690376903834</v>
      </c>
      <c r="CD48" s="62">
        <f ca="1">AVERAGE(OFFSET($CC$3,0,0,'Données projet'!$E$12+1,1))-AVERAGE(OFFSET($H$3,0,0,'Données projet'!$E$12+1,1))</f>
        <v>311.71521576048417</v>
      </c>
      <c r="CE48" s="62">
        <f t="shared" si="40"/>
        <v>208.54841796921403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306</v>
      </c>
      <c r="CR48" s="13">
        <f>VLOOKUP(A48,'Données projet'!$A$139:$I$159,9,0)</f>
        <v>16.600000000000001</v>
      </c>
      <c r="CS48" s="13">
        <f t="array" ref="CS48">INDEX(CR:CR,MIN(IF(ISNUMBER(CR48:CR244),ROW(CR48:CR244),"")))</f>
        <v>16.600000000000001</v>
      </c>
      <c r="CT48" s="13">
        <f>IF('Données projet'!$A$140&gt;35,CT47+CS48-DB47,IF(A48&lt;'Données projet'!$A$140,$CQ$205^A48,IF(A48='Données projet'!$A$140,'Données projet'!$B$140,CT47+CS48-DB47)))</f>
        <v>306.00000000000017</v>
      </c>
      <c r="CU48" s="18">
        <f>CT48*VLOOKUP('Données projet'!$B$13,Paramètres!$A$1:$I$89,3,0)*VLOOKUP('Données projet'!$B$13,Paramètres!$A$1:$I$89,5,0)</f>
        <v>182.98800000000011</v>
      </c>
      <c r="CV48" s="14">
        <f t="shared" si="41"/>
        <v>45.986322796524874</v>
      </c>
      <c r="CW48" s="22">
        <f t="shared" si="13"/>
        <v>398.79694553728103</v>
      </c>
      <c r="CX48" s="62">
        <f t="shared" si="14"/>
        <v>692.13027887061435</v>
      </c>
      <c r="CY48" s="62">
        <f ca="1">AVERAGE(OFFSET($CX$3,0,0,'Données projet'!$E$13+1,1))-AVERAGE(OFFSET($H$3,0,0,'Données projet'!$E$13+1,1))</f>
        <v>280.47174439810988</v>
      </c>
      <c r="CZ48" s="62">
        <f t="shared" si="42"/>
        <v>231.19476400361157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53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1.5952164202297663</v>
      </c>
      <c r="DH48" s="23">
        <f>EXP(-LN(2)/2)*DH47+(1-EXP(-LN(2)/2))/(LN(2)/2)*DB48*DE48*VLOOKUP('Données projet'!$B$13,Paramètres!$A$1:$I$89,3,0)*0.475*44/12</f>
        <v>0.11671825319386503</v>
      </c>
      <c r="DI48" s="24">
        <f t="shared" si="15"/>
        <v>1.7119346734236314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9.5</v>
      </c>
      <c r="DO48" s="13">
        <f>IF('Données projet'!$A$166&gt;35,DO47+DN48-DW47,IF(A48&lt;'Données projet'!$A$166,$DL$205^A48,IF(A48='Données projet'!$A$166,'Données projet'!$B$166,DO47+DN48-DW47)))</f>
        <v>273.50000000000011</v>
      </c>
      <c r="DP48" s="18">
        <f>DO48*VLOOKUP('Données projet'!$B$14,Paramètres!$A$1:$I$89,3,0)*VLOOKUP('Données projet'!$B$14,Paramètres!$A$1:$I$89,5,0)</f>
        <v>163.55300000000008</v>
      </c>
      <c r="DQ48" s="14">
        <f t="shared" si="43"/>
        <v>41.642877215727864</v>
      </c>
      <c r="DR48" s="22">
        <f t="shared" si="16"/>
        <v>357.38281948405944</v>
      </c>
      <c r="DS48" s="62">
        <f t="shared" si="17"/>
        <v>650.71615281739275</v>
      </c>
      <c r="DT48" s="62">
        <f ca="1">AVERAGE(OFFSET($DS$3,0,0,'Données projet'!$E$14+1,1))-AVERAGE(OFFSET($H$3,0,0,'Données projet'!$E$14+1,1))</f>
        <v>282.98919020956595</v>
      </c>
      <c r="DU48" s="62">
        <f t="shared" si="44"/>
        <v>182.23565317232647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4.5234807075884891E-2</v>
      </c>
      <c r="ED48" s="24">
        <f t="shared" si="18"/>
        <v>4.5234807075884891E-2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9">
        <f t="shared" si="1"/>
        <v>349.22044991085374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14.039090909090909</v>
      </c>
      <c r="N49" s="14">
        <f>IF('Données projet'!$A$36&gt;35,N48+M49-V48,IF(A49&lt;'Données projet'!$A$36,$K$205^A49,IF(A49='Données projet'!$A$36,'Données projet'!$B$36,N48+M49-V48)))</f>
        <v>320.47454545454548</v>
      </c>
      <c r="O49" s="14">
        <f>N49*VLOOKUP('Données projet'!$B$9,Paramètres!$A$1:$I$89,3,0)*VLOOKUP('Données projet'!$B$9,Paramètres!$A$1:$I$89,5,0)</f>
        <v>149.98208727272728</v>
      </c>
      <c r="P49" s="14">
        <f t="shared" si="33"/>
        <v>38.574514861010179</v>
      </c>
      <c r="Q49" s="22">
        <f t="shared" si="53"/>
        <v>328.4027487162594</v>
      </c>
      <c r="R49" s="62">
        <f t="shared" si="0"/>
        <v>621.73608204959271</v>
      </c>
      <c r="S49" s="62">
        <f ca="1">AVERAGE(OFFSET($R$3,0,0,'Données projet'!$E$9+1,1))-AVERAGE(OFFSET($H$3,0,0,'Données projet'!$E$9+1,1))</f>
        <v>172.62653085905839</v>
      </c>
      <c r="T49" s="62">
        <f t="shared" si="34"/>
        <v>103.0747749312265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147.43560000000002</v>
      </c>
      <c r="AK49" s="14">
        <f t="shared" si="35"/>
        <v>37.99523294834102</v>
      </c>
      <c r="AL49" s="22">
        <f t="shared" si="4"/>
        <v>322.95870071836066</v>
      </c>
      <c r="AM49" s="62">
        <f t="shared" si="5"/>
        <v>616.29203405169392</v>
      </c>
      <c r="AN49" s="62">
        <f ca="1">AVERAGE(OFFSET($AM$3,0,0,'Données projet'!$E$10+1,1))-AVERAGE(OFFSET($H$3,0,0,'Données projet'!$E$10+1,1))</f>
        <v>289.36126704091066</v>
      </c>
      <c r="AO49" s="62">
        <f t="shared" si="36"/>
        <v>195.3674411454258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131.55792000000002</v>
      </c>
      <c r="BF49" s="14">
        <f t="shared" si="37"/>
        <v>34.3560989338864</v>
      </c>
      <c r="BG49" s="22">
        <f t="shared" si="7"/>
        <v>288.96691630985219</v>
      </c>
      <c r="BH49" s="62">
        <f t="shared" si="8"/>
        <v>582.30024964318545</v>
      </c>
      <c r="BI49" s="62">
        <f ca="1">AVERAGE(OFFSET($BH$3,0,0,'Données projet'!$E$11+1,1))-AVERAGE(OFFSET($H$3,0,0,'Données projet'!$E$11+1,1))</f>
        <v>250.17147737747007</v>
      </c>
      <c r="BJ49" s="62">
        <f t="shared" si="38"/>
        <v>172.25613380618552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145.40000000000003</v>
      </c>
      <c r="BZ49" s="14">
        <f>BY49*VLOOKUP('Données projet'!$B$12,Paramètres!$A$1:$I$89,3,0)*VLOOKUP('Données projet'!$B$12,Paramètres!$A$1:$I$89,5,0)</f>
        <v>156.50856000000005</v>
      </c>
      <c r="CA49" s="14">
        <f t="shared" si="39"/>
        <v>40.054003013194027</v>
      </c>
      <c r="CB49" s="22">
        <f t="shared" si="10"/>
        <v>342.34646391464634</v>
      </c>
      <c r="CC49" s="62">
        <f t="shared" si="11"/>
        <v>635.67979724797965</v>
      </c>
      <c r="CD49" s="62">
        <f ca="1">AVERAGE(OFFSET($CC$3,0,0,'Données projet'!$E$12+1,1))-AVERAGE(OFFSET($H$3,0,0,'Données projet'!$E$12+1,1))</f>
        <v>311.71521576048417</v>
      </c>
      <c r="CE49" s="62">
        <f t="shared" si="40"/>
        <v>208.54841796921403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17.399999999999999</v>
      </c>
      <c r="CT49" s="13">
        <f>IF('Données projet'!$A$140&gt;35,CT48+CS49-DB48,IF(A49&lt;'Données projet'!$A$140,$CQ$205^A49,IF(A49='Données projet'!$A$140,'Données projet'!$B$140,CT48+CS49-DB48)))</f>
        <v>270.40000000000015</v>
      </c>
      <c r="CU49" s="18">
        <f>CT49*VLOOKUP('Données projet'!$B$13,Paramètres!$A$1:$I$89,3,0)*VLOOKUP('Données projet'!$B$13,Paramètres!$A$1:$I$89,5,0)</f>
        <v>161.6992000000001</v>
      </c>
      <c r="CV49" s="14">
        <f t="shared" si="41"/>
        <v>41.225538754249229</v>
      </c>
      <c r="CW49" s="22">
        <f t="shared" si="13"/>
        <v>353.42725333031763</v>
      </c>
      <c r="CX49" s="62">
        <f t="shared" si="14"/>
        <v>646.76058666365088</v>
      </c>
      <c r="CY49" s="62">
        <f ca="1">AVERAGE(OFFSET($CX$3,0,0,'Données projet'!$E$13+1,1))-AVERAGE(OFFSET($H$3,0,0,'Données projet'!$E$13+1,1))</f>
        <v>280.47174439810988</v>
      </c>
      <c r="CZ49" s="62">
        <f t="shared" si="42"/>
        <v>231.19476400361157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1.5515951433297976</v>
      </c>
      <c r="DH49" s="23">
        <f>EXP(-LN(2)/2)*DH48+(1-EXP(-LN(2)/2))/(LN(2)/2)*DB49*DE49*VLOOKUP('Données projet'!$B$13,Paramètres!$A$1:$I$89,3,0)*0.475*44/12</f>
        <v>8.2532268321630381E-2</v>
      </c>
      <c r="DI49" s="24">
        <f t="shared" si="15"/>
        <v>1.6341274116514279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9.5</v>
      </c>
      <c r="DO49" s="13">
        <f>IF('Données projet'!$A$166&gt;35,DO48+DN49-DW48,IF(A49&lt;'Données projet'!$A$166,$DL$205^A49,IF(A49='Données projet'!$A$166,'Données projet'!$B$166,DO48+DN49-DW48)))</f>
        <v>283.00000000000011</v>
      </c>
      <c r="DP49" s="18">
        <f>DO49*VLOOKUP('Données projet'!$B$14,Paramètres!$A$1:$I$89,3,0)*VLOOKUP('Données projet'!$B$14,Paramètres!$A$1:$I$89,5,0)</f>
        <v>169.23400000000009</v>
      </c>
      <c r="DQ49" s="14">
        <f t="shared" si="43"/>
        <v>42.918420001269396</v>
      </c>
      <c r="DR49" s="22">
        <f t="shared" si="16"/>
        <v>369.49879816887761</v>
      </c>
      <c r="DS49" s="62">
        <f t="shared" si="17"/>
        <v>662.83213150221093</v>
      </c>
      <c r="DT49" s="62">
        <f ca="1">AVERAGE(OFFSET($DS$3,0,0,'Données projet'!$E$14+1,1))-AVERAGE(OFFSET($H$3,0,0,'Données projet'!$E$14+1,1))</f>
        <v>282.98919020956595</v>
      </c>
      <c r="DU49" s="62">
        <f t="shared" si="44"/>
        <v>182.23565317232647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3.1985838829023429E-2</v>
      </c>
      <c r="ED49" s="24">
        <f t="shared" si="18"/>
        <v>3.1985838829023429E-2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9">
        <f t="shared" si="1"/>
        <v>351.17804102468818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14.039090909090909</v>
      </c>
      <c r="N50" s="14">
        <f>IF('Données projet'!$A$36&gt;35,N49+M50-V49,IF(A50&lt;'Données projet'!$A$36,$K$205^A50,IF(A50='Données projet'!$A$36,'Données projet'!$B$36,N49+M50-V49)))</f>
        <v>334.51363636363641</v>
      </c>
      <c r="O50" s="14">
        <f>N50*VLOOKUP('Données projet'!$B$9,Paramètres!$A$1:$I$89,3,0)*VLOOKUP('Données projet'!$B$9,Paramètres!$A$1:$I$89,5,0)</f>
        <v>156.55238181818183</v>
      </c>
      <c r="P50" s="14">
        <f t="shared" si="33"/>
        <v>40.063912401659877</v>
      </c>
      <c r="Q50" s="22">
        <f t="shared" si="53"/>
        <v>342.44004576622433</v>
      </c>
      <c r="R50" s="62">
        <f t="shared" si="0"/>
        <v>635.77337909955759</v>
      </c>
      <c r="S50" s="62">
        <f ca="1">AVERAGE(OFFSET($R$3,0,0,'Données projet'!$E$9+1,1))-AVERAGE(OFFSET($H$3,0,0,'Données projet'!$E$9+1,1))</f>
        <v>172.62653085905839</v>
      </c>
      <c r="T50" s="62">
        <f t="shared" si="34"/>
        <v>103.0747749312265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155.95320000000004</v>
      </c>
      <c r="AK50" s="14">
        <f t="shared" si="35"/>
        <v>39.928391937903875</v>
      </c>
      <c r="AL50" s="22">
        <f t="shared" si="4"/>
        <v>341.16043929184929</v>
      </c>
      <c r="AM50" s="62">
        <f t="shared" si="5"/>
        <v>634.4937726251826</v>
      </c>
      <c r="AN50" s="62">
        <f ca="1">AVERAGE(OFFSET($AM$3,0,0,'Données projet'!$E$10+1,1))-AVERAGE(OFFSET($H$3,0,0,'Données projet'!$E$10+1,1))</f>
        <v>289.36126704091066</v>
      </c>
      <c r="AO50" s="62">
        <f t="shared" si="36"/>
        <v>195.3674411454258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139.15824000000003</v>
      </c>
      <c r="BF50" s="14">
        <f t="shared" si="37"/>
        <v>36.104102468715482</v>
      </c>
      <c r="BG50" s="22">
        <f t="shared" si="7"/>
        <v>305.24857979967953</v>
      </c>
      <c r="BH50" s="62">
        <f t="shared" si="8"/>
        <v>598.5819131330129</v>
      </c>
      <c r="BI50" s="62">
        <f ca="1">AVERAGE(OFFSET($BH$3,0,0,'Données projet'!$E$11+1,1))-AVERAGE(OFFSET($H$3,0,0,'Données projet'!$E$11+1,1))</f>
        <v>250.17147737747007</v>
      </c>
      <c r="BJ50" s="62">
        <f t="shared" si="38"/>
        <v>172.25613380618552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153.80000000000004</v>
      </c>
      <c r="BZ50" s="14">
        <f>BY50*VLOOKUP('Données projet'!$B$12,Paramètres!$A$1:$I$89,3,0)*VLOOKUP('Données projet'!$B$12,Paramètres!$A$1:$I$89,5,0)</f>
        <v>165.55032000000003</v>
      </c>
      <c r="CA50" s="14">
        <f t="shared" si="39"/>
        <v>42.091910139548794</v>
      </c>
      <c r="CB50" s="22">
        <f t="shared" si="10"/>
        <v>361.64355082638082</v>
      </c>
      <c r="CC50" s="62">
        <f t="shared" si="11"/>
        <v>654.97688415971413</v>
      </c>
      <c r="CD50" s="62">
        <f ca="1">AVERAGE(OFFSET($CC$3,0,0,'Données projet'!$E$12+1,1))-AVERAGE(OFFSET($H$3,0,0,'Données projet'!$E$12+1,1))</f>
        <v>311.71521576048417</v>
      </c>
      <c r="CE50" s="62">
        <f t="shared" si="40"/>
        <v>208.54841796921403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17.399999999999999</v>
      </c>
      <c r="CT50" s="13">
        <f>IF('Données projet'!$A$140&gt;35,CT49+CS50-DB49,IF(A50&lt;'Données projet'!$A$140,$CQ$205^A50,IF(A50='Données projet'!$A$140,'Données projet'!$B$140,CT49+CS50-DB49)))</f>
        <v>287.80000000000013</v>
      </c>
      <c r="CU50" s="18">
        <f>CT50*VLOOKUP('Données projet'!$B$13,Paramètres!$A$1:$I$89,3,0)*VLOOKUP('Données projet'!$B$13,Paramètres!$A$1:$I$89,5,0)</f>
        <v>172.10440000000008</v>
      </c>
      <c r="CV50" s="14">
        <f t="shared" si="41"/>
        <v>43.561001176960559</v>
      </c>
      <c r="CW50" s="22">
        <f t="shared" si="13"/>
        <v>375.61724038320648</v>
      </c>
      <c r="CX50" s="62">
        <f t="shared" si="14"/>
        <v>668.95057371653979</v>
      </c>
      <c r="CY50" s="62">
        <f ca="1">AVERAGE(OFFSET($CX$3,0,0,'Données projet'!$E$13+1,1))-AVERAGE(OFFSET($H$3,0,0,'Données projet'!$E$13+1,1))</f>
        <v>280.47174439810988</v>
      </c>
      <c r="CZ50" s="62">
        <f t="shared" si="42"/>
        <v>231.19476400361157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1.509166692540602</v>
      </c>
      <c r="DH50" s="23">
        <f>EXP(-LN(2)/2)*DH49+(1-EXP(-LN(2)/2))/(LN(2)/2)*DB50*DE50*VLOOKUP('Données projet'!$B$13,Paramètres!$A$1:$I$89,3,0)*0.475*44/12</f>
        <v>5.8359126596932528E-2</v>
      </c>
      <c r="DI50" s="24">
        <f t="shared" si="15"/>
        <v>1.5675258191375345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9.5</v>
      </c>
      <c r="DO50" s="13">
        <f>IF('Données projet'!$A$166&gt;35,DO49+DN50-DW49,IF(A50&lt;'Données projet'!$A$166,$DL$205^A50,IF(A50='Données projet'!$A$166,'Données projet'!$B$166,DO49+DN50-DW49)))</f>
        <v>292.50000000000011</v>
      </c>
      <c r="DP50" s="18">
        <f>DO50*VLOOKUP('Données projet'!$B$14,Paramètres!$A$1:$I$89,3,0)*VLOOKUP('Données projet'!$B$14,Paramètres!$A$1:$I$89,5,0)</f>
        <v>174.91500000000011</v>
      </c>
      <c r="DQ50" s="14">
        <f t="shared" si="43"/>
        <v>44.188987442418814</v>
      </c>
      <c r="DR50" s="22">
        <f t="shared" si="16"/>
        <v>381.60611146221294</v>
      </c>
      <c r="DS50" s="62">
        <f t="shared" si="17"/>
        <v>674.93944479554625</v>
      </c>
      <c r="DT50" s="62">
        <f ca="1">AVERAGE(OFFSET($DS$3,0,0,'Données projet'!$E$14+1,1))-AVERAGE(OFFSET($H$3,0,0,'Données projet'!$E$14+1,1))</f>
        <v>282.98919020956595</v>
      </c>
      <c r="DU50" s="62">
        <f t="shared" si="44"/>
        <v>182.23565317232647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2.2617403537942445E-2</v>
      </c>
      <c r="ED50" s="24">
        <f t="shared" si="18"/>
        <v>2.2617403537942445E-2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9">
        <f t="shared" si="1"/>
        <v>353.13462062806445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14.039090909090909</v>
      </c>
      <c r="N51" s="14">
        <f>IF('Données projet'!$A$36&gt;35,N50+M51-V50,IF(A51&lt;'Données projet'!$A$36,$K$205^A51,IF(A51='Données projet'!$A$36,'Données projet'!$B$36,N50+M51-V50)))</f>
        <v>348.55272727272734</v>
      </c>
      <c r="O51" s="14">
        <f>N51*VLOOKUP('Données projet'!$B$9,Paramètres!$A$1:$I$89,3,0)*VLOOKUP('Données projet'!$B$9,Paramètres!$A$1:$I$89,5,0)</f>
        <v>163.1226763636364</v>
      </c>
      <c r="P51" s="14">
        <f t="shared" si="33"/>
        <v>41.54604950017729</v>
      </c>
      <c r="Q51" s="22">
        <f t="shared" si="53"/>
        <v>356.46469754614213</v>
      </c>
      <c r="R51" s="62">
        <f t="shared" si="0"/>
        <v>649.79803087947539</v>
      </c>
      <c r="S51" s="62">
        <f ca="1">AVERAGE(OFFSET($R$3,0,0,'Données projet'!$E$9+1,1))-AVERAGE(OFFSET($H$3,0,0,'Données projet'!$E$9+1,1))</f>
        <v>172.62653085905839</v>
      </c>
      <c r="T51" s="62">
        <f t="shared" si="34"/>
        <v>103.0747749312265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164.47080000000005</v>
      </c>
      <c r="AK51" s="14">
        <f t="shared" si="35"/>
        <v>41.849293714451377</v>
      </c>
      <c r="AL51" s="22">
        <f t="shared" si="4"/>
        <v>359.34082988600289</v>
      </c>
      <c r="AM51" s="62">
        <f t="shared" si="5"/>
        <v>652.67416321933615</v>
      </c>
      <c r="AN51" s="62">
        <f ca="1">AVERAGE(OFFSET($AM$3,0,0,'Données projet'!$E$10+1,1))-AVERAGE(OFFSET($H$3,0,0,'Données projet'!$E$10+1,1))</f>
        <v>289.36126704091066</v>
      </c>
      <c r="AO51" s="62">
        <f t="shared" si="36"/>
        <v>195.3674411454258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146.75856000000005</v>
      </c>
      <c r="BF51" s="14">
        <f t="shared" si="37"/>
        <v>37.841022770456242</v>
      </c>
      <c r="BG51" s="22">
        <f t="shared" si="7"/>
        <v>321.51093999187805</v>
      </c>
      <c r="BH51" s="62">
        <f t="shared" si="8"/>
        <v>614.84427332521136</v>
      </c>
      <c r="BI51" s="62">
        <f ca="1">AVERAGE(OFFSET($BH$3,0,0,'Données projet'!$E$11+1,1))-AVERAGE(OFFSET($H$3,0,0,'Données projet'!$E$11+1,1))</f>
        <v>250.17147737747007</v>
      </c>
      <c r="BJ51" s="62">
        <f t="shared" si="38"/>
        <v>172.25613380618552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162.20000000000005</v>
      </c>
      <c r="BZ51" s="14">
        <f>BY51*VLOOKUP('Données projet'!$B$12,Paramètres!$A$1:$I$89,3,0)*VLOOKUP('Données projet'!$B$12,Paramètres!$A$1:$I$89,5,0)</f>
        <v>174.59208000000004</v>
      </c>
      <c r="CA51" s="14">
        <f t="shared" si="39"/>
        <v>44.116895896327598</v>
      </c>
      <c r="CB51" s="22">
        <f t="shared" si="10"/>
        <v>380.91813301943733</v>
      </c>
      <c r="CC51" s="62">
        <f t="shared" si="11"/>
        <v>674.25146635277065</v>
      </c>
      <c r="CD51" s="62">
        <f ca="1">AVERAGE(OFFSET($CC$3,0,0,'Données projet'!$E$12+1,1))-AVERAGE(OFFSET($H$3,0,0,'Données projet'!$E$12+1,1))</f>
        <v>311.71521576048417</v>
      </c>
      <c r="CE51" s="62">
        <f t="shared" si="40"/>
        <v>208.54841796921403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17.399999999999999</v>
      </c>
      <c r="CT51" s="13">
        <f>IF('Données projet'!$A$140&gt;35,CT50+CS51-DB50,IF(A51&lt;'Données projet'!$A$140,$CQ$205^A51,IF(A51='Données projet'!$A$140,'Données projet'!$B$140,CT50+CS51-DB50)))</f>
        <v>305.2000000000001</v>
      </c>
      <c r="CU51" s="18">
        <f>CT51*VLOOKUP('Données projet'!$B$13,Paramètres!$A$1:$I$89,3,0)*VLOOKUP('Données projet'!$B$13,Paramètres!$A$1:$I$89,5,0)</f>
        <v>182.50960000000006</v>
      </c>
      <c r="CV51" s="14">
        <f t="shared" si="41"/>
        <v>45.880075205637056</v>
      </c>
      <c r="CW51" s="22">
        <f t="shared" si="13"/>
        <v>397.77868431648454</v>
      </c>
      <c r="CX51" s="62">
        <f t="shared" si="14"/>
        <v>691.11201764981786</v>
      </c>
      <c r="CY51" s="62">
        <f ca="1">AVERAGE(OFFSET($CX$3,0,0,'Données projet'!$E$13+1,1))-AVERAGE(OFFSET($H$3,0,0,'Données projet'!$E$13+1,1))</f>
        <v>280.47174439810988</v>
      </c>
      <c r="CZ51" s="62">
        <f t="shared" si="42"/>
        <v>231.19476400361157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1.4678984499694521</v>
      </c>
      <c r="DH51" s="23">
        <f>EXP(-LN(2)/2)*DH50+(1-EXP(-LN(2)/2))/(LN(2)/2)*DB51*DE51*VLOOKUP('Données projet'!$B$13,Paramètres!$A$1:$I$89,3,0)*0.475*44/12</f>
        <v>4.1266134160815197E-2</v>
      </c>
      <c r="DI51" s="24">
        <f t="shared" si="15"/>
        <v>1.5091645841302672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9.5</v>
      </c>
      <c r="DO51" s="13">
        <f>IF('Données projet'!$A$166&gt;35,DO50+DN51-DW50,IF(A51&lt;'Données projet'!$A$166,$DL$205^A51,IF(A51='Données projet'!$A$166,'Données projet'!$B$166,DO50+DN51-DW50)))</f>
        <v>302.00000000000011</v>
      </c>
      <c r="DP51" s="18">
        <f>DO51*VLOOKUP('Données projet'!$B$14,Paramètres!$A$1:$I$89,3,0)*VLOOKUP('Données projet'!$B$14,Paramètres!$A$1:$I$89,5,0)</f>
        <v>180.59600000000006</v>
      </c>
      <c r="DQ51" s="14">
        <f t="shared" si="43"/>
        <v>45.45475966463092</v>
      </c>
      <c r="DR51" s="22">
        <f t="shared" si="16"/>
        <v>393.7050730825656</v>
      </c>
      <c r="DS51" s="62">
        <f t="shared" si="17"/>
        <v>687.03840641589886</v>
      </c>
      <c r="DT51" s="62">
        <f ca="1">AVERAGE(OFFSET($DS$3,0,0,'Données projet'!$E$14+1,1))-AVERAGE(OFFSET($H$3,0,0,'Données projet'!$E$14+1,1))</f>
        <v>282.98919020956595</v>
      </c>
      <c r="DU51" s="62">
        <f t="shared" si="44"/>
        <v>182.23565317232647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1.5992919414511714E-2</v>
      </c>
      <c r="ED51" s="24">
        <f t="shared" si="18"/>
        <v>1.5992919414511714E-2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9">
        <f t="shared" si="1"/>
        <v>355.09021222196009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14.039090909090909</v>
      </c>
      <c r="N52" s="14">
        <f>IF('Données projet'!$A$36&gt;35,N51+M52-V51,IF(A52&lt;'Données projet'!$A$36,$K$205^A52,IF(A52='Données projet'!$A$36,'Données projet'!$B$36,N51+M52-V51)))</f>
        <v>362.59181818181827</v>
      </c>
      <c r="O52" s="14">
        <f>N52*VLOOKUP('Données projet'!$B$9,Paramètres!$A$1:$I$89,3,0)*VLOOKUP('Données projet'!$B$9,Paramètres!$A$1:$I$89,5,0)</f>
        <v>169.69297090909095</v>
      </c>
      <c r="P52" s="14">
        <f t="shared" si="33"/>
        <v>43.021252049632501</v>
      </c>
      <c r="Q52" s="22">
        <f t="shared" si="53"/>
        <v>370.47727165310999</v>
      </c>
      <c r="R52" s="62">
        <f t="shared" si="0"/>
        <v>663.81060498644331</v>
      </c>
      <c r="S52" s="62">
        <f ca="1">AVERAGE(OFFSET($R$3,0,0,'Données projet'!$E$9+1,1))-AVERAGE(OFFSET($H$3,0,0,'Données projet'!$E$9+1,1))</f>
        <v>172.62653085905839</v>
      </c>
      <c r="T52" s="62">
        <f t="shared" si="34"/>
        <v>103.0747749312265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172.98840000000007</v>
      </c>
      <c r="AK52" s="14">
        <f t="shared" si="35"/>
        <v>43.758645457754092</v>
      </c>
      <c r="AL52" s="22">
        <f t="shared" si="4"/>
        <v>377.50110417225511</v>
      </c>
      <c r="AM52" s="62">
        <f t="shared" si="5"/>
        <v>670.83443750558843</v>
      </c>
      <c r="AN52" s="62">
        <f ca="1">AVERAGE(OFFSET($AM$3,0,0,'Données projet'!$E$10+1,1))-AVERAGE(OFFSET($H$3,0,0,'Données projet'!$E$10+1,1))</f>
        <v>289.36126704091066</v>
      </c>
      <c r="AO52" s="62">
        <f t="shared" si="36"/>
        <v>195.3674411454258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154.35888000000003</v>
      </c>
      <c r="BF52" s="14">
        <f t="shared" si="37"/>
        <v>39.567499286120309</v>
      </c>
      <c r="BG52" s="22">
        <f t="shared" si="7"/>
        <v>337.75511058999291</v>
      </c>
      <c r="BH52" s="62">
        <f t="shared" si="8"/>
        <v>631.08844392332617</v>
      </c>
      <c r="BI52" s="62">
        <f ca="1">AVERAGE(OFFSET($BH$3,0,0,'Données projet'!$E$11+1,1))-AVERAGE(OFFSET($H$3,0,0,'Données projet'!$E$11+1,1))</f>
        <v>250.17147737747007</v>
      </c>
      <c r="BJ52" s="62">
        <f t="shared" si="38"/>
        <v>172.25613380618552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170.60000000000005</v>
      </c>
      <c r="BZ52" s="14">
        <f>BY52*VLOOKUP('Données projet'!$B$12,Paramètres!$A$1:$I$89,3,0)*VLOOKUP('Données projet'!$B$12,Paramètres!$A$1:$I$89,5,0)</f>
        <v>183.63384000000005</v>
      </c>
      <c r="CA52" s="14">
        <f t="shared" si="39"/>
        <v>46.129705781806493</v>
      </c>
      <c r="CB52" s="22">
        <f t="shared" si="10"/>
        <v>400.17150890331305</v>
      </c>
      <c r="CC52" s="62">
        <f t="shared" si="11"/>
        <v>693.50484223664637</v>
      </c>
      <c r="CD52" s="62">
        <f ca="1">AVERAGE(OFFSET($CC$3,0,0,'Données projet'!$E$12+1,1))-AVERAGE(OFFSET($H$3,0,0,'Données projet'!$E$12+1,1))</f>
        <v>311.71521576048417</v>
      </c>
      <c r="CE52" s="62">
        <f t="shared" si="40"/>
        <v>208.54841796921403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17.399999999999999</v>
      </c>
      <c r="CT52" s="13">
        <f>IF('Données projet'!$A$140&gt;35,CT51+CS52-DB51,IF(A52&lt;'Données projet'!$A$140,$CQ$205^A52,IF(A52='Données projet'!$A$140,'Données projet'!$B$140,CT51+CS52-DB51)))</f>
        <v>322.60000000000008</v>
      </c>
      <c r="CU52" s="18">
        <f>CT52*VLOOKUP('Données projet'!$B$13,Paramètres!$A$1:$I$89,3,0)*VLOOKUP('Données projet'!$B$13,Paramètres!$A$1:$I$89,5,0)</f>
        <v>192.91480000000007</v>
      </c>
      <c r="CV52" s="14">
        <f t="shared" si="41"/>
        <v>48.18380163388656</v>
      </c>
      <c r="CW52" s="22">
        <f t="shared" si="13"/>
        <v>419.91339784568589</v>
      </c>
      <c r="CX52" s="62">
        <f t="shared" si="14"/>
        <v>713.24673117901921</v>
      </c>
      <c r="CY52" s="62">
        <f ca="1">AVERAGE(OFFSET($CX$3,0,0,'Données projet'!$E$13+1,1))-AVERAGE(OFFSET($H$3,0,0,'Données projet'!$E$13+1,1))</f>
        <v>280.47174439810988</v>
      </c>
      <c r="CZ52" s="62">
        <f t="shared" si="42"/>
        <v>231.19476400361157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1.4277586896616128</v>
      </c>
      <c r="DH52" s="23">
        <f>EXP(-LN(2)/2)*DH51+(1-EXP(-LN(2)/2))/(LN(2)/2)*DB52*DE52*VLOOKUP('Données projet'!$B$13,Paramètres!$A$1:$I$89,3,0)*0.475*44/12</f>
        <v>2.9179563298466268E-2</v>
      </c>
      <c r="DI52" s="24">
        <f t="shared" si="15"/>
        <v>1.4569382529600789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9.5</v>
      </c>
      <c r="DO52" s="13">
        <f>IF('Données projet'!$A$166&gt;35,DO51+DN52-DW51,IF(A52&lt;'Données projet'!$A$166,$DL$205^A52,IF(A52='Données projet'!$A$166,'Données projet'!$B$166,DO51+DN52-DW51)))</f>
        <v>311.50000000000011</v>
      </c>
      <c r="DP52" s="18">
        <f>DO52*VLOOKUP('Données projet'!$B$14,Paramètres!$A$1:$I$89,3,0)*VLOOKUP('Données projet'!$B$14,Paramètres!$A$1:$I$89,5,0)</f>
        <v>186.27700000000007</v>
      </c>
      <c r="DQ52" s="14">
        <f t="shared" si="43"/>
        <v>46.715904817352708</v>
      </c>
      <c r="DR52" s="22">
        <f t="shared" si="16"/>
        <v>405.79597589022273</v>
      </c>
      <c r="DS52" s="62">
        <f t="shared" si="17"/>
        <v>699.12930922355599</v>
      </c>
      <c r="DT52" s="62">
        <f ca="1">AVERAGE(OFFSET($DS$3,0,0,'Données projet'!$E$14+1,1))-AVERAGE(OFFSET($H$3,0,0,'Données projet'!$E$14+1,1))</f>
        <v>282.98919020956595</v>
      </c>
      <c r="DU52" s="62">
        <f t="shared" si="44"/>
        <v>182.23565317232647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1.1308701768971223E-2</v>
      </c>
      <c r="ED52" s="24">
        <f t="shared" si="18"/>
        <v>1.1308701768971223E-2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9">
        <f t="shared" si="1"/>
        <v>357.0448382932957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14.039090909090909</v>
      </c>
      <c r="N53" s="14">
        <f>IF('Données projet'!$A$36&gt;35,N52+M53-V52,IF(A53&lt;'Données projet'!$A$36,$K$205^A53,IF(A53='Données projet'!$A$36,'Données projet'!$B$36,N52+M53-V52)))</f>
        <v>376.6309090909092</v>
      </c>
      <c r="O53" s="14">
        <f>N53*VLOOKUP('Données projet'!$B$9,Paramètres!$A$1:$I$89,3,0)*VLOOKUP('Données projet'!$B$9,Paramètres!$A$1:$I$89,5,0)</f>
        <v>176.26326545454552</v>
      </c>
      <c r="P53" s="14">
        <f t="shared" si="33"/>
        <v>44.48981927772931</v>
      </c>
      <c r="Q53" s="22">
        <f t="shared" si="53"/>
        <v>384.47828924204532</v>
      </c>
      <c r="R53" s="62">
        <f t="shared" si="0"/>
        <v>677.81162257537858</v>
      </c>
      <c r="S53" s="62">
        <f ca="1">AVERAGE(OFFSET($R$3,0,0,'Données projet'!$E$9+1,1))-AVERAGE(OFFSET($H$3,0,0,'Données projet'!$E$9+1,1))</f>
        <v>172.62653085905839</v>
      </c>
      <c r="T53" s="62">
        <f t="shared" si="34"/>
        <v>103.0747749312265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181.50600000000006</v>
      </c>
      <c r="AK53" s="14">
        <f t="shared" si="35"/>
        <v>45.657080773122978</v>
      </c>
      <c r="AL53" s="22">
        <f t="shared" si="4"/>
        <v>395.64236567985591</v>
      </c>
      <c r="AM53" s="62">
        <f t="shared" si="5"/>
        <v>688.97569901318923</v>
      </c>
      <c r="AN53" s="62">
        <f ca="1">AVERAGE(OFFSET($AM$3,0,0,'Données projet'!$E$10+1,1))-AVERAGE(OFFSET($H$3,0,0,'Données projet'!$E$10+1,1))</f>
        <v>289.36126704091066</v>
      </c>
      <c r="AO53" s="62">
        <f t="shared" si="36"/>
        <v>195.3674411454258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161.95920000000004</v>
      </c>
      <c r="BF53" s="14">
        <f t="shared" si="37"/>
        <v>41.284104935125725</v>
      </c>
      <c r="BG53" s="22">
        <f t="shared" si="7"/>
        <v>353.9820894286774</v>
      </c>
      <c r="BH53" s="62">
        <f t="shared" si="8"/>
        <v>647.31542276201071</v>
      </c>
      <c r="BI53" s="62">
        <f ca="1">AVERAGE(OFFSET($BH$3,0,0,'Données projet'!$E$11+1,1))-AVERAGE(OFFSET($H$3,0,0,'Données projet'!$E$11+1,1))</f>
        <v>250.17147737747007</v>
      </c>
      <c r="BJ53" s="62">
        <f t="shared" si="38"/>
        <v>172.25613380618552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179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179.00000000000006</v>
      </c>
      <c r="BZ53" s="14">
        <f>BY53*VLOOKUP('Données projet'!$B$12,Paramètres!$A$1:$I$89,3,0)*VLOOKUP('Données projet'!$B$12,Paramètres!$A$1:$I$89,5,0)</f>
        <v>192.67560000000006</v>
      </c>
      <c r="CA53" s="14">
        <f t="shared" si="39"/>
        <v>48.131007733172986</v>
      </c>
      <c r="CB53" s="22">
        <f t="shared" si="10"/>
        <v>419.40484180194306</v>
      </c>
      <c r="CC53" s="62">
        <f t="shared" si="11"/>
        <v>712.73817513527638</v>
      </c>
      <c r="CD53" s="62">
        <f ca="1">AVERAGE(OFFSET($CC$3,0,0,'Données projet'!$E$12+1,1))-AVERAGE(OFFSET($H$3,0,0,'Données projet'!$E$12+1,1))</f>
        <v>311.71521576048417</v>
      </c>
      <c r="CE53" s="62">
        <f t="shared" si="40"/>
        <v>208.54841796921403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340</v>
      </c>
      <c r="CR53" s="13">
        <f>VLOOKUP(A53,'Données projet'!$A$139:$I$159,9,0)</f>
        <v>17.399999999999999</v>
      </c>
      <c r="CS53" s="13">
        <f t="array" ref="CS53">INDEX(CR:CR,MIN(IF(ISNUMBER(CR53:CR249),ROW(CR53:CR249),"")))</f>
        <v>17.399999999999999</v>
      </c>
      <c r="CT53" s="13">
        <f>IF('Données projet'!$A$140&gt;35,CT52+CS53-DB52,IF(A53&lt;'Données projet'!$A$140,$CQ$205^A53,IF(A53='Données projet'!$A$140,'Données projet'!$B$140,CT52+CS53-DB52)))</f>
        <v>340.00000000000006</v>
      </c>
      <c r="CU53" s="18">
        <f>CT53*VLOOKUP('Données projet'!$B$13,Paramètres!$A$1:$I$89,3,0)*VLOOKUP('Données projet'!$B$13,Paramètres!$A$1:$I$89,5,0)</f>
        <v>203.32000000000005</v>
      </c>
      <c r="CV53" s="14">
        <f t="shared" si="41"/>
        <v>50.473102640215579</v>
      </c>
      <c r="CW53" s="22">
        <f t="shared" si="13"/>
        <v>442.02298709837555</v>
      </c>
      <c r="CX53" s="62">
        <f t="shared" si="14"/>
        <v>735.35632043170881</v>
      </c>
      <c r="CY53" s="62">
        <f ca="1">AVERAGE(OFFSET($CX$3,0,0,'Données projet'!$E$13+1,1))-AVERAGE(OFFSET($H$3,0,0,'Données projet'!$E$13+1,1))</f>
        <v>280.47174439810988</v>
      </c>
      <c r="CZ53" s="62">
        <f t="shared" si="42"/>
        <v>231.19476400361157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53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1.3887165532102497</v>
      </c>
      <c r="DH53" s="23">
        <f>EXP(-LN(2)/2)*DH52+(1-EXP(-LN(2)/2))/(LN(2)/2)*DB53*DE53*VLOOKUP('Données projet'!$B$13,Paramètres!$A$1:$I$89,3,0)*0.475*44/12</f>
        <v>2.0633067080407602E-2</v>
      </c>
      <c r="DI53" s="24">
        <f t="shared" si="15"/>
        <v>1.4093496202906572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321</v>
      </c>
      <c r="DM53" s="13">
        <f>VLOOKUP(A53,'Données projet'!$A$165:$I$185,9,0)</f>
        <v>9.5</v>
      </c>
      <c r="DN53" s="13">
        <f t="array" ref="DN53">INDEX(DM:DM,MIN(IF(ISNUMBER(DM53:DM249),ROW(DM53:DM249),"")))</f>
        <v>9.5</v>
      </c>
      <c r="DO53" s="13">
        <f>IF('Données projet'!$A$166&gt;35,DO52+DN53-DW52,IF(A53&lt;'Données projet'!$A$166,$DL$205^A53,IF(A53='Données projet'!$A$166,'Données projet'!$B$166,DO52+DN53-DW52)))</f>
        <v>321.00000000000011</v>
      </c>
      <c r="DP53" s="18">
        <f>DO53*VLOOKUP('Données projet'!$B$14,Paramètres!$A$1:$I$89,3,0)*VLOOKUP('Données projet'!$B$14,Paramètres!$A$1:$I$89,5,0)</f>
        <v>191.95800000000008</v>
      </c>
      <c r="DQ53" s="14">
        <f t="shared" si="43"/>
        <v>47.972580210954611</v>
      </c>
      <c r="DR53" s="22">
        <f t="shared" si="16"/>
        <v>417.87909386741279</v>
      </c>
      <c r="DS53" s="62">
        <f t="shared" si="17"/>
        <v>711.21242720074611</v>
      </c>
      <c r="DT53" s="62">
        <f ca="1">AVERAGE(OFFSET($DS$3,0,0,'Données projet'!$E$14+1,1))-AVERAGE(OFFSET($H$3,0,0,'Données projet'!$E$14+1,1))</f>
        <v>282.98919020956595</v>
      </c>
      <c r="DU53" s="62">
        <f t="shared" si="44"/>
        <v>182.23565317232647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25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7.9964597072558572E-3</v>
      </c>
      <c r="ED53" s="24">
        <f t="shared" si="18"/>
        <v>7.9964597072558572E-3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9">
        <f t="shared" si="1"/>
        <v>358.99852037808239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390.67</v>
      </c>
      <c r="L54" s="13">
        <f>VLOOKUP(A54,'Données projet'!$A$35:$I$55,9,0)</f>
        <v>14.039090909090909</v>
      </c>
      <c r="M54" s="13">
        <f t="array" ref="M54">INDEX(L:L,MIN(IF(ISNUMBER(L54:L250),ROW(L54:L250),"")))</f>
        <v>14.039090909090909</v>
      </c>
      <c r="N54" s="14">
        <f>IF('Données projet'!$A$36&gt;35,N53+M54-V53,IF(A54&lt;'Données projet'!$A$36,$K$205^A54,IF(A54='Données projet'!$A$36,'Données projet'!$B$36,N53+M54-V53)))</f>
        <v>390.67000000000013</v>
      </c>
      <c r="O54" s="14">
        <f>N54*VLOOKUP('Données projet'!$B$9,Paramètres!$A$1:$I$89,3,0)*VLOOKUP('Données projet'!$B$9,Paramètres!$A$1:$I$89,5,0)</f>
        <v>182.83356000000009</v>
      </c>
      <c r="P54" s="14">
        <f t="shared" si="33"/>
        <v>45.95202684063149</v>
      </c>
      <c r="Q54" s="22">
        <f t="shared" si="53"/>
        <v>398.46823041409999</v>
      </c>
      <c r="R54" s="62">
        <f t="shared" si="0"/>
        <v>691.80156374743331</v>
      </c>
      <c r="S54" s="62">
        <f ca="1">AVERAGE(OFFSET($R$3,0,0,'Données projet'!$E$9+1,1))-AVERAGE(OFFSET($H$3,0,0,'Données projet'!$E$9+1,1))</f>
        <v>172.62653085905839</v>
      </c>
      <c r="T54" s="62">
        <f t="shared" si="34"/>
        <v>103.0747749312265</v>
      </c>
      <c r="U54" s="16">
        <f>IF(ISNA(VLOOKUP(A54,'Données projet'!$A$35:$I$55,3,0)),0,VLOOKUP(A54,'Données projet'!$A$35:$I$55,3,0))</f>
        <v>3</v>
      </c>
      <c r="V54" s="16">
        <f>IF(ISNA(VLOOKUP(A54,'Données projet'!$A$35:$I$55,4,0)),0,VLOOKUP(A54,'Données projet'!$A$35:$I$55,4,0))</f>
        <v>171.3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168.32400000000007</v>
      </c>
      <c r="AK54" s="14">
        <f t="shared" si="35"/>
        <v>42.71443916408608</v>
      </c>
      <c r="AL54" s="22">
        <f t="shared" si="4"/>
        <v>367.55861487745005</v>
      </c>
      <c r="AM54" s="62">
        <f t="shared" si="5"/>
        <v>660.89194821078331</v>
      </c>
      <c r="AN54" s="62">
        <f ca="1">AVERAGE(OFFSET($AM$3,0,0,'Données projet'!$E$10+1,1))-AVERAGE(OFFSET($H$3,0,0,'Données projet'!$E$10+1,1))</f>
        <v>289.36126704091066</v>
      </c>
      <c r="AO54" s="62">
        <f t="shared" si="36"/>
        <v>195.3674411454258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150.19680000000005</v>
      </c>
      <c r="BF54" s="14">
        <f t="shared" si="37"/>
        <v>38.623305713694506</v>
      </c>
      <c r="BG54" s="22">
        <f t="shared" si="7"/>
        <v>328.86168411801799</v>
      </c>
      <c r="BH54" s="62">
        <f t="shared" si="8"/>
        <v>622.1950174513513</v>
      </c>
      <c r="BI54" s="62">
        <f ca="1">AVERAGE(OFFSET($BH$3,0,0,'Données projet'!$E$11+1,1))-AVERAGE(OFFSET($H$3,0,0,'Données projet'!$E$11+1,1))</f>
        <v>250.17147737747007</v>
      </c>
      <c r="BJ54" s="62">
        <f t="shared" si="38"/>
        <v>172.25613380618552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166.00000000000006</v>
      </c>
      <c r="BZ54" s="14">
        <f>BY54*VLOOKUP('Données projet'!$B$12,Paramètres!$A$1:$I$89,3,0)*VLOOKUP('Données projet'!$B$12,Paramètres!$A$1:$I$89,5,0)</f>
        <v>178.68240000000006</v>
      </c>
      <c r="CA54" s="14">
        <f t="shared" si="39"/>
        <v>45.028919214980071</v>
      </c>
      <c r="CB54" s="22">
        <f t="shared" si="10"/>
        <v>389.63054763275704</v>
      </c>
      <c r="CC54" s="62">
        <f t="shared" si="11"/>
        <v>682.9638809660903</v>
      </c>
      <c r="CD54" s="62">
        <f ca="1">AVERAGE(OFFSET($CC$3,0,0,'Données projet'!$E$12+1,1))-AVERAGE(OFFSET($H$3,0,0,'Données projet'!$E$12+1,1))</f>
        <v>311.71521576048417</v>
      </c>
      <c r="CE54" s="62">
        <f t="shared" si="40"/>
        <v>208.54841796921403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17.625</v>
      </c>
      <c r="CT54" s="13">
        <f>IF('Données projet'!$A$140&gt;35,CT53+CS54-DB53,IF(A54&lt;'Données projet'!$A$140,$CQ$205^A54,IF(A54='Données projet'!$A$140,'Données projet'!$B$140,CT53+CS54-DB53)))</f>
        <v>304.62500000000006</v>
      </c>
      <c r="CU54" s="18">
        <f>CT54*VLOOKUP('Données projet'!$B$13,Paramètres!$A$1:$I$89,3,0)*VLOOKUP('Données projet'!$B$13,Paramètres!$A$1:$I$89,5,0)</f>
        <v>182.16575000000003</v>
      </c>
      <c r="CV54" s="14">
        <f t="shared" si="41"/>
        <v>45.803689728693968</v>
      </c>
      <c r="CW54" s="22">
        <f t="shared" si="13"/>
        <v>397.04677419414202</v>
      </c>
      <c r="CX54" s="62">
        <f t="shared" si="14"/>
        <v>690.38010752747527</v>
      </c>
      <c r="CY54" s="62">
        <f ca="1">AVERAGE(OFFSET($CX$3,0,0,'Données projet'!$E$13+1,1))-AVERAGE(OFFSET($H$3,0,0,'Données projet'!$E$13+1,1))</f>
        <v>280.47174439810988</v>
      </c>
      <c r="CZ54" s="62">
        <f t="shared" si="42"/>
        <v>231.19476400361157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1.3507420260332859</v>
      </c>
      <c r="DH54" s="23">
        <f>EXP(-LN(2)/2)*DH53+(1-EXP(-LN(2)/2))/(LN(2)/2)*DB54*DE54*VLOOKUP('Données projet'!$B$13,Paramètres!$A$1:$I$89,3,0)*0.475*44/12</f>
        <v>1.4589781649233136E-2</v>
      </c>
      <c r="DI54" s="24">
        <f t="shared" si="15"/>
        <v>1.3653318076825189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8.3000000000000007</v>
      </c>
      <c r="DO54" s="13">
        <f>IF('Données projet'!$A$166&gt;35,DO53+DN54-DW53,IF(A54&lt;'Données projet'!$A$166,$DL$205^A54,IF(A54='Données projet'!$A$166,'Données projet'!$B$166,DO53+DN54-DW53)))</f>
        <v>304.30000000000013</v>
      </c>
      <c r="DP54" s="18">
        <f>DO54*VLOOKUP('Données projet'!$B$14,Paramètres!$A$1:$I$89,3,0)*VLOOKUP('Données projet'!$B$14,Paramètres!$A$1:$I$89,5,0)</f>
        <v>181.9714000000001</v>
      </c>
      <c r="DQ54" s="14">
        <f t="shared" si="43"/>
        <v>45.760507906331149</v>
      </c>
      <c r="DR54" s="22">
        <f t="shared" si="16"/>
        <v>396.63307293686029</v>
      </c>
      <c r="DS54" s="62">
        <f t="shared" si="17"/>
        <v>689.9664062701936</v>
      </c>
      <c r="DT54" s="62">
        <f ca="1">AVERAGE(OFFSET($DS$3,0,0,'Données projet'!$E$14+1,1))-AVERAGE(OFFSET($H$3,0,0,'Données projet'!$E$14+1,1))</f>
        <v>282.98919020956595</v>
      </c>
      <c r="DU54" s="62">
        <f t="shared" si="44"/>
        <v>182.23565317232647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5.6543508844856113E-3</v>
      </c>
      <c r="ED54" s="24">
        <f t="shared" si="18"/>
        <v>5.6543508844856113E-3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9">
        <f t="shared" si="1"/>
        <v>360.95127911947662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14.344999999999999</v>
      </c>
      <c r="N55" s="14">
        <f>IF('Données projet'!$A$36&gt;35,N54+M55-V54,IF(A55&lt;'Données projet'!$A$36,$K$205^A55,IF(A55='Données projet'!$A$36,'Données projet'!$B$36,N54+M55-V54)))</f>
        <v>233.71500000000009</v>
      </c>
      <c r="O55" s="14">
        <f>N55*VLOOKUP('Données projet'!$B$9,Paramètres!$A$1:$I$89,3,0)*VLOOKUP('Données projet'!$B$9,Paramètres!$A$1:$I$89,5,0)</f>
        <v>109.37862000000004</v>
      </c>
      <c r="P55" s="14">
        <f t="shared" si="33"/>
        <v>29.184534364423758</v>
      </c>
      <c r="Q55" s="22">
        <f t="shared" si="53"/>
        <v>241.33082718470476</v>
      </c>
      <c r="R55" s="62">
        <f t="shared" si="0"/>
        <v>534.6641605180381</v>
      </c>
      <c r="S55" s="62">
        <f ca="1">AVERAGE(OFFSET($R$3,0,0,'Données projet'!$E$9+1,1))-AVERAGE(OFFSET($H$3,0,0,'Données projet'!$E$9+1,1))</f>
        <v>172.62653085905839</v>
      </c>
      <c r="T55" s="62">
        <f t="shared" si="34"/>
        <v>103.0747749312265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176.43600000000006</v>
      </c>
      <c r="AK55" s="14">
        <f t="shared" si="35"/>
        <v>44.528341291050616</v>
      </c>
      <c r="AL55" s="22">
        <f t="shared" si="4"/>
        <v>384.84622774857991</v>
      </c>
      <c r="AM55" s="62">
        <f t="shared" si="5"/>
        <v>678.17956108191322</v>
      </c>
      <c r="AN55" s="62">
        <f ca="1">AVERAGE(OFFSET($AM$3,0,0,'Données projet'!$E$10+1,1))-AVERAGE(OFFSET($H$3,0,0,'Données projet'!$E$10+1,1))</f>
        <v>289.36126704091066</v>
      </c>
      <c r="AO55" s="62">
        <f t="shared" si="36"/>
        <v>195.3674411454258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157.43520000000007</v>
      </c>
      <c r="BF55" s="14">
        <f t="shared" si="37"/>
        <v>40.263474653179919</v>
      </c>
      <c r="BG55" s="22">
        <f t="shared" si="7"/>
        <v>344.32519168762178</v>
      </c>
      <c r="BH55" s="62">
        <f t="shared" si="8"/>
        <v>637.65852502095504</v>
      </c>
      <c r="BI55" s="62">
        <f ca="1">AVERAGE(OFFSET($BH$3,0,0,'Données projet'!$E$11+1,1))-AVERAGE(OFFSET($H$3,0,0,'Données projet'!$E$11+1,1))</f>
        <v>250.17147737747007</v>
      </c>
      <c r="BJ55" s="62">
        <f t="shared" si="38"/>
        <v>172.25613380618552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174.00000000000006</v>
      </c>
      <c r="BZ55" s="14">
        <f>BY55*VLOOKUP('Données projet'!$B$12,Paramètres!$A$1:$I$89,3,0)*VLOOKUP('Données projet'!$B$12,Paramètres!$A$1:$I$89,5,0)</f>
        <v>187.29360000000005</v>
      </c>
      <c r="CA55" s="14">
        <f t="shared" si="39"/>
        <v>46.941107550760456</v>
      </c>
      <c r="CB55" s="22">
        <f t="shared" si="10"/>
        <v>407.9587823175745</v>
      </c>
      <c r="CC55" s="62">
        <f t="shared" si="11"/>
        <v>701.29211565090782</v>
      </c>
      <c r="CD55" s="62">
        <f ca="1">AVERAGE(OFFSET($CC$3,0,0,'Données projet'!$E$12+1,1))-AVERAGE(OFFSET($H$3,0,0,'Données projet'!$E$12+1,1))</f>
        <v>311.71521576048417</v>
      </c>
      <c r="CE55" s="62">
        <f t="shared" si="40"/>
        <v>208.54841796921403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17.625</v>
      </c>
      <c r="CT55" s="13">
        <f>IF('Données projet'!$A$140&gt;35,CT54+CS55-DB54,IF(A55&lt;'Données projet'!$A$140,$CQ$205^A55,IF(A55='Données projet'!$A$140,'Données projet'!$B$140,CT54+CS55-DB54)))</f>
        <v>322.25000000000006</v>
      </c>
      <c r="CU55" s="18">
        <f>CT55*VLOOKUP('Données projet'!$B$13,Paramètres!$A$1:$I$89,3,0)*VLOOKUP('Données projet'!$B$13,Paramètres!$A$1:$I$89,5,0)</f>
        <v>192.70550000000006</v>
      </c>
      <c r="CV55" s="14">
        <f t="shared" si="41"/>
        <v>48.137607387789963</v>
      </c>
      <c r="CW55" s="22">
        <f t="shared" si="13"/>
        <v>419.46841203373424</v>
      </c>
      <c r="CX55" s="62">
        <f t="shared" si="14"/>
        <v>712.8017453670675</v>
      </c>
      <c r="CY55" s="62">
        <f ca="1">AVERAGE(OFFSET($CX$3,0,0,'Données projet'!$E$13+1,1))-AVERAGE(OFFSET($H$3,0,0,'Données projet'!$E$13+1,1))</f>
        <v>280.47174439810988</v>
      </c>
      <c r="CZ55" s="62">
        <f t="shared" si="42"/>
        <v>231.19476400361157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1.3138059142989698</v>
      </c>
      <c r="DH55" s="23">
        <f>EXP(-LN(2)/2)*DH54+(1-EXP(-LN(2)/2))/(LN(2)/2)*DB55*DE55*VLOOKUP('Données projet'!$B$13,Paramètres!$A$1:$I$89,3,0)*0.475*44/12</f>
        <v>1.0316533540203803E-2</v>
      </c>
      <c r="DI55" s="24">
        <f t="shared" si="15"/>
        <v>1.3241224478391735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8.3000000000000007</v>
      </c>
      <c r="DO55" s="13">
        <f>IF('Données projet'!$A$166&gt;35,DO54+DN55-DW54,IF(A55&lt;'Données projet'!$A$166,$DL$205^A55,IF(A55='Données projet'!$A$166,'Données projet'!$B$166,DO54+DN55-DW54)))</f>
        <v>312.60000000000014</v>
      </c>
      <c r="DP55" s="18">
        <f>DO55*VLOOKUP('Données projet'!$B$14,Paramètres!$A$1:$I$89,3,0)*VLOOKUP('Données projet'!$B$14,Paramètres!$A$1:$I$89,5,0)</f>
        <v>186.93480000000011</v>
      </c>
      <c r="DQ55" s="14">
        <f t="shared" si="43"/>
        <v>46.861640519348171</v>
      </c>
      <c r="DR55" s="22">
        <f t="shared" si="16"/>
        <v>407.19546723786488</v>
      </c>
      <c r="DS55" s="62">
        <f t="shared" si="17"/>
        <v>700.52880057119819</v>
      </c>
      <c r="DT55" s="62">
        <f ca="1">AVERAGE(OFFSET($DS$3,0,0,'Données projet'!$E$14+1,1))-AVERAGE(OFFSET($H$3,0,0,'Données projet'!$E$14+1,1))</f>
        <v>282.98919020956595</v>
      </c>
      <c r="DU55" s="62">
        <f t="shared" si="44"/>
        <v>182.23565317232647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3.9982298536279286E-3</v>
      </c>
      <c r="ED55" s="24">
        <f t="shared" si="18"/>
        <v>3.9982298536279286E-3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9">
        <f t="shared" si="1"/>
        <v>362.90313432124293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>
        <f>VLOOKUP(A56,'Données projet'!$A$35:$I$55,2,0)</f>
        <v>248.06</v>
      </c>
      <c r="L56" s="13">
        <f>VLOOKUP(A56,'Données projet'!$A$35:$I$55,9,0)</f>
        <v>14.344999999999999</v>
      </c>
      <c r="M56" s="13">
        <f t="array" ref="M56">INDEX(L:L,MIN(IF(ISNUMBER(L56:L252),ROW(L56:L252),"")))</f>
        <v>14.344999999999999</v>
      </c>
      <c r="N56" s="14">
        <f>IF('Données projet'!$A$36&gt;35,N55+M56-V55,IF(A56&lt;'Données projet'!$A$36,$K$205^A56,IF(A56='Données projet'!$A$36,'Données projet'!$B$36,N55+M56-V55)))</f>
        <v>248.06000000000009</v>
      </c>
      <c r="O56" s="14">
        <f>N56*VLOOKUP('Données projet'!$B$9,Paramètres!$A$1:$I$89,3,0)*VLOOKUP('Données projet'!$B$9,Paramètres!$A$1:$I$89,5,0)</f>
        <v>116.09208000000004</v>
      </c>
      <c r="P56" s="14">
        <f t="shared" si="33"/>
        <v>30.761792301334708</v>
      </c>
      <c r="Q56" s="22">
        <f t="shared" si="53"/>
        <v>255.77049425815801</v>
      </c>
      <c r="R56" s="62">
        <f t="shared" si="0"/>
        <v>549.10382759149138</v>
      </c>
      <c r="S56" s="62">
        <f ca="1">AVERAGE(OFFSET($R$3,0,0,'Données projet'!$E$9+1,1))-AVERAGE(OFFSET($H$3,0,0,'Données projet'!$E$9+1,1))</f>
        <v>172.62653085905839</v>
      </c>
      <c r="T56" s="62">
        <f t="shared" si="34"/>
        <v>103.0747749312265</v>
      </c>
      <c r="U56" s="16">
        <f>IF(ISNA(VLOOKUP(A56,'Données projet'!$A$35:$I$55,3,0)),0,VLOOKUP(A56,'Données projet'!$A$35:$I$55,3,0))</f>
        <v>4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184.54800000000006</v>
      </c>
      <c r="AK56" s="14">
        <f t="shared" si="35"/>
        <v>46.332558240871698</v>
      </c>
      <c r="AL56" s="22">
        <f t="shared" si="4"/>
        <v>402.11697226951833</v>
      </c>
      <c r="AM56" s="62">
        <f t="shared" si="5"/>
        <v>695.45030560285159</v>
      </c>
      <c r="AN56" s="62">
        <f ca="1">AVERAGE(OFFSET($AM$3,0,0,'Données projet'!$E$10+1,1))-AVERAGE(OFFSET($H$3,0,0,'Données projet'!$E$10+1,1))</f>
        <v>289.36126704091066</v>
      </c>
      <c r="AO56" s="62">
        <f t="shared" si="36"/>
        <v>195.3674411454258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164.67360000000005</v>
      </c>
      <c r="BF56" s="14">
        <f t="shared" si="37"/>
        <v>41.894886049197019</v>
      </c>
      <c r="BG56" s="22">
        <f t="shared" si="7"/>
        <v>359.77344653568485</v>
      </c>
      <c r="BH56" s="62">
        <f t="shared" si="8"/>
        <v>653.10677986901817</v>
      </c>
      <c r="BI56" s="62">
        <f ca="1">AVERAGE(OFFSET($BH$3,0,0,'Données projet'!$E$11+1,1))-AVERAGE(OFFSET($H$3,0,0,'Données projet'!$E$11+1,1))</f>
        <v>250.17147737747007</v>
      </c>
      <c r="BJ56" s="62">
        <f t="shared" si="38"/>
        <v>172.25613380618552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182.00000000000006</v>
      </c>
      <c r="BZ56" s="14">
        <f>BY56*VLOOKUP('Données projet'!$B$12,Paramètres!$A$1:$I$89,3,0)*VLOOKUP('Données projet'!$B$12,Paramètres!$A$1:$I$89,5,0)</f>
        <v>195.90480000000005</v>
      </c>
      <c r="CA56" s="14">
        <f t="shared" si="39"/>
        <v>48.843085918490004</v>
      </c>
      <c r="CB56" s="22">
        <f t="shared" si="10"/>
        <v>426.26923464137013</v>
      </c>
      <c r="CC56" s="62">
        <f t="shared" si="11"/>
        <v>719.60256797470345</v>
      </c>
      <c r="CD56" s="62">
        <f ca="1">AVERAGE(OFFSET($CC$3,0,0,'Données projet'!$E$12+1,1))-AVERAGE(OFFSET($H$3,0,0,'Données projet'!$E$12+1,1))</f>
        <v>311.71521576048417</v>
      </c>
      <c r="CE56" s="62">
        <f t="shared" si="40"/>
        <v>208.54841796921403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17.625</v>
      </c>
      <c r="CT56" s="13">
        <f>IF('Données projet'!$A$140&gt;35,CT55+CS56-DB55,IF(A56&lt;'Données projet'!$A$140,$CQ$205^A56,IF(A56='Données projet'!$A$140,'Données projet'!$B$140,CT55+CS56-DB55)))</f>
        <v>339.87500000000006</v>
      </c>
      <c r="CU56" s="18">
        <f>CT56*VLOOKUP('Données projet'!$B$13,Paramètres!$A$1:$I$89,3,0)*VLOOKUP('Données projet'!$B$13,Paramètres!$A$1:$I$89,5,0)</f>
        <v>203.24525000000006</v>
      </c>
      <c r="CV56" s="14">
        <f t="shared" si="41"/>
        <v>50.45670595349123</v>
      </c>
      <c r="CW56" s="22">
        <f t="shared" si="13"/>
        <v>441.86423995233059</v>
      </c>
      <c r="CX56" s="62">
        <f t="shared" si="14"/>
        <v>735.19757328566391</v>
      </c>
      <c r="CY56" s="62">
        <f ca="1">AVERAGE(OFFSET($CX$3,0,0,'Données projet'!$E$13+1,1))-AVERAGE(OFFSET($H$3,0,0,'Données projet'!$E$13+1,1))</f>
        <v>280.47174439810988</v>
      </c>
      <c r="CZ56" s="62">
        <f t="shared" si="42"/>
        <v>231.19476400361157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1.2778798224824142</v>
      </c>
      <c r="DH56" s="23">
        <f>EXP(-LN(2)/2)*DH55+(1-EXP(-LN(2)/2))/(LN(2)/2)*DB56*DE56*VLOOKUP('Données projet'!$B$13,Paramètres!$A$1:$I$89,3,0)*0.475*44/12</f>
        <v>7.2948908246165695E-3</v>
      </c>
      <c r="DI56" s="24">
        <f t="shared" si="15"/>
        <v>1.2851747133070308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8.3000000000000007</v>
      </c>
      <c r="DO56" s="13">
        <f>IF('Données projet'!$A$166&gt;35,DO55+DN56-DW55,IF(A56&lt;'Données projet'!$A$166,$DL$205^A56,IF(A56='Données projet'!$A$166,'Données projet'!$B$166,DO55+DN56-DW55)))</f>
        <v>320.90000000000015</v>
      </c>
      <c r="DP56" s="18">
        <f>DO56*VLOOKUP('Données projet'!$B$14,Paramètres!$A$1:$I$89,3,0)*VLOOKUP('Données projet'!$B$14,Paramètres!$A$1:$I$89,5,0)</f>
        <v>191.89820000000009</v>
      </c>
      <c r="DQ56" s="14">
        <f t="shared" si="43"/>
        <v>47.95937480892843</v>
      </c>
      <c r="DR56" s="22">
        <f t="shared" si="16"/>
        <v>417.75194279221722</v>
      </c>
      <c r="DS56" s="62">
        <f t="shared" si="17"/>
        <v>711.08527612555054</v>
      </c>
      <c r="DT56" s="62">
        <f ca="1">AVERAGE(OFFSET($DS$3,0,0,'Données projet'!$E$14+1,1))-AVERAGE(OFFSET($H$3,0,0,'Données projet'!$E$14+1,1))</f>
        <v>282.98919020956595</v>
      </c>
      <c r="DU56" s="62">
        <f t="shared" si="44"/>
        <v>182.23565317232647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2.8271754422428057E-3</v>
      </c>
      <c r="ED56" s="24">
        <f t="shared" si="18"/>
        <v>2.8271754422428057E-3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9">
        <f t="shared" si="1"/>
        <v>364.85410499706774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12.518749999999997</v>
      </c>
      <c r="N57" s="14">
        <f>IF('Données projet'!$A$36&gt;35,N56+M57-V56,IF(A57&lt;'Données projet'!$A$36,$K$205^A57,IF(A57='Données projet'!$A$36,'Données projet'!$B$36,N56+M57-V56)))</f>
        <v>260.57875000000007</v>
      </c>
      <c r="O57" s="14">
        <f>N57*VLOOKUP('Données projet'!$B$9,Paramètres!$A$1:$I$89,3,0)*VLOOKUP('Données projet'!$B$9,Paramètres!$A$1:$I$89,5,0)</f>
        <v>121.95085500000003</v>
      </c>
      <c r="P57" s="14">
        <f t="shared" si="33"/>
        <v>32.129576258967205</v>
      </c>
      <c r="Q57" s="22">
        <f t="shared" si="53"/>
        <v>268.35675110936791</v>
      </c>
      <c r="R57" s="62">
        <f t="shared" si="0"/>
        <v>561.69008444270116</v>
      </c>
      <c r="S57" s="62">
        <f ca="1">AVERAGE(OFFSET($R$3,0,0,'Données projet'!$E$9+1,1))-AVERAGE(OFFSET($H$3,0,0,'Données projet'!$E$9+1,1))</f>
        <v>172.62653085905839</v>
      </c>
      <c r="T57" s="62">
        <f t="shared" si="34"/>
        <v>103.0747749312265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192.66000000000008</v>
      </c>
      <c r="AK57" s="14">
        <f t="shared" si="35"/>
        <v>48.127564387788738</v>
      </c>
      <c r="AL57" s="22">
        <f t="shared" si="4"/>
        <v>419.3716746420655</v>
      </c>
      <c r="AM57" s="62">
        <f t="shared" si="5"/>
        <v>712.70500797539876</v>
      </c>
      <c r="AN57" s="62">
        <f ca="1">AVERAGE(OFFSET($AM$3,0,0,'Données projet'!$E$10+1,1))-AVERAGE(OFFSET($H$3,0,0,'Données projet'!$E$10+1,1))</f>
        <v>289.36126704091066</v>
      </c>
      <c r="AO57" s="62">
        <f t="shared" si="36"/>
        <v>195.3674411454258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171.91200000000006</v>
      </c>
      <c r="BF57" s="14">
        <f t="shared" si="37"/>
        <v>43.51796884103733</v>
      </c>
      <c r="BG57" s="22">
        <f t="shared" si="7"/>
        <v>375.2071957314734</v>
      </c>
      <c r="BH57" s="62">
        <f t="shared" si="8"/>
        <v>668.54052906480672</v>
      </c>
      <c r="BI57" s="62">
        <f ca="1">AVERAGE(OFFSET($BH$3,0,0,'Données projet'!$E$11+1,1))-AVERAGE(OFFSET($H$3,0,0,'Données projet'!$E$11+1,1))</f>
        <v>250.17147737747007</v>
      </c>
      <c r="BJ57" s="62">
        <f t="shared" si="38"/>
        <v>172.25613380618552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190.00000000000006</v>
      </c>
      <c r="BZ57" s="14">
        <f>BY57*VLOOKUP('Données projet'!$B$12,Paramètres!$A$1:$I$89,3,0)*VLOOKUP('Données projet'!$B$12,Paramètres!$A$1:$I$89,5,0)</f>
        <v>204.51600000000005</v>
      </c>
      <c r="CA57" s="14">
        <f t="shared" si="39"/>
        <v>50.735354396355888</v>
      </c>
      <c r="CB57" s="22">
        <f t="shared" si="10"/>
        <v>444.5627755736532</v>
      </c>
      <c r="CC57" s="62">
        <f t="shared" si="11"/>
        <v>737.89610890698646</v>
      </c>
      <c r="CD57" s="62">
        <f ca="1">AVERAGE(OFFSET($CC$3,0,0,'Données projet'!$E$12+1,1))-AVERAGE(OFFSET($H$3,0,0,'Données projet'!$E$12+1,1))</f>
        <v>311.71521576048417</v>
      </c>
      <c r="CE57" s="62">
        <f t="shared" si="40"/>
        <v>208.54841796921403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17.625</v>
      </c>
      <c r="CT57" s="13">
        <f>IF('Données projet'!$A$140&gt;35,CT56+CS57-DB56,IF(A57&lt;'Données projet'!$A$140,$CQ$205^A57,IF(A57='Données projet'!$A$140,'Données projet'!$B$140,CT56+CS57-DB56)))</f>
        <v>357.50000000000006</v>
      </c>
      <c r="CU57" s="18">
        <f>CT57*VLOOKUP('Données projet'!$B$13,Paramètres!$A$1:$I$89,3,0)*VLOOKUP('Données projet'!$B$13,Paramètres!$A$1:$I$89,5,0)</f>
        <v>213.78500000000005</v>
      </c>
      <c r="CV57" s="14">
        <f t="shared" si="41"/>
        <v>52.761841557402377</v>
      </c>
      <c r="CW57" s="22">
        <f t="shared" si="13"/>
        <v>464.2357490458092</v>
      </c>
      <c r="CX57" s="62">
        <f t="shared" si="14"/>
        <v>757.56908237914251</v>
      </c>
      <c r="CY57" s="62">
        <f ca="1">AVERAGE(OFFSET($CX$3,0,0,'Données projet'!$E$13+1,1))-AVERAGE(OFFSET($H$3,0,0,'Données projet'!$E$13+1,1))</f>
        <v>280.47174439810988</v>
      </c>
      <c r="CZ57" s="62">
        <f t="shared" si="42"/>
        <v>231.19476400361157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1.2429361315358534</v>
      </c>
      <c r="DH57" s="23">
        <f>EXP(-LN(2)/2)*DH56+(1-EXP(-LN(2)/2))/(LN(2)/2)*DB57*DE57*VLOOKUP('Données projet'!$B$13,Paramètres!$A$1:$I$89,3,0)*0.475*44/12</f>
        <v>5.1582667701019023E-3</v>
      </c>
      <c r="DI57" s="24">
        <f t="shared" si="15"/>
        <v>1.2480943983059554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8.3000000000000007</v>
      </c>
      <c r="DO57" s="13">
        <f>IF('Données projet'!$A$166&gt;35,DO56+DN57-DW56,IF(A57&lt;'Données projet'!$A$166,$DL$205^A57,IF(A57='Données projet'!$A$166,'Données projet'!$B$166,DO56+DN57-DW56)))</f>
        <v>329.20000000000016</v>
      </c>
      <c r="DP57" s="18">
        <f>DO57*VLOOKUP('Données projet'!$B$14,Paramètres!$A$1:$I$89,3,0)*VLOOKUP('Données projet'!$B$14,Paramètres!$A$1:$I$89,5,0)</f>
        <v>196.8616000000001</v>
      </c>
      <c r="DQ57" s="14">
        <f t="shared" si="43"/>
        <v>49.053808777612403</v>
      </c>
      <c r="DR57" s="22">
        <f t="shared" si="16"/>
        <v>428.30267028767508</v>
      </c>
      <c r="DS57" s="62">
        <f t="shared" si="17"/>
        <v>721.6360036210084</v>
      </c>
      <c r="DT57" s="62">
        <f ca="1">AVERAGE(OFFSET($DS$3,0,0,'Données projet'!$E$14+1,1))-AVERAGE(OFFSET($H$3,0,0,'Données projet'!$E$14+1,1))</f>
        <v>282.98919020956595</v>
      </c>
      <c r="DU57" s="62">
        <f t="shared" si="44"/>
        <v>182.23565317232647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1.9991149268139643E-3</v>
      </c>
      <c r="ED57" s="24">
        <f t="shared" si="18"/>
        <v>1.9991149268139643E-3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9">
        <f t="shared" si="1"/>
        <v>366.80420941611692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12.518749999999997</v>
      </c>
      <c r="N58" s="14">
        <f>IF('Données projet'!$A$36&gt;35,N57+M58-V57,IF(A58&lt;'Données projet'!$A$36,$K$205^A58,IF(A58='Données projet'!$A$36,'Données projet'!$B$36,N57+M58-V57)))</f>
        <v>273.09750000000008</v>
      </c>
      <c r="O58" s="14">
        <f>N58*VLOOKUP('Données projet'!$B$9,Paramètres!$A$1:$I$89,3,0)*VLOOKUP('Données projet'!$B$9,Paramètres!$A$1:$I$89,5,0)</f>
        <v>127.80963000000004</v>
      </c>
      <c r="P58" s="14">
        <f t="shared" si="33"/>
        <v>33.489729678969752</v>
      </c>
      <c r="Q58" s="22">
        <f t="shared" si="53"/>
        <v>280.92971810753903</v>
      </c>
      <c r="R58" s="62">
        <f t="shared" si="0"/>
        <v>574.26305144087235</v>
      </c>
      <c r="S58" s="62">
        <f ca="1">AVERAGE(OFFSET($R$3,0,0,'Données projet'!$E$9+1,1))-AVERAGE(OFFSET($H$3,0,0,'Données projet'!$E$9+1,1))</f>
        <v>172.62653085905839</v>
      </c>
      <c r="T58" s="62">
        <f t="shared" si="34"/>
        <v>103.0747749312265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200.77200000000008</v>
      </c>
      <c r="AK58" s="14">
        <f t="shared" si="35"/>
        <v>49.913791898945412</v>
      </c>
      <c r="AL58" s="22">
        <f t="shared" si="4"/>
        <v>436.61108755732999</v>
      </c>
      <c r="AM58" s="62">
        <f t="shared" si="5"/>
        <v>729.94442089066331</v>
      </c>
      <c r="AN58" s="62">
        <f ca="1">AVERAGE(OFFSET($AM$3,0,0,'Données projet'!$E$10+1,1))-AVERAGE(OFFSET($H$3,0,0,'Données projet'!$E$10+1,1))</f>
        <v>289.36126704091066</v>
      </c>
      <c r="AO58" s="62">
        <f t="shared" si="36"/>
        <v>195.3674411454258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179.15040000000005</v>
      </c>
      <c r="BF58" s="14">
        <f t="shared" si="37"/>
        <v>45.133113803437347</v>
      </c>
      <c r="BG58" s="22">
        <f t="shared" si="7"/>
        <v>390.62711987432004</v>
      </c>
      <c r="BH58" s="62">
        <f t="shared" si="8"/>
        <v>683.96045320765336</v>
      </c>
      <c r="BI58" s="62">
        <f ca="1">AVERAGE(OFFSET($BH$3,0,0,'Données projet'!$E$11+1,1))-AVERAGE(OFFSET($H$3,0,0,'Données projet'!$E$11+1,1))</f>
        <v>250.17147737747007</v>
      </c>
      <c r="BJ58" s="62">
        <f t="shared" si="38"/>
        <v>172.25613380618552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198.00000000000006</v>
      </c>
      <c r="BZ58" s="14">
        <f>BY58*VLOOKUP('Données projet'!$B$12,Paramètres!$A$1:$I$89,3,0)*VLOOKUP('Données projet'!$B$12,Paramètres!$A$1:$I$89,5,0)</f>
        <v>213.12720000000004</v>
      </c>
      <c r="CA58" s="14">
        <f t="shared" si="39"/>
        <v>52.618368568459893</v>
      </c>
      <c r="CB58" s="22">
        <f t="shared" si="10"/>
        <v>462.8401985900677</v>
      </c>
      <c r="CC58" s="62">
        <f t="shared" si="11"/>
        <v>756.17353192340101</v>
      </c>
      <c r="CD58" s="62">
        <f ca="1">AVERAGE(OFFSET($CC$3,0,0,'Données projet'!$E$12+1,1))-AVERAGE(OFFSET($H$3,0,0,'Données projet'!$E$12+1,1))</f>
        <v>311.71521576048417</v>
      </c>
      <c r="CE58" s="62">
        <f t="shared" si="40"/>
        <v>208.54841796921403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17.625</v>
      </c>
      <c r="CT58" s="13">
        <f>IF('Données projet'!$A$140&gt;35,CT57+CS58-DB57,IF(A58&lt;'Données projet'!$A$140,$CQ$205^A58,IF(A58='Données projet'!$A$140,'Données projet'!$B$140,CT57+CS58-DB57)))</f>
        <v>375.12500000000006</v>
      </c>
      <c r="CU58" s="18">
        <f>CT58*VLOOKUP('Données projet'!$B$13,Paramètres!$A$1:$I$89,3,0)*VLOOKUP('Données projet'!$B$13,Paramètres!$A$1:$I$89,5,0)</f>
        <v>224.32475000000005</v>
      </c>
      <c r="CV58" s="14">
        <f t="shared" si="41"/>
        <v>55.053781146410472</v>
      </c>
      <c r="CW58" s="22">
        <f t="shared" si="13"/>
        <v>486.58427507999835</v>
      </c>
      <c r="CX58" s="62">
        <f t="shared" si="14"/>
        <v>779.91760841333166</v>
      </c>
      <c r="CY58" s="62">
        <f ca="1">AVERAGE(OFFSET($CX$3,0,0,'Données projet'!$E$13+1,1))-AVERAGE(OFFSET($H$3,0,0,'Données projet'!$E$13+1,1))</f>
        <v>280.47174439810988</v>
      </c>
      <c r="CZ58" s="62">
        <f t="shared" si="42"/>
        <v>231.19476400361157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1.2089479776558352</v>
      </c>
      <c r="DH58" s="23">
        <f>EXP(-LN(2)/2)*DH57+(1-EXP(-LN(2)/2))/(LN(2)/2)*DB58*DE58*VLOOKUP('Données projet'!$B$13,Paramètres!$A$1:$I$89,3,0)*0.475*44/12</f>
        <v>3.6474454123082852E-3</v>
      </c>
      <c r="DI58" s="24">
        <f t="shared" si="15"/>
        <v>1.2125954230681435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8.3000000000000007</v>
      </c>
      <c r="DO58" s="13">
        <f>IF('Données projet'!$A$166&gt;35,DO57+DN58-DW57,IF(A58&lt;'Données projet'!$A$166,$DL$205^A58,IF(A58='Données projet'!$A$166,'Données projet'!$B$166,DO57+DN58-DW57)))</f>
        <v>337.50000000000017</v>
      </c>
      <c r="DP58" s="18">
        <f>DO58*VLOOKUP('Données projet'!$B$14,Paramètres!$A$1:$I$89,3,0)*VLOOKUP('Données projet'!$B$14,Paramètres!$A$1:$I$89,5,0)</f>
        <v>201.82500000000013</v>
      </c>
      <c r="DQ58" s="14">
        <f t="shared" si="43"/>
        <v>50.145035204519765</v>
      </c>
      <c r="DR58" s="22">
        <f t="shared" si="16"/>
        <v>438.84781131453877</v>
      </c>
      <c r="DS58" s="62">
        <f t="shared" si="17"/>
        <v>732.18114464787209</v>
      </c>
      <c r="DT58" s="62">
        <f ca="1">AVERAGE(OFFSET($DS$3,0,0,'Données projet'!$E$14+1,1))-AVERAGE(OFFSET($H$3,0,0,'Données projet'!$E$14+1,1))</f>
        <v>282.98919020956595</v>
      </c>
      <c r="DU58" s="62">
        <f t="shared" si="44"/>
        <v>182.23565317232647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1.4135877211214028E-3</v>
      </c>
      <c r="ED58" s="24">
        <f t="shared" si="18"/>
        <v>1.4135877211214028E-3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9">
        <f t="shared" si="1"/>
        <v>368.75346514518651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12.518749999999997</v>
      </c>
      <c r="N59" s="14">
        <f>IF('Données projet'!$A$36&gt;35,N58+M59-V58,IF(A59&lt;'Données projet'!$A$36,$K$205^A59,IF(A59='Données projet'!$A$36,'Données projet'!$B$36,N58+M59-V58)))</f>
        <v>285.61625000000009</v>
      </c>
      <c r="O59" s="14">
        <f>N59*VLOOKUP('Données projet'!$B$9,Paramètres!$A$1:$I$89,3,0)*VLOOKUP('Données projet'!$B$9,Paramètres!$A$1:$I$89,5,0)</f>
        <v>133.66840500000004</v>
      </c>
      <c r="P59" s="14">
        <f t="shared" si="33"/>
        <v>34.842642297815864</v>
      </c>
      <c r="Q59" s="22">
        <f t="shared" si="53"/>
        <v>293.49007404369604</v>
      </c>
      <c r="R59" s="62">
        <f t="shared" si="0"/>
        <v>586.8234073770293</v>
      </c>
      <c r="S59" s="62">
        <f ca="1">AVERAGE(OFFSET($R$3,0,0,'Données projet'!$E$9+1,1))-AVERAGE(OFFSET($H$3,0,0,'Données projet'!$E$9+1,1))</f>
        <v>172.62653085905839</v>
      </c>
      <c r="T59" s="62">
        <f t="shared" si="34"/>
        <v>103.0747749312265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186.98160000000007</v>
      </c>
      <c r="AK59" s="14">
        <f t="shared" si="35"/>
        <v>46.872006790472248</v>
      </c>
      <c r="AL59" s="22">
        <f t="shared" si="4"/>
        <v>407.29503182673926</v>
      </c>
      <c r="AM59" s="62">
        <f t="shared" si="5"/>
        <v>700.62836516007258</v>
      </c>
      <c r="AN59" s="62">
        <f ca="1">AVERAGE(OFFSET($AM$3,0,0,'Données projet'!$E$10+1,1))-AVERAGE(OFFSET($H$3,0,0,'Données projet'!$E$10+1,1))</f>
        <v>289.36126704091066</v>
      </c>
      <c r="AO59" s="62">
        <f t="shared" si="36"/>
        <v>195.3674411454258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166.84512000000004</v>
      </c>
      <c r="BF59" s="14">
        <f t="shared" si="37"/>
        <v>42.382666918050084</v>
      </c>
      <c r="BG59" s="22">
        <f t="shared" si="7"/>
        <v>364.40506221560395</v>
      </c>
      <c r="BH59" s="62">
        <f t="shared" si="8"/>
        <v>657.73839554893721</v>
      </c>
      <c r="BI59" s="62">
        <f ca="1">AVERAGE(OFFSET($BH$3,0,0,'Données projet'!$E$11+1,1))-AVERAGE(OFFSET($H$3,0,0,'Données projet'!$E$11+1,1))</f>
        <v>250.17147737747007</v>
      </c>
      <c r="BJ59" s="62">
        <f t="shared" si="38"/>
        <v>172.25613380618552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184.40000000000006</v>
      </c>
      <c r="BZ59" s="14">
        <f>BY59*VLOOKUP('Données projet'!$B$12,Paramètres!$A$1:$I$89,3,0)*VLOOKUP('Données projet'!$B$12,Paramètres!$A$1:$I$89,5,0)</f>
        <v>198.48816000000005</v>
      </c>
      <c r="CA59" s="14">
        <f t="shared" si="39"/>
        <v>49.411764464573423</v>
      </c>
      <c r="CB59" s="22">
        <f t="shared" si="10"/>
        <v>431.75903510913213</v>
      </c>
      <c r="CC59" s="62">
        <f t="shared" si="11"/>
        <v>725.09236844246539</v>
      </c>
      <c r="CD59" s="62">
        <f ca="1">AVERAGE(OFFSET($CC$3,0,0,'Données projet'!$E$12+1,1))-AVERAGE(OFFSET($H$3,0,0,'Données projet'!$E$12+1,1))</f>
        <v>311.71521576048417</v>
      </c>
      <c r="CE59" s="62">
        <f t="shared" si="40"/>
        <v>208.54841796921403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17.625</v>
      </c>
      <c r="CT59" s="13">
        <f>IF('Données projet'!$A$140&gt;35,CT58+CS59-DB58,IF(A59&lt;'Données projet'!$A$140,$CQ$205^A59,IF(A59='Données projet'!$A$140,'Données projet'!$B$140,CT58+CS59-DB58)))</f>
        <v>392.75000000000006</v>
      </c>
      <c r="CU59" s="18">
        <f>CT59*VLOOKUP('Données projet'!$B$13,Paramètres!$A$1:$I$89,3,0)*VLOOKUP('Données projet'!$B$13,Paramètres!$A$1:$I$89,5,0)</f>
        <v>234.86450000000002</v>
      </c>
      <c r="CV59" s="14">
        <f t="shared" si="41"/>
        <v>57.33321552572081</v>
      </c>
      <c r="CW59" s="22">
        <f t="shared" si="13"/>
        <v>508.9110212072971</v>
      </c>
      <c r="CX59" s="62">
        <f t="shared" si="14"/>
        <v>802.24435454063041</v>
      </c>
      <c r="CY59" s="62">
        <f ca="1">AVERAGE(OFFSET($CX$3,0,0,'Données projet'!$E$13+1,1))-AVERAGE(OFFSET($H$3,0,0,'Données projet'!$E$13+1,1))</f>
        <v>280.47174439810988</v>
      </c>
      <c r="CZ59" s="62">
        <f t="shared" si="42"/>
        <v>231.19476400361157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1.1758892316310252</v>
      </c>
      <c r="DH59" s="23">
        <f>EXP(-LN(2)/2)*DH58+(1-EXP(-LN(2)/2))/(LN(2)/2)*DB59*DE59*VLOOKUP('Données projet'!$B$13,Paramètres!$A$1:$I$89,3,0)*0.475*44/12</f>
        <v>2.5791333850509516E-3</v>
      </c>
      <c r="DI59" s="24">
        <f t="shared" si="15"/>
        <v>1.1784683650160761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8.3000000000000007</v>
      </c>
      <c r="DO59" s="13">
        <f>IF('Données projet'!$A$166&gt;35,DO58+DN59-DW58,IF(A59&lt;'Données projet'!$A$166,$DL$205^A59,IF(A59='Données projet'!$A$166,'Données projet'!$B$166,DO58+DN59-DW58)))</f>
        <v>345.80000000000018</v>
      </c>
      <c r="DP59" s="18">
        <f>DO59*VLOOKUP('Données projet'!$B$14,Paramètres!$A$1:$I$89,3,0)*VLOOKUP('Données projet'!$B$14,Paramètres!$A$1:$I$89,5,0)</f>
        <v>206.78840000000014</v>
      </c>
      <c r="DQ59" s="14">
        <f t="shared" si="43"/>
        <v>51.233142045264508</v>
      </c>
      <c r="DR59" s="22">
        <f t="shared" si="16"/>
        <v>449.38751906216925</v>
      </c>
      <c r="DS59" s="62">
        <f t="shared" si="17"/>
        <v>742.72085239550256</v>
      </c>
      <c r="DT59" s="62">
        <f ca="1">AVERAGE(OFFSET($DS$3,0,0,'Données projet'!$E$14+1,1))-AVERAGE(OFFSET($H$3,0,0,'Données projet'!$E$14+1,1))</f>
        <v>282.98919020956595</v>
      </c>
      <c r="DU59" s="62">
        <f t="shared" si="44"/>
        <v>182.23565317232647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9.9955746340698215E-4</v>
      </c>
      <c r="ED59" s="24">
        <f t="shared" si="18"/>
        <v>9.9955746340698215E-4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9">
        <f t="shared" si="1"/>
        <v>370.70188908775697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12.518749999999997</v>
      </c>
      <c r="N60" s="14">
        <f>IF('Données projet'!$A$36&gt;35,N59+M60-V59,IF(A60&lt;'Données projet'!$A$36,$K$205^A60,IF(A60='Données projet'!$A$36,'Données projet'!$B$36,N59+M60-V59)))</f>
        <v>298.1350000000001</v>
      </c>
      <c r="O60" s="14">
        <f>N60*VLOOKUP('Données projet'!$B$9,Paramètres!$A$1:$I$89,3,0)*VLOOKUP('Données projet'!$B$9,Paramètres!$A$1:$I$89,5,0)</f>
        <v>139.52718000000004</v>
      </c>
      <c r="P60" s="14">
        <f t="shared" si="33"/>
        <v>36.188667755296422</v>
      </c>
      <c r="Q60" s="22">
        <f t="shared" si="53"/>
        <v>306.03843484047462</v>
      </c>
      <c r="R60" s="62">
        <f t="shared" si="0"/>
        <v>599.37176817380794</v>
      </c>
      <c r="S60" s="62">
        <f ca="1">AVERAGE(OFFSET($R$3,0,0,'Données projet'!$E$9+1,1))-AVERAGE(OFFSET($H$3,0,0,'Données projet'!$E$9+1,1))</f>
        <v>172.62653085905839</v>
      </c>
      <c r="T60" s="62">
        <f t="shared" si="34"/>
        <v>103.0747749312265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194.48520000000008</v>
      </c>
      <c r="AK60" s="14">
        <f t="shared" si="35"/>
        <v>48.530216343846071</v>
      </c>
      <c r="AL60" s="22">
        <f t="shared" si="4"/>
        <v>423.25185013219863</v>
      </c>
      <c r="AM60" s="62">
        <f t="shared" si="5"/>
        <v>716.58518346553194</v>
      </c>
      <c r="AN60" s="62">
        <f ca="1">AVERAGE(OFFSET($AM$3,0,0,'Données projet'!$E$10+1,1))-AVERAGE(OFFSET($H$3,0,0,'Données projet'!$E$10+1,1))</f>
        <v>289.36126704091066</v>
      </c>
      <c r="AO60" s="62">
        <f t="shared" si="36"/>
        <v>195.3674411454258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173.54064000000005</v>
      </c>
      <c r="BF60" s="14">
        <f t="shared" si="37"/>
        <v>43.882055316228445</v>
      </c>
      <c r="BG60" s="22">
        <f t="shared" si="7"/>
        <v>378.67786100909797</v>
      </c>
      <c r="BH60" s="62">
        <f t="shared" si="8"/>
        <v>672.01119434243128</v>
      </c>
      <c r="BI60" s="62">
        <f ca="1">AVERAGE(OFFSET($BH$3,0,0,'Données projet'!$E$11+1,1))-AVERAGE(OFFSET($H$3,0,0,'Données projet'!$E$11+1,1))</f>
        <v>250.17147737747007</v>
      </c>
      <c r="BJ60" s="62">
        <f t="shared" si="38"/>
        <v>172.25613380618552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191.80000000000007</v>
      </c>
      <c r="BZ60" s="14">
        <f>BY60*VLOOKUP('Données projet'!$B$12,Paramètres!$A$1:$I$89,3,0)*VLOOKUP('Données projet'!$B$12,Paramètres!$A$1:$I$89,5,0)</f>
        <v>206.45352000000008</v>
      </c>
      <c r="CA60" s="14">
        <f t="shared" si="39"/>
        <v>51.159824031352372</v>
      </c>
      <c r="CB60" s="22">
        <f t="shared" si="10"/>
        <v>448.6765741879388</v>
      </c>
      <c r="CC60" s="62">
        <f t="shared" si="11"/>
        <v>742.00990752127211</v>
      </c>
      <c r="CD60" s="62">
        <f ca="1">AVERAGE(OFFSET($CC$3,0,0,'Données projet'!$E$12+1,1))-AVERAGE(OFFSET($H$3,0,0,'Données projet'!$E$12+1,1))</f>
        <v>311.71521576048417</v>
      </c>
      <c r="CE60" s="62">
        <f t="shared" si="40"/>
        <v>208.54841796921403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17.625</v>
      </c>
      <c r="CT60" s="13">
        <f>IF('Données projet'!$A$140&gt;35,CT59+CS60-DB59,IF(A60&lt;'Données projet'!$A$140,$CQ$205^A60,IF(A60='Données projet'!$A$140,'Données projet'!$B$140,CT59+CS60-DB59)))</f>
        <v>410.37500000000006</v>
      </c>
      <c r="CU60" s="18">
        <f>CT60*VLOOKUP('Données projet'!$B$13,Paramètres!$A$1:$I$89,3,0)*VLOOKUP('Données projet'!$B$13,Paramètres!$A$1:$I$89,5,0)</f>
        <v>245.40425000000005</v>
      </c>
      <c r="CV60" s="14">
        <f t="shared" si="41"/>
        <v>59.60076999447687</v>
      </c>
      <c r="CW60" s="22">
        <f t="shared" si="13"/>
        <v>531.21707649038069</v>
      </c>
      <c r="CX60" s="62">
        <f t="shared" si="14"/>
        <v>824.55040982371406</v>
      </c>
      <c r="CY60" s="62">
        <f ca="1">AVERAGE(OFFSET($CX$3,0,0,'Données projet'!$E$13+1,1))-AVERAGE(OFFSET($H$3,0,0,'Données projet'!$E$13+1,1))</f>
        <v>280.47174439810988</v>
      </c>
      <c r="CZ60" s="62">
        <f t="shared" si="42"/>
        <v>231.19476400361157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1.1437344787547477</v>
      </c>
      <c r="DH60" s="23">
        <f>EXP(-LN(2)/2)*DH59+(1-EXP(-LN(2)/2))/(LN(2)/2)*DB60*DE60*VLOOKUP('Données projet'!$B$13,Paramètres!$A$1:$I$89,3,0)*0.475*44/12</f>
        <v>1.823722706154143E-3</v>
      </c>
      <c r="DI60" s="24">
        <f t="shared" si="15"/>
        <v>1.1455582014609018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8.3000000000000007</v>
      </c>
      <c r="DO60" s="13">
        <f>IF('Données projet'!$A$166&gt;35,DO59+DN60-DW59,IF(A60&lt;'Données projet'!$A$166,$DL$205^A60,IF(A60='Données projet'!$A$166,'Données projet'!$B$166,DO59+DN60-DW59)))</f>
        <v>354.10000000000019</v>
      </c>
      <c r="DP60" s="18">
        <f>DO60*VLOOKUP('Données projet'!$B$14,Paramètres!$A$1:$I$89,3,0)*VLOOKUP('Données projet'!$B$14,Paramètres!$A$1:$I$89,5,0)</f>
        <v>211.75180000000015</v>
      </c>
      <c r="DQ60" s="14">
        <f t="shared" si="43"/>
        <v>52.318212792392849</v>
      </c>
      <c r="DR60" s="22">
        <f t="shared" si="16"/>
        <v>459.92193894675114</v>
      </c>
      <c r="DS60" s="62">
        <f t="shared" si="17"/>
        <v>753.25527228008445</v>
      </c>
      <c r="DT60" s="62">
        <f ca="1">AVERAGE(OFFSET($DS$3,0,0,'Données projet'!$E$14+1,1))-AVERAGE(OFFSET($H$3,0,0,'Données projet'!$E$14+1,1))</f>
        <v>282.98919020956595</v>
      </c>
      <c r="DU60" s="62">
        <f t="shared" si="44"/>
        <v>182.23565317232647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7.0679386056070141E-4</v>
      </c>
      <c r="ED60" s="24">
        <f t="shared" si="18"/>
        <v>7.0679386056070141E-4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9">
        <f t="shared" si="1"/>
        <v>372.6494975202296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12.518749999999997</v>
      </c>
      <c r="N61" s="14">
        <f>IF('Données projet'!$A$36&gt;35,N60+M61-V60,IF(A61&lt;'Données projet'!$A$36,$K$205^A61,IF(A61='Données projet'!$A$36,'Données projet'!$B$36,N60+M61-V60)))</f>
        <v>310.65375000000012</v>
      </c>
      <c r="O61" s="14">
        <f>N61*VLOOKUP('Données projet'!$B$9,Paramètres!$A$1:$I$89,3,0)*VLOOKUP('Données projet'!$B$9,Paramètres!$A$1:$I$89,5,0)</f>
        <v>145.38595500000005</v>
      </c>
      <c r="P61" s="14">
        <f t="shared" si="33"/>
        <v>37.528128312294818</v>
      </c>
      <c r="Q61" s="22">
        <f t="shared" si="53"/>
        <v>318.57536176891358</v>
      </c>
      <c r="R61" s="62">
        <f t="shared" si="0"/>
        <v>611.90869510224684</v>
      </c>
      <c r="S61" s="62">
        <f ca="1">AVERAGE(OFFSET($R$3,0,0,'Données projet'!$E$9+1,1))-AVERAGE(OFFSET($H$3,0,0,'Données projet'!$E$9+1,1))</f>
        <v>172.62653085905839</v>
      </c>
      <c r="T61" s="62">
        <f t="shared" si="34"/>
        <v>103.0747749312265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201.98880000000008</v>
      </c>
      <c r="AK61" s="14">
        <f t="shared" si="35"/>
        <v>50.18099374666096</v>
      </c>
      <c r="AL61" s="22">
        <f t="shared" si="4"/>
        <v>439.19572410876793</v>
      </c>
      <c r="AM61" s="62">
        <f t="shared" si="5"/>
        <v>732.52905744210125</v>
      </c>
      <c r="AN61" s="62">
        <f ca="1">AVERAGE(OFFSET($AM$3,0,0,'Données projet'!$E$10+1,1))-AVERAGE(OFFSET($H$3,0,0,'Données projet'!$E$10+1,1))</f>
        <v>289.36126704091066</v>
      </c>
      <c r="AO61" s="62">
        <f t="shared" si="36"/>
        <v>195.3674411454258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180.23616000000004</v>
      </c>
      <c r="BF61" s="14">
        <f t="shared" si="37"/>
        <v>45.374723405565959</v>
      </c>
      <c r="BG61" s="22">
        <f t="shared" si="7"/>
        <v>392.93895526469413</v>
      </c>
      <c r="BH61" s="62">
        <f t="shared" si="8"/>
        <v>686.27228859802744</v>
      </c>
      <c r="BI61" s="62">
        <f ca="1">AVERAGE(OFFSET($BH$3,0,0,'Données projet'!$E$11+1,1))-AVERAGE(OFFSET($H$3,0,0,'Données projet'!$E$11+1,1))</f>
        <v>250.17147737747007</v>
      </c>
      <c r="BJ61" s="62">
        <f t="shared" si="38"/>
        <v>172.25613380618552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199.20000000000007</v>
      </c>
      <c r="BZ61" s="14">
        <f>BY61*VLOOKUP('Données projet'!$B$12,Paramètres!$A$1:$I$89,3,0)*VLOOKUP('Données projet'!$B$12,Paramètres!$A$1:$I$89,5,0)</f>
        <v>214.41888000000006</v>
      </c>
      <c r="CA61" s="14">
        <f t="shared" si="39"/>
        <v>52.900048736813666</v>
      </c>
      <c r="CB61" s="22">
        <f t="shared" si="10"/>
        <v>465.58046754995058</v>
      </c>
      <c r="CC61" s="62">
        <f t="shared" si="11"/>
        <v>758.9138008832839</v>
      </c>
      <c r="CD61" s="62">
        <f ca="1">AVERAGE(OFFSET($CC$3,0,0,'Données projet'!$E$12+1,1))-AVERAGE(OFFSET($H$3,0,0,'Données projet'!$E$12+1,1))</f>
        <v>311.71521576048417</v>
      </c>
      <c r="CE61" s="62">
        <f t="shared" si="40"/>
        <v>208.54841796921403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>
        <f>VLOOKUP(A61,'Données projet'!$A$139:$I$159,2,0)</f>
        <v>428</v>
      </c>
      <c r="CR61" s="13">
        <f>VLOOKUP(A61,'Données projet'!$A$139:$I$159,9,0)</f>
        <v>17.625</v>
      </c>
      <c r="CS61" s="13">
        <f t="array" ref="CS61">INDEX(CR:CR,MIN(IF(ISNUMBER(CR61:CR257),ROW(CR61:CR257),"")))</f>
        <v>17.625</v>
      </c>
      <c r="CT61" s="13">
        <f>IF('Données projet'!$A$140&gt;35,CT60+CS61-DB60,IF(A61&lt;'Données projet'!$A$140,$CQ$205^A61,IF(A61='Données projet'!$A$140,'Données projet'!$B$140,CT60+CS61-DB60)))</f>
        <v>428.00000000000006</v>
      </c>
      <c r="CU61" s="18">
        <f>CT61*VLOOKUP('Données projet'!$B$13,Paramètres!$A$1:$I$89,3,0)*VLOOKUP('Données projet'!$B$13,Paramètres!$A$1:$I$89,5,0)</f>
        <v>255.94400000000005</v>
      </c>
      <c r="CV61" s="14">
        <f t="shared" si="41"/>
        <v>61.857013102708898</v>
      </c>
      <c r="CW61" s="22">
        <f t="shared" si="13"/>
        <v>553.50343115388478</v>
      </c>
      <c r="CX61" s="62">
        <f t="shared" si="14"/>
        <v>846.83676448721803</v>
      </c>
      <c r="CY61" s="62">
        <f ca="1">AVERAGE(OFFSET($CX$3,0,0,'Données projet'!$E$13+1,1))-AVERAGE(OFFSET($H$3,0,0,'Données projet'!$E$13+1,1))</f>
        <v>280.47174439810988</v>
      </c>
      <c r="CZ61" s="62">
        <f t="shared" si="42"/>
        <v>231.19476400361157</v>
      </c>
      <c r="DA61" s="16">
        <f>IF(ISNA(VLOOKUP(A61,'Données projet'!$A$139:$I$159,3,0)),0,VLOOKUP(A61,'Données projet'!$A$139:$I$159,3,0))</f>
        <v>8</v>
      </c>
      <c r="DB61" s="16">
        <f>IF(ISNA(VLOOKUP(A61,'Données projet'!$A$139:$I$159,4,0)),0,VLOOKUP(A61,'Données projet'!$A$139:$I$159,4,0))</f>
        <v>78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1.1124589992868168</v>
      </c>
      <c r="DH61" s="23">
        <f>EXP(-LN(2)/2)*DH60+(1-EXP(-LN(2)/2))/(LN(2)/2)*DB61*DE61*VLOOKUP('Données projet'!$B$13,Paramètres!$A$1:$I$89,3,0)*0.475*44/12</f>
        <v>1.289566692525476E-3</v>
      </c>
      <c r="DI61" s="24">
        <f t="shared" si="15"/>
        <v>1.1137485659793422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8.3000000000000007</v>
      </c>
      <c r="DO61" s="13">
        <f>IF('Données projet'!$A$166&gt;35,DO60+DN61-DW60,IF(A61&lt;'Données projet'!$A$166,$DL$205^A61,IF(A61='Données projet'!$A$166,'Données projet'!$B$166,DO60+DN61-DW60)))</f>
        <v>362.4000000000002</v>
      </c>
      <c r="DP61" s="18">
        <f>DO61*VLOOKUP('Données projet'!$B$14,Paramètres!$A$1:$I$89,3,0)*VLOOKUP('Données projet'!$B$14,Paramètres!$A$1:$I$89,5,0)</f>
        <v>216.71520000000012</v>
      </c>
      <c r="DQ61" s="14">
        <f t="shared" si="43"/>
        <v>53.400326801074698</v>
      </c>
      <c r="DR61" s="22">
        <f t="shared" si="16"/>
        <v>470.45120917853865</v>
      </c>
      <c r="DS61" s="62">
        <f t="shared" si="17"/>
        <v>763.7845425118719</v>
      </c>
      <c r="DT61" s="62">
        <f ca="1">AVERAGE(OFFSET($DS$3,0,0,'Données projet'!$E$14+1,1))-AVERAGE(OFFSET($H$3,0,0,'Données projet'!$E$14+1,1))</f>
        <v>282.98919020956595</v>
      </c>
      <c r="DU61" s="62">
        <f t="shared" si="44"/>
        <v>182.23565317232647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4.9977873170349108E-4</v>
      </c>
      <c r="ED61" s="24">
        <f t="shared" si="18"/>
        <v>4.9977873170349108E-4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9">
        <f t="shared" si="1"/>
        <v>374.59630612559323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12.518749999999997</v>
      </c>
      <c r="N62" s="14">
        <f>IF('Données projet'!$A$36&gt;35,N61+M62-V61,IF(A62&lt;'Données projet'!$A$36,$K$205^A62,IF(A62='Données projet'!$A$36,'Données projet'!$B$36,N61+M62-V61)))</f>
        <v>323.17250000000013</v>
      </c>
      <c r="O62" s="14">
        <f>N62*VLOOKUP('Données projet'!$B$9,Paramètres!$A$1:$I$89,3,0)*VLOOKUP('Données projet'!$B$9,Paramètres!$A$1:$I$89,5,0)</f>
        <v>151.24473000000006</v>
      </c>
      <c r="P62" s="14">
        <f t="shared" si="33"/>
        <v>38.861318786682716</v>
      </c>
      <c r="Q62" s="22">
        <f t="shared" si="53"/>
        <v>331.1013683034725</v>
      </c>
      <c r="R62" s="62">
        <f t="shared" si="0"/>
        <v>624.43470163680581</v>
      </c>
      <c r="S62" s="62">
        <f ca="1">AVERAGE(OFFSET($R$3,0,0,'Données projet'!$E$9+1,1))-AVERAGE(OFFSET($H$3,0,0,'Données projet'!$E$9+1,1))</f>
        <v>172.62653085905839</v>
      </c>
      <c r="T62" s="62">
        <f t="shared" si="34"/>
        <v>103.0747749312265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209.49240000000009</v>
      </c>
      <c r="AK62" s="14">
        <f t="shared" si="35"/>
        <v>51.824646708770558</v>
      </c>
      <c r="AL62" s="22">
        <f t="shared" si="4"/>
        <v>455.12718968444216</v>
      </c>
      <c r="AM62" s="62">
        <f t="shared" si="5"/>
        <v>748.46052301777547</v>
      </c>
      <c r="AN62" s="62">
        <f ca="1">AVERAGE(OFFSET($AM$3,0,0,'Données projet'!$E$10+1,1))-AVERAGE(OFFSET($H$3,0,0,'Données projet'!$E$10+1,1))</f>
        <v>289.36126704091066</v>
      </c>
      <c r="AO62" s="62">
        <f t="shared" si="36"/>
        <v>195.3674411454258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186.93168000000006</v>
      </c>
      <c r="BF62" s="14">
        <f t="shared" si="37"/>
        <v>46.860949423866458</v>
      </c>
      <c r="BG62" s="22">
        <f t="shared" si="7"/>
        <v>407.18882957990081</v>
      </c>
      <c r="BH62" s="62">
        <f t="shared" si="8"/>
        <v>700.52216291323407</v>
      </c>
      <c r="BI62" s="62">
        <f ca="1">AVERAGE(OFFSET($BH$3,0,0,'Données projet'!$E$11+1,1))-AVERAGE(OFFSET($H$3,0,0,'Données projet'!$E$11+1,1))</f>
        <v>250.17147737747007</v>
      </c>
      <c r="BJ62" s="62">
        <f t="shared" si="38"/>
        <v>172.25613380618552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206.60000000000008</v>
      </c>
      <c r="BZ62" s="14">
        <f>BY62*VLOOKUP('Données projet'!$B$12,Paramètres!$A$1:$I$89,3,0)*VLOOKUP('Données projet'!$B$12,Paramètres!$A$1:$I$89,5,0)</f>
        <v>222.38424000000006</v>
      </c>
      <c r="CA62" s="14">
        <f t="shared" si="39"/>
        <v>54.632762964056163</v>
      </c>
      <c r="CB62" s="22">
        <f t="shared" si="10"/>
        <v>482.47128016239793</v>
      </c>
      <c r="CC62" s="62">
        <f t="shared" si="11"/>
        <v>775.80461349573125</v>
      </c>
      <c r="CD62" s="62">
        <f ca="1">AVERAGE(OFFSET($CC$3,0,0,'Données projet'!$E$12+1,1))-AVERAGE(OFFSET($H$3,0,0,'Données projet'!$E$12+1,1))</f>
        <v>311.71521576048417</v>
      </c>
      <c r="CE62" s="62">
        <f t="shared" si="40"/>
        <v>208.54841796921403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16.625</v>
      </c>
      <c r="CT62" s="13">
        <f>IF('Données projet'!$A$140&gt;35,CT61+CS62-DB61,IF(A62&lt;'Données projet'!$A$140,$CQ$205^A62,IF(A62='Données projet'!$A$140,'Données projet'!$B$140,CT61+CS62-DB61)))</f>
        <v>366.62500000000006</v>
      </c>
      <c r="CU62" s="18">
        <f>CT62*VLOOKUP('Données projet'!$B$13,Paramètres!$A$1:$I$89,3,0)*VLOOKUP('Données projet'!$B$13,Paramètres!$A$1:$I$89,5,0)</f>
        <v>219.24175000000005</v>
      </c>
      <c r="CV62" s="14">
        <f t="shared" si="41"/>
        <v>53.950050729111297</v>
      </c>
      <c r="CW62" s="22">
        <f t="shared" si="13"/>
        <v>475.80905293653558</v>
      </c>
      <c r="CX62" s="62">
        <f t="shared" si="14"/>
        <v>769.14238626986889</v>
      </c>
      <c r="CY62" s="62">
        <f ca="1">AVERAGE(OFFSET($CX$3,0,0,'Données projet'!$E$13+1,1))-AVERAGE(OFFSET($H$3,0,0,'Données projet'!$E$13+1,1))</f>
        <v>280.47174439810988</v>
      </c>
      <c r="CZ62" s="62">
        <f t="shared" si="42"/>
        <v>231.19476400361157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1.0820387494496426</v>
      </c>
      <c r="DH62" s="23">
        <f>EXP(-LN(2)/2)*DH61+(1-EXP(-LN(2)/2))/(LN(2)/2)*DB62*DE62*VLOOKUP('Données projet'!$B$13,Paramètres!$A$1:$I$89,3,0)*0.475*44/12</f>
        <v>9.1186135307707162E-4</v>
      </c>
      <c r="DI62" s="24">
        <f t="shared" si="15"/>
        <v>1.0829506108027196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8.3000000000000007</v>
      </c>
      <c r="DO62" s="13">
        <f>IF('Données projet'!$A$166&gt;35,DO61+DN62-DW61,IF(A62&lt;'Données projet'!$A$166,$DL$205^A62,IF(A62='Données projet'!$A$166,'Données projet'!$B$166,DO61+DN62-DW61)))</f>
        <v>370.70000000000022</v>
      </c>
      <c r="DP62" s="18">
        <f>DO62*VLOOKUP('Données projet'!$B$14,Paramètres!$A$1:$I$89,3,0)*VLOOKUP('Données projet'!$B$14,Paramètres!$A$1:$I$89,5,0)</f>
        <v>221.67860000000013</v>
      </c>
      <c r="DQ62" s="14">
        <f t="shared" si="43"/>
        <v>54.479559584117418</v>
      </c>
      <c r="DR62" s="22">
        <f t="shared" si="16"/>
        <v>480.97546127567131</v>
      </c>
      <c r="DS62" s="62">
        <f t="shared" si="17"/>
        <v>774.30879460900462</v>
      </c>
      <c r="DT62" s="62">
        <f ca="1">AVERAGE(OFFSET($DS$3,0,0,'Données projet'!$E$14+1,1))-AVERAGE(OFFSET($H$3,0,0,'Données projet'!$E$14+1,1))</f>
        <v>282.98919020956595</v>
      </c>
      <c r="DU62" s="62">
        <f t="shared" si="44"/>
        <v>182.23565317232647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3.5339693028035071E-4</v>
      </c>
      <c r="ED62" s="24">
        <f t="shared" si="18"/>
        <v>3.5339693028035071E-4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9">
        <f t="shared" si="1"/>
        <v>376.54233002474325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12.518749999999997</v>
      </c>
      <c r="N63" s="14">
        <f>IF('Données projet'!$A$36&gt;35,N62+M63-V62,IF(A63&lt;'Données projet'!$A$36,$K$205^A63,IF(A63='Données projet'!$A$36,'Données projet'!$B$36,N62+M63-V62)))</f>
        <v>335.69125000000014</v>
      </c>
      <c r="O63" s="14">
        <f>N63*VLOOKUP('Données projet'!$B$9,Paramètres!$A$1:$I$89,3,0)*VLOOKUP('Données projet'!$B$9,Paramètres!$A$1:$I$89,5,0)</f>
        <v>157.10350500000007</v>
      </c>
      <c r="P63" s="14">
        <f t="shared" si="33"/>
        <v>40.188509862200185</v>
      </c>
      <c r="Q63" s="22">
        <f t="shared" si="53"/>
        <v>343.61692588499881</v>
      </c>
      <c r="R63" s="62">
        <f t="shared" si="0"/>
        <v>636.95025921833212</v>
      </c>
      <c r="S63" s="62">
        <f ca="1">AVERAGE(OFFSET($R$3,0,0,'Données projet'!$E$9+1,1))-AVERAGE(OFFSET($H$3,0,0,'Données projet'!$E$9+1,1))</f>
        <v>172.62653085905839</v>
      </c>
      <c r="T63" s="62">
        <f t="shared" si="34"/>
        <v>103.0747749312265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216.99600000000009</v>
      </c>
      <c r="AK63" s="14">
        <f t="shared" si="35"/>
        <v>53.461459647386917</v>
      </c>
      <c r="AL63" s="22">
        <f t="shared" si="4"/>
        <v>471.04674221919907</v>
      </c>
      <c r="AM63" s="62">
        <f t="shared" si="5"/>
        <v>764.38007555253239</v>
      </c>
      <c r="AN63" s="62">
        <f ca="1">AVERAGE(OFFSET($AM$3,0,0,'Données projet'!$E$10+1,1))-AVERAGE(OFFSET($H$3,0,0,'Données projet'!$E$10+1,1))</f>
        <v>289.36126704091066</v>
      </c>
      <c r="AO63" s="62">
        <f t="shared" si="36"/>
        <v>195.3674411454258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193.62720000000007</v>
      </c>
      <c r="BF63" s="14">
        <f t="shared" si="37"/>
        <v>48.340990547231236</v>
      </c>
      <c r="BG63" s="22">
        <f t="shared" si="7"/>
        <v>421.42793186976115</v>
      </c>
      <c r="BH63" s="62">
        <f t="shared" si="8"/>
        <v>714.76126520309447</v>
      </c>
      <c r="BI63" s="62">
        <f ca="1">AVERAGE(OFFSET($BH$3,0,0,'Données projet'!$E$11+1,1))-AVERAGE(OFFSET($H$3,0,0,'Données projet'!$E$11+1,1))</f>
        <v>250.17147737747007</v>
      </c>
      <c r="BJ63" s="62">
        <f t="shared" si="38"/>
        <v>172.25613380618552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214.00000000000009</v>
      </c>
      <c r="BZ63" s="14">
        <f>BY63*VLOOKUP('Données projet'!$B$12,Paramètres!$A$1:$I$89,3,0)*VLOOKUP('Données projet'!$B$12,Paramètres!$A$1:$I$89,5,0)</f>
        <v>230.34960000000009</v>
      </c>
      <c r="CA63" s="14">
        <f t="shared" si="39"/>
        <v>56.35826654142631</v>
      </c>
      <c r="CB63" s="22">
        <f t="shared" si="10"/>
        <v>499.34953422631764</v>
      </c>
      <c r="CC63" s="62">
        <f t="shared" si="11"/>
        <v>792.68286755965096</v>
      </c>
      <c r="CD63" s="62">
        <f ca="1">AVERAGE(OFFSET($CC$3,0,0,'Données projet'!$E$12+1,1))-AVERAGE(OFFSET($H$3,0,0,'Données projet'!$E$12+1,1))</f>
        <v>311.71521576048417</v>
      </c>
      <c r="CE63" s="62">
        <f t="shared" si="40"/>
        <v>208.54841796921403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16.625</v>
      </c>
      <c r="CT63" s="13">
        <f>IF('Données projet'!$A$140&gt;35,CT62+CS63-DB62,IF(A63&lt;'Données projet'!$A$140,$CQ$205^A63,IF(A63='Données projet'!$A$140,'Données projet'!$B$140,CT62+CS63-DB62)))</f>
        <v>383.25000000000006</v>
      </c>
      <c r="CU63" s="18">
        <f>CT63*VLOOKUP('Données projet'!$B$13,Paramètres!$A$1:$I$89,3,0)*VLOOKUP('Données projet'!$B$13,Paramètres!$A$1:$I$89,5,0)</f>
        <v>229.18350000000007</v>
      </c>
      <c r="CV63" s="14">
        <f t="shared" si="41"/>
        <v>56.106098616839645</v>
      </c>
      <c r="CW63" s="22">
        <f t="shared" si="13"/>
        <v>496.87938425766248</v>
      </c>
      <c r="CX63" s="62">
        <f t="shared" si="14"/>
        <v>790.21271759099579</v>
      </c>
      <c r="CY63" s="62">
        <f ca="1">AVERAGE(OFFSET($CX$3,0,0,'Données projet'!$E$13+1,1))-AVERAGE(OFFSET($H$3,0,0,'Données projet'!$E$13+1,1))</f>
        <v>280.47174439810988</v>
      </c>
      <c r="CZ63" s="62">
        <f t="shared" si="42"/>
        <v>231.19476400361157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1.0524503429439973</v>
      </c>
      <c r="DH63" s="23">
        <f>EXP(-LN(2)/2)*DH62+(1-EXP(-LN(2)/2))/(LN(2)/2)*DB63*DE63*VLOOKUP('Données projet'!$B$13,Paramètres!$A$1:$I$89,3,0)*0.475*44/12</f>
        <v>6.4478334626273811E-4</v>
      </c>
      <c r="DI63" s="24">
        <f t="shared" si="15"/>
        <v>1.0530951262902601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379</v>
      </c>
      <c r="DM63" s="13">
        <f>VLOOKUP(A63,'Données projet'!$A$165:$I$185,9,0)</f>
        <v>8.3000000000000007</v>
      </c>
      <c r="DN63" s="13">
        <f t="array" ref="DN63">INDEX(DM:DM,MIN(IF(ISNUMBER(DM63:DM259),ROW(DM63:DM259),"")))</f>
        <v>8.3000000000000007</v>
      </c>
      <c r="DO63" s="13">
        <f>IF('Données projet'!$A$166&gt;35,DO62+DN63-DW62,IF(A63&lt;'Données projet'!$A$166,$DL$205^A63,IF(A63='Données projet'!$A$166,'Données projet'!$B$166,DO62+DN63-DW62)))</f>
        <v>379.00000000000023</v>
      </c>
      <c r="DP63" s="18">
        <f>DO63*VLOOKUP('Données projet'!$B$14,Paramètres!$A$1:$I$89,3,0)*VLOOKUP('Données projet'!$B$14,Paramètres!$A$1:$I$89,5,0)</f>
        <v>226.64200000000017</v>
      </c>
      <c r="DQ63" s="14">
        <f t="shared" si="43"/>
        <v>55.555983079812862</v>
      </c>
      <c r="DR63" s="22">
        <f t="shared" si="16"/>
        <v>491.4948205306743</v>
      </c>
      <c r="DS63" s="62">
        <f t="shared" si="17"/>
        <v>784.82815386400762</v>
      </c>
      <c r="DT63" s="62">
        <f ca="1">AVERAGE(OFFSET($DS$3,0,0,'Données projet'!$E$14+1,1))-AVERAGE(OFFSET($H$3,0,0,'Données projet'!$E$14+1,1))</f>
        <v>282.98919020956595</v>
      </c>
      <c r="DU63" s="62">
        <f t="shared" si="44"/>
        <v>182.23565317232647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2.4988936585174554E-4</v>
      </c>
      <c r="ED63" s="24">
        <f t="shared" si="18"/>
        <v>2.4988936585174554E-4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9">
        <f t="shared" si="1"/>
        <v>378.48758380565391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>
        <f>VLOOKUP(A64,'Données projet'!$A$35:$I$55,2,0)</f>
        <v>348.21</v>
      </c>
      <c r="L64" s="13">
        <f>VLOOKUP(A64,'Données projet'!$A$35:$I$55,9,0)</f>
        <v>12.518749999999997</v>
      </c>
      <c r="M64" s="13">
        <f t="array" ref="M64">INDEX(L:L,MIN(IF(ISNUMBER(L64:L260),ROW(L64:L260),"")))</f>
        <v>12.518749999999997</v>
      </c>
      <c r="N64" s="14">
        <f>IF('Données projet'!$A$36&gt;35,N63+M64-V63,IF(A64&lt;'Données projet'!$A$36,$K$205^A64,IF(A64='Données projet'!$A$36,'Données projet'!$B$36,N63+M64-V63)))</f>
        <v>348.21000000000015</v>
      </c>
      <c r="O64" s="14">
        <f>N64*VLOOKUP('Données projet'!$B$9,Paramètres!$A$1:$I$89,3,0)*VLOOKUP('Données projet'!$B$9,Paramètres!$A$1:$I$89,5,0)</f>
        <v>162.96228000000008</v>
      </c>
      <c r="P64" s="14">
        <f t="shared" si="33"/>
        <v>41.509950889873849</v>
      </c>
      <c r="Q64" s="22">
        <f t="shared" si="53"/>
        <v>356.12246879986373</v>
      </c>
      <c r="R64" s="62">
        <f t="shared" si="0"/>
        <v>649.45580213319704</v>
      </c>
      <c r="S64" s="62">
        <f ca="1">AVERAGE(OFFSET($R$3,0,0,'Données projet'!$E$9+1,1))-AVERAGE(OFFSET($H$3,0,0,'Données projet'!$E$9+1,1))</f>
        <v>172.62653085905839</v>
      </c>
      <c r="T64" s="62">
        <f t="shared" si="34"/>
        <v>103.0747749312265</v>
      </c>
      <c r="U64" s="16">
        <f>IF(ISNA(VLOOKUP(A64,'Données projet'!$A$35:$I$55,3,0)),0,VLOOKUP(A64,'Données projet'!$A$35:$I$55,3,0))</f>
        <v>5</v>
      </c>
      <c r="V64" s="16">
        <f>IF(ISNA(VLOOKUP(A64,'Données projet'!$A$35:$I$55,4,0)),0,VLOOKUP(A64,'Données projet'!$A$35:$I$55,4,0))</f>
        <v>100.2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203.00280000000009</v>
      </c>
      <c r="AK64" s="14">
        <f t="shared" si="35"/>
        <v>50.403518824343074</v>
      </c>
      <c r="AL64" s="22">
        <f t="shared" si="4"/>
        <v>441.34933861906433</v>
      </c>
      <c r="AM64" s="62">
        <f t="shared" si="5"/>
        <v>734.68267195239764</v>
      </c>
      <c r="AN64" s="62">
        <f ca="1">AVERAGE(OFFSET($AM$3,0,0,'Données projet'!$E$10+1,1))-AVERAGE(OFFSET($H$3,0,0,'Données projet'!$E$10+1,1))</f>
        <v>289.36126704091066</v>
      </c>
      <c r="AO64" s="62">
        <f t="shared" si="36"/>
        <v>195.3674411454258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181.14096000000006</v>
      </c>
      <c r="BF64" s="14">
        <f t="shared" si="37"/>
        <v>45.575935320610981</v>
      </c>
      <c r="BG64" s="22">
        <f t="shared" si="7"/>
        <v>394.86525935006421</v>
      </c>
      <c r="BH64" s="62">
        <f t="shared" si="8"/>
        <v>688.19859268339746</v>
      </c>
      <c r="BI64" s="62">
        <f ca="1">AVERAGE(OFFSET($BH$3,0,0,'Données projet'!$E$11+1,1))-AVERAGE(OFFSET($H$3,0,0,'Données projet'!$E$11+1,1))</f>
        <v>250.17147737747007</v>
      </c>
      <c r="BJ64" s="62">
        <f t="shared" si="38"/>
        <v>172.25613380618552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200.20000000000007</v>
      </c>
      <c r="BZ64" s="14">
        <f>BY64*VLOOKUP('Données projet'!$B$12,Paramètres!$A$1:$I$89,3,0)*VLOOKUP('Données projet'!$B$12,Paramètres!$A$1:$I$89,5,0)</f>
        <v>215.49528000000007</v>
      </c>
      <c r="CA64" s="14">
        <f t="shared" si="39"/>
        <v>53.134631326269272</v>
      </c>
      <c r="CB64" s="22">
        <f t="shared" si="10"/>
        <v>467.86376222658572</v>
      </c>
      <c r="CC64" s="62">
        <f t="shared" si="11"/>
        <v>761.19709555991903</v>
      </c>
      <c r="CD64" s="62">
        <f ca="1">AVERAGE(OFFSET($CC$3,0,0,'Données projet'!$E$12+1,1))-AVERAGE(OFFSET($H$3,0,0,'Données projet'!$E$12+1,1))</f>
        <v>311.71521576048417</v>
      </c>
      <c r="CE64" s="62">
        <f t="shared" si="40"/>
        <v>208.54841796921403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16.625</v>
      </c>
      <c r="CT64" s="13">
        <f>IF('Données projet'!$A$140&gt;35,CT63+CS64-DB63,IF(A64&lt;'Données projet'!$A$140,$CQ$205^A64,IF(A64='Données projet'!$A$140,'Données projet'!$B$140,CT63+CS64-DB63)))</f>
        <v>399.87500000000006</v>
      </c>
      <c r="CU64" s="18">
        <f>CT64*VLOOKUP('Données projet'!$B$13,Paramètres!$A$1:$I$89,3,0)*VLOOKUP('Données projet'!$B$13,Paramètres!$A$1:$I$89,5,0)</f>
        <v>239.12525000000005</v>
      </c>
      <c r="CV64" s="14">
        <f t="shared" si="41"/>
        <v>58.251283780505084</v>
      </c>
      <c r="CW64" s="22">
        <f t="shared" si="13"/>
        <v>517.93079633437981</v>
      </c>
      <c r="CX64" s="62">
        <f t="shared" si="14"/>
        <v>811.26412966771318</v>
      </c>
      <c r="CY64" s="62">
        <f ca="1">AVERAGE(OFFSET($CX$3,0,0,'Données projet'!$E$13+1,1))-AVERAGE(OFFSET($H$3,0,0,'Données projet'!$E$13+1,1))</f>
        <v>280.47174439810988</v>
      </c>
      <c r="CZ64" s="62">
        <f t="shared" si="42"/>
        <v>231.19476400361157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1.0236710329702357</v>
      </c>
      <c r="DH64" s="23">
        <f>EXP(-LN(2)/2)*DH63+(1-EXP(-LN(2)/2))/(LN(2)/2)*DB64*DE64*VLOOKUP('Données projet'!$B$13,Paramètres!$A$1:$I$89,3,0)*0.475*44/12</f>
        <v>4.5593067653853587E-4</v>
      </c>
      <c r="DI64" s="24">
        <f t="shared" si="15"/>
        <v>1.0241269636467742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</v>
      </c>
      <c r="DO64" s="13">
        <f>IF('Données projet'!$A$166&gt;35,DO63+DN64-DW63,IF(A64&lt;'Données projet'!$A$166,$DL$205^A64,IF(A64='Données projet'!$A$166,'Données projet'!$B$166,DO63+DN64-DW63)))</f>
        <v>359.00000000000023</v>
      </c>
      <c r="DP64" s="18">
        <f>DO64*VLOOKUP('Données projet'!$B$14,Paramètres!$A$1:$I$89,3,0)*VLOOKUP('Données projet'!$B$14,Paramètres!$A$1:$I$89,5,0)</f>
        <v>214.68200000000013</v>
      </c>
      <c r="DQ64" s="14">
        <f t="shared" si="43"/>
        <v>52.957403780225121</v>
      </c>
      <c r="DR64" s="22">
        <f t="shared" si="16"/>
        <v>466.13862825055907</v>
      </c>
      <c r="DS64" s="62">
        <f t="shared" si="17"/>
        <v>759.47196158389238</v>
      </c>
      <c r="DT64" s="62">
        <f ca="1">AVERAGE(OFFSET($DS$3,0,0,'Données projet'!$E$14+1,1))-AVERAGE(OFFSET($H$3,0,0,'Données projet'!$E$14+1,1))</f>
        <v>282.98919020956595</v>
      </c>
      <c r="DU64" s="62">
        <f t="shared" si="44"/>
        <v>182.23565317232647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1.7669846514017535E-4</v>
      </c>
      <c r="ED64" s="24">
        <f t="shared" si="18"/>
        <v>1.7669846514017535E-4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9">
        <f t="shared" si="1"/>
        <v>380.43208155058352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260.2</v>
      </c>
      <c r="L65" s="13">
        <f>VLOOKUP(A65,'Données projet'!$A$35:$I$55,9,0)</f>
        <v>12.189999999999998</v>
      </c>
      <c r="M65" s="13">
        <f t="array" ref="M65">INDEX(L:L,MIN(IF(ISNUMBER(L65:L261),ROW(L65:L261),"")))</f>
        <v>12.189999999999998</v>
      </c>
      <c r="N65" s="14">
        <f>IF('Données projet'!$A$36&gt;35,N64+M65-V64,IF(A65&lt;'Données projet'!$A$36,$K$205^A65,IF(A65='Données projet'!$A$36,'Données projet'!$B$36,N64+M65-V64)))</f>
        <v>260.20000000000016</v>
      </c>
      <c r="O65" s="14">
        <f>N65*VLOOKUP('Données projet'!$B$9,Paramètres!$A$1:$I$89,3,0)*VLOOKUP('Données projet'!$B$9,Paramètres!$A$1:$I$89,5,0)</f>
        <v>121.77360000000007</v>
      </c>
      <c r="P65" s="14">
        <f t="shared" si="33"/>
        <v>32.088308478936305</v>
      </c>
      <c r="Q65" s="22">
        <f t="shared" si="53"/>
        <v>267.97615726748086</v>
      </c>
      <c r="R65" s="62">
        <f t="shared" si="0"/>
        <v>561.30949060081412</v>
      </c>
      <c r="S65" s="62">
        <f ca="1">AVERAGE(OFFSET($R$3,0,0,'Données projet'!$E$9+1,1))-AVERAGE(OFFSET($H$3,0,0,'Données projet'!$E$9+1,1))</f>
        <v>172.62653085905839</v>
      </c>
      <c r="T65" s="62">
        <f t="shared" si="34"/>
        <v>103.0747749312265</v>
      </c>
      <c r="U65" s="16">
        <f>IF(ISNA(VLOOKUP(A65,'Données projet'!$A$35:$I$55,3,0)),0,VLOOKUP(A65,'Données projet'!$A$35:$I$55,3,0))</f>
        <v>6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210.3036000000001</v>
      </c>
      <c r="AK65" s="14">
        <f t="shared" si="35"/>
        <v>52.001924357524501</v>
      </c>
      <c r="AL65" s="22">
        <f t="shared" si="4"/>
        <v>456.84878825602203</v>
      </c>
      <c r="AM65" s="62">
        <f t="shared" si="5"/>
        <v>750.18212158935535</v>
      </c>
      <c r="AN65" s="62">
        <f ca="1">AVERAGE(OFFSET($AM$3,0,0,'Données projet'!$E$10+1,1))-AVERAGE(OFFSET($H$3,0,0,'Données projet'!$E$10+1,1))</f>
        <v>289.36126704091066</v>
      </c>
      <c r="AO65" s="62">
        <f t="shared" si="36"/>
        <v>195.3674411454258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187.65552000000005</v>
      </c>
      <c r="BF65" s="14">
        <f t="shared" si="37"/>
        <v>47.021247649900147</v>
      </c>
      <c r="BG65" s="22">
        <f t="shared" si="7"/>
        <v>408.72870365690954</v>
      </c>
      <c r="BH65" s="62">
        <f t="shared" si="8"/>
        <v>702.06203699024286</v>
      </c>
      <c r="BI65" s="62">
        <f ca="1">AVERAGE(OFFSET($BH$3,0,0,'Données projet'!$E$11+1,1))-AVERAGE(OFFSET($H$3,0,0,'Données projet'!$E$11+1,1))</f>
        <v>250.17147737747007</v>
      </c>
      <c r="BJ65" s="62">
        <f t="shared" si="38"/>
        <v>172.25613380618552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207.40000000000006</v>
      </c>
      <c r="BZ65" s="14">
        <f>BY65*VLOOKUP('Données projet'!$B$12,Paramètres!$A$1:$I$89,3,0)*VLOOKUP('Données projet'!$B$12,Paramètres!$A$1:$I$89,5,0)</f>
        <v>223.24536000000003</v>
      </c>
      <c r="CA65" s="14">
        <f t="shared" si="39"/>
        <v>54.81964639459116</v>
      </c>
      <c r="CB65" s="22">
        <f t="shared" si="10"/>
        <v>484.2965528039129</v>
      </c>
      <c r="CC65" s="62">
        <f t="shared" si="11"/>
        <v>777.62988613724622</v>
      </c>
      <c r="CD65" s="62">
        <f ca="1">AVERAGE(OFFSET($CC$3,0,0,'Données projet'!$E$12+1,1))-AVERAGE(OFFSET($H$3,0,0,'Données projet'!$E$12+1,1))</f>
        <v>311.71521576048417</v>
      </c>
      <c r="CE65" s="62">
        <f t="shared" si="40"/>
        <v>208.54841796921403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16.625</v>
      </c>
      <c r="CT65" s="13">
        <f>IF('Données projet'!$A$140&gt;35,CT64+CS65-DB64,IF(A65&lt;'Données projet'!$A$140,$CQ$205^A65,IF(A65='Données projet'!$A$140,'Données projet'!$B$140,CT64+CS65-DB64)))</f>
        <v>416.50000000000006</v>
      </c>
      <c r="CU65" s="18">
        <f>CT65*VLOOKUP('Données projet'!$B$13,Paramètres!$A$1:$I$89,3,0)*VLOOKUP('Données projet'!$B$13,Paramètres!$A$1:$I$89,5,0)</f>
        <v>249.06700000000004</v>
      </c>
      <c r="CV65" s="14">
        <f t="shared" si="41"/>
        <v>60.386109489804014</v>
      </c>
      <c r="CW65" s="22">
        <f t="shared" si="13"/>
        <v>538.96416569474195</v>
      </c>
      <c r="CX65" s="62">
        <f t="shared" si="14"/>
        <v>832.29749902807521</v>
      </c>
      <c r="CY65" s="62">
        <f ca="1">AVERAGE(OFFSET($CX$3,0,0,'Données projet'!$E$13+1,1))-AVERAGE(OFFSET($H$3,0,0,'Données projet'!$E$13+1,1))</f>
        <v>280.47174439810988</v>
      </c>
      <c r="CZ65" s="62">
        <f t="shared" si="42"/>
        <v>231.19476400361157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0.99567869474114457</v>
      </c>
      <c r="DH65" s="23">
        <f>EXP(-LN(2)/2)*DH64+(1-EXP(-LN(2)/2))/(LN(2)/2)*DB65*DE65*VLOOKUP('Données projet'!$B$13,Paramètres!$A$1:$I$89,3,0)*0.475*44/12</f>
        <v>3.2239167313136906E-4</v>
      </c>
      <c r="DI65" s="24">
        <f t="shared" si="15"/>
        <v>0.99600108641427598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</v>
      </c>
      <c r="DO65" s="13">
        <f>IF('Données projet'!$A$166&gt;35,DO64+DN65-DW64,IF(A65&lt;'Données projet'!$A$166,$DL$205^A65,IF(A65='Données projet'!$A$166,'Données projet'!$B$166,DO64+DN65-DW64)))</f>
        <v>366.00000000000023</v>
      </c>
      <c r="DP65" s="18">
        <f>DO65*VLOOKUP('Données projet'!$B$14,Paramètres!$A$1:$I$89,3,0)*VLOOKUP('Données projet'!$B$14,Paramètres!$A$1:$I$89,5,0)</f>
        <v>218.86800000000014</v>
      </c>
      <c r="DQ65" s="14">
        <f t="shared" si="43"/>
        <v>53.868777293257544</v>
      </c>
      <c r="DR65" s="22">
        <f t="shared" si="16"/>
        <v>475.01655378575714</v>
      </c>
      <c r="DS65" s="62">
        <f t="shared" si="17"/>
        <v>768.34988711909045</v>
      </c>
      <c r="DT65" s="62">
        <f ca="1">AVERAGE(OFFSET($DS$3,0,0,'Données projet'!$E$14+1,1))-AVERAGE(OFFSET($H$3,0,0,'Données projet'!$E$14+1,1))</f>
        <v>282.98919020956595</v>
      </c>
      <c r="DU65" s="62">
        <f t="shared" si="44"/>
        <v>182.23565317232647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1.2494468292587277E-4</v>
      </c>
      <c r="ED65" s="24">
        <f t="shared" si="18"/>
        <v>1.2494468292587277E-4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9">
        <f t="shared" si="1"/>
        <v>382.37583686147428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11.839090909090912</v>
      </c>
      <c r="N66" s="14">
        <f>IF('Données projet'!$A$36&gt;35,N65+M66-V65,IF(A66&lt;'Données projet'!$A$36,$K$205^A66,IF(A66='Données projet'!$A$36,'Données projet'!$B$36,N65+M66-V65)))</f>
        <v>272.03909090909104</v>
      </c>
      <c r="O66" s="14">
        <f>N66*VLOOKUP('Données projet'!$B$9,Paramètres!$A$1:$I$89,3,0)*VLOOKUP('Données projet'!$B$9,Paramètres!$A$1:$I$89,5,0)</f>
        <v>127.31429454545462</v>
      </c>
      <c r="P66" s="14">
        <f t="shared" si="33"/>
        <v>33.375019680128482</v>
      </c>
      <c r="Q66" s="22">
        <f t="shared" si="53"/>
        <v>279.86722227622391</v>
      </c>
      <c r="R66" s="62">
        <f t="shared" si="0"/>
        <v>573.20055560955723</v>
      </c>
      <c r="S66" s="62">
        <f ca="1">AVERAGE(OFFSET($R$3,0,0,'Données projet'!$E$9+1,1))-AVERAGE(OFFSET($H$3,0,0,'Données projet'!$E$9+1,1))</f>
        <v>172.62653085905839</v>
      </c>
      <c r="T66" s="62">
        <f t="shared" si="34"/>
        <v>103.0747749312265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217.60440000000006</v>
      </c>
      <c r="AK66" s="14">
        <f t="shared" si="35"/>
        <v>53.593882578706406</v>
      </c>
      <c r="AL66" s="22">
        <f t="shared" si="4"/>
        <v>472.33700882458038</v>
      </c>
      <c r="AM66" s="62">
        <f t="shared" si="5"/>
        <v>765.67034215791364</v>
      </c>
      <c r="AN66" s="62">
        <f ca="1">AVERAGE(OFFSET($AM$3,0,0,'Données projet'!$E$10+1,1))-AVERAGE(OFFSET($H$3,0,0,'Données projet'!$E$10+1,1))</f>
        <v>289.36126704091066</v>
      </c>
      <c r="AO66" s="62">
        <f t="shared" si="36"/>
        <v>195.3674411454258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194.17008000000004</v>
      </c>
      <c r="BF66" s="14">
        <f t="shared" si="37"/>
        <v>48.460730182351078</v>
      </c>
      <c r="BG66" s="22">
        <f t="shared" si="7"/>
        <v>422.58199440092818</v>
      </c>
      <c r="BH66" s="62">
        <f t="shared" si="8"/>
        <v>715.9153277342615</v>
      </c>
      <c r="BI66" s="62">
        <f ca="1">AVERAGE(OFFSET($BH$3,0,0,'Données projet'!$E$11+1,1))-AVERAGE(OFFSET($H$3,0,0,'Données projet'!$E$11+1,1))</f>
        <v>250.17147737747007</v>
      </c>
      <c r="BJ66" s="62">
        <f t="shared" si="38"/>
        <v>172.25613380618552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214.60000000000005</v>
      </c>
      <c r="BZ66" s="14">
        <f>BY66*VLOOKUP('Données projet'!$B$12,Paramètres!$A$1:$I$89,3,0)*VLOOKUP('Données projet'!$B$12,Paramètres!$A$1:$I$89,5,0)</f>
        <v>230.99544000000003</v>
      </c>
      <c r="CA66" s="14">
        <f t="shared" si="39"/>
        <v>56.497864803589835</v>
      </c>
      <c r="CB66" s="22">
        <f t="shared" si="10"/>
        <v>500.71750586625234</v>
      </c>
      <c r="CC66" s="62">
        <f t="shared" si="11"/>
        <v>794.05083919958565</v>
      </c>
      <c r="CD66" s="62">
        <f ca="1">AVERAGE(OFFSET($CC$3,0,0,'Données projet'!$E$12+1,1))-AVERAGE(OFFSET($H$3,0,0,'Données projet'!$E$12+1,1))</f>
        <v>311.71521576048417</v>
      </c>
      <c r="CE66" s="62">
        <f t="shared" si="40"/>
        <v>208.54841796921403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16.625</v>
      </c>
      <c r="CT66" s="13">
        <f>IF('Données projet'!$A$140&gt;35,CT65+CS66-DB65,IF(A66&lt;'Données projet'!$A$140,$CQ$205^A66,IF(A66='Données projet'!$A$140,'Données projet'!$B$140,CT65+CS66-DB65)))</f>
        <v>433.12500000000006</v>
      </c>
      <c r="CU66" s="18">
        <f>CT66*VLOOKUP('Données projet'!$B$13,Paramètres!$A$1:$I$89,3,0)*VLOOKUP('Données projet'!$B$13,Paramètres!$A$1:$I$89,5,0)</f>
        <v>259.00875000000008</v>
      </c>
      <c r="CV66" s="14">
        <f t="shared" si="41"/>
        <v>62.511036563235727</v>
      </c>
      <c r="CW66" s="22">
        <f t="shared" si="13"/>
        <v>559.98029493096897</v>
      </c>
      <c r="CX66" s="62">
        <f t="shared" si="14"/>
        <v>853.31362826430222</v>
      </c>
      <c r="CY66" s="62">
        <f ca="1">AVERAGE(OFFSET($CX$3,0,0,'Données projet'!$E$13+1,1))-AVERAGE(OFFSET($H$3,0,0,'Données projet'!$E$13+1,1))</f>
        <v>280.47174439810988</v>
      </c>
      <c r="CZ66" s="62">
        <f t="shared" si="42"/>
        <v>231.19476400361157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0.96845180847298107</v>
      </c>
      <c r="DH66" s="23">
        <f>EXP(-LN(2)/2)*DH65+(1-EXP(-LN(2)/2))/(LN(2)/2)*DB66*DE66*VLOOKUP('Données projet'!$B$13,Paramètres!$A$1:$I$89,3,0)*0.475*44/12</f>
        <v>2.2796533826926793E-4</v>
      </c>
      <c r="DI66" s="24">
        <f t="shared" si="15"/>
        <v>0.96867977381125037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</v>
      </c>
      <c r="DO66" s="13">
        <f>IF('Données projet'!$A$166&gt;35,DO65+DN66-DW65,IF(A66&lt;'Données projet'!$A$166,$DL$205^A66,IF(A66='Données projet'!$A$166,'Données projet'!$B$166,DO65+DN66-DW65)))</f>
        <v>373.00000000000023</v>
      </c>
      <c r="DP66" s="18">
        <f>DO66*VLOOKUP('Données projet'!$B$14,Paramètres!$A$1:$I$89,3,0)*VLOOKUP('Données projet'!$B$14,Paramètres!$A$1:$I$89,5,0)</f>
        <v>223.05400000000017</v>
      </c>
      <c r="DQ66" s="14">
        <f t="shared" si="43"/>
        <v>54.778124005813432</v>
      </c>
      <c r="DR66" s="22">
        <f t="shared" si="16"/>
        <v>483.89094931012534</v>
      </c>
      <c r="DS66" s="62">
        <f t="shared" si="17"/>
        <v>777.22428264345865</v>
      </c>
      <c r="DT66" s="62">
        <f ca="1">AVERAGE(OFFSET($DS$3,0,0,'Données projet'!$E$14+1,1))-AVERAGE(OFFSET($H$3,0,0,'Données projet'!$E$14+1,1))</f>
        <v>282.98919020956595</v>
      </c>
      <c r="DU66" s="62">
        <f t="shared" si="44"/>
        <v>182.23565317232647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8.8349232570087677E-5</v>
      </c>
      <c r="ED66" s="24">
        <f t="shared" si="18"/>
        <v>8.8349232570087677E-5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9">
        <f t="shared" si="1"/>
        <v>384.31886288369424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11.839090909090912</v>
      </c>
      <c r="N67" s="14">
        <f>IF('Données projet'!$A$36&gt;35,N66+M67-V66,IF(A67&lt;'Données projet'!$A$36,$K$205^A67,IF(A67='Données projet'!$A$36,'Données projet'!$B$36,N66+M67-V66)))</f>
        <v>283.87818181818193</v>
      </c>
      <c r="O67" s="14">
        <f>N67*VLOOKUP('Données projet'!$B$9,Paramètres!$A$1:$I$89,3,0)*VLOOKUP('Données projet'!$B$9,Paramètres!$A$1:$I$89,5,0)</f>
        <v>132.85498909090913</v>
      </c>
      <c r="P67" s="14">
        <f t="shared" si="33"/>
        <v>34.655227093637222</v>
      </c>
      <c r="Q67" s="22">
        <f t="shared" ref="Q67:Q98" si="54">(O67+P67)*0.475*44/12</f>
        <v>291.74695985475154</v>
      </c>
      <c r="R67" s="62">
        <f t="shared" ref="R67:R130" si="55">Q67+(I67+J67)*44/12</f>
        <v>585.08029318808485</v>
      </c>
      <c r="S67" s="62">
        <f ca="1">AVERAGE(OFFSET($R$3,0,0,'Données projet'!$E$9+1,1))-AVERAGE(OFFSET($H$3,0,0,'Données projet'!$E$9+1,1))</f>
        <v>172.62653085905839</v>
      </c>
      <c r="T67" s="62">
        <f t="shared" si="34"/>
        <v>103.0747749312265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224.90520000000006</v>
      </c>
      <c r="AK67" s="14">
        <f t="shared" si="35"/>
        <v>55.17963460003309</v>
      </c>
      <c r="AL67" s="22">
        <f t="shared" si="4"/>
        <v>487.81442026172436</v>
      </c>
      <c r="AM67" s="62">
        <f t="shared" si="5"/>
        <v>781.14775359505768</v>
      </c>
      <c r="AN67" s="62">
        <f ca="1">AVERAGE(OFFSET($AM$3,0,0,'Données projet'!$E$10+1,1))-AVERAGE(OFFSET($H$3,0,0,'Données projet'!$E$10+1,1))</f>
        <v>289.36126704091066</v>
      </c>
      <c r="AO67" s="62">
        <f t="shared" si="36"/>
        <v>195.3674411454258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200.68464</v>
      </c>
      <c r="BF67" s="14">
        <f t="shared" si="37"/>
        <v>49.894600936700193</v>
      </c>
      <c r="BG67" s="22">
        <f t="shared" si="7"/>
        <v>436.42551129808612</v>
      </c>
      <c r="BH67" s="62">
        <f t="shared" si="8"/>
        <v>729.75884463141938</v>
      </c>
      <c r="BI67" s="62">
        <f ca="1">AVERAGE(OFFSET($BH$3,0,0,'Données projet'!$E$11+1,1))-AVERAGE(OFFSET($H$3,0,0,'Données projet'!$E$11+1,1))</f>
        <v>250.17147737747007</v>
      </c>
      <c r="BJ67" s="62">
        <f t="shared" si="38"/>
        <v>172.25613380618552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221.80000000000004</v>
      </c>
      <c r="BZ67" s="14">
        <f>BY67*VLOOKUP('Données projet'!$B$12,Paramètres!$A$1:$I$89,3,0)*VLOOKUP('Données projet'!$B$12,Paramètres!$A$1:$I$89,5,0)</f>
        <v>238.74552</v>
      </c>
      <c r="CA67" s="14">
        <f t="shared" si="39"/>
        <v>58.169540730060781</v>
      </c>
      <c r="CB67" s="22">
        <f t="shared" si="10"/>
        <v>517.12706410485578</v>
      </c>
      <c r="CC67" s="62">
        <f t="shared" si="11"/>
        <v>810.46039743818915</v>
      </c>
      <c r="CD67" s="62">
        <f ca="1">AVERAGE(OFFSET($CC$3,0,0,'Données projet'!$E$12+1,1))-AVERAGE(OFFSET($H$3,0,0,'Données projet'!$E$12+1,1))</f>
        <v>311.71521576048417</v>
      </c>
      <c r="CE67" s="62">
        <f t="shared" si="40"/>
        <v>208.54841796921403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16.625</v>
      </c>
      <c r="CT67" s="13">
        <f>IF('Données projet'!$A$140&gt;35,CT66+CS67-DB66,IF(A67&lt;'Données projet'!$A$140,$CQ$205^A67,IF(A67='Données projet'!$A$140,'Données projet'!$B$140,CT66+CS67-DB66)))</f>
        <v>449.75000000000006</v>
      </c>
      <c r="CU67" s="18">
        <f>CT67*VLOOKUP('Données projet'!$B$13,Paramètres!$A$1:$I$89,3,0)*VLOOKUP('Données projet'!$B$13,Paramètres!$A$1:$I$89,5,0)</f>
        <v>268.95050000000009</v>
      </c>
      <c r="CV67" s="14">
        <f t="shared" si="41"/>
        <v>64.626488439895155</v>
      </c>
      <c r="CW67" s="22">
        <f t="shared" si="13"/>
        <v>580.97992153281746</v>
      </c>
      <c r="CX67" s="62">
        <f t="shared" si="14"/>
        <v>874.31325486615083</v>
      </c>
      <c r="CY67" s="62">
        <f ca="1">AVERAGE(OFFSET($CX$3,0,0,'Données projet'!$E$13+1,1))-AVERAGE(OFFSET($H$3,0,0,'Données projet'!$E$13+1,1))</f>
        <v>280.47174439810988</v>
      </c>
      <c r="CZ67" s="62">
        <f t="shared" si="42"/>
        <v>231.19476400361157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0.94196944284162021</v>
      </c>
      <c r="DH67" s="23">
        <f>EXP(-LN(2)/2)*DH66+(1-EXP(-LN(2)/2))/(LN(2)/2)*DB67*DE67*VLOOKUP('Données projet'!$B$13,Paramètres!$A$1:$I$89,3,0)*0.475*44/12</f>
        <v>1.6119583656568453E-4</v>
      </c>
      <c r="DI67" s="24">
        <f t="shared" si="15"/>
        <v>0.94213063867818592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</v>
      </c>
      <c r="DO67" s="13">
        <f>IF('Données projet'!$A$166&gt;35,DO66+DN67-DW66,IF(A67&lt;'Données projet'!$A$166,$DL$205^A67,IF(A67='Données projet'!$A$166,'Données projet'!$B$166,DO66+DN67-DW66)))</f>
        <v>380.00000000000023</v>
      </c>
      <c r="DP67" s="18">
        <f>DO67*VLOOKUP('Données projet'!$B$14,Paramètres!$A$1:$I$89,3,0)*VLOOKUP('Données projet'!$B$14,Paramètres!$A$1:$I$89,5,0)</f>
        <v>227.24000000000018</v>
      </c>
      <c r="DQ67" s="14">
        <f t="shared" si="43"/>
        <v>55.685486340484253</v>
      </c>
      <c r="DR67" s="22">
        <f t="shared" si="16"/>
        <v>492.76188870967707</v>
      </c>
      <c r="DS67" s="62">
        <f t="shared" si="17"/>
        <v>786.09522204301038</v>
      </c>
      <c r="DT67" s="62">
        <f ca="1">AVERAGE(OFFSET($DS$3,0,0,'Données projet'!$E$14+1,1))-AVERAGE(OFFSET($H$3,0,0,'Données projet'!$E$14+1,1))</f>
        <v>282.98919020956595</v>
      </c>
      <c r="DU67" s="62">
        <f t="shared" si="44"/>
        <v>182.23565317232647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6.2472341462936384E-5</v>
      </c>
      <c r="ED67" s="24">
        <f t="shared" si="18"/>
        <v>6.2472341462936384E-5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9">
        <f t="shared" ref="H68:H131" si="56">(B68+E68+F68)*44/12+(C68+D68)*0.475*44/12</f>
        <v>386.26117232825266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11.839090909090912</v>
      </c>
      <c r="N68" s="14">
        <f>IF('Données projet'!$A$36&gt;35,N67+M68-V67,IF(A68&lt;'Données projet'!$A$36,$K$205^A68,IF(A68='Données projet'!$A$36,'Données projet'!$B$36,N67+M68-V67)))</f>
        <v>295.71727272727281</v>
      </c>
      <c r="O68" s="14">
        <f>N68*VLOOKUP('Données projet'!$B$9,Paramètres!$A$1:$I$89,3,0)*VLOOKUP('Données projet'!$B$9,Paramètres!$A$1:$I$89,5,0)</f>
        <v>138.39568363636369</v>
      </c>
      <c r="P68" s="14">
        <f t="shared" si="33"/>
        <v>35.929232975976582</v>
      </c>
      <c r="Q68" s="22">
        <f t="shared" si="54"/>
        <v>303.61589643315932</v>
      </c>
      <c r="R68" s="62">
        <f t="shared" si="55"/>
        <v>596.94922976649264</v>
      </c>
      <c r="S68" s="62">
        <f ca="1">AVERAGE(OFFSET($R$3,0,0,'Données projet'!$E$9+1,1))-AVERAGE(OFFSET($H$3,0,0,'Données projet'!$E$9+1,1))</f>
        <v>172.62653085905839</v>
      </c>
      <c r="T68" s="62">
        <f t="shared" si="34"/>
        <v>103.0747749312265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232.20600000000005</v>
      </c>
      <c r="AK68" s="14">
        <f t="shared" si="35"/>
        <v>56.759404991217572</v>
      </c>
      <c r="AL68" s="22">
        <f t="shared" ref="AL68:AL131" si="58">(AJ68+AK68)*0.475*44/12</f>
        <v>503.28141369303734</v>
      </c>
      <c r="AM68" s="62">
        <f t="shared" ref="AM68:AM131" si="59">AL68+(AD68+AE68)*44/12</f>
        <v>796.61474702637065</v>
      </c>
      <c r="AN68" s="62">
        <f ca="1">AVERAGE(OFFSET($AM$3,0,0,'Données projet'!$E$10+1,1))-AVERAGE(OFFSET($H$3,0,0,'Données projet'!$E$10+1,1))</f>
        <v>289.36126704091066</v>
      </c>
      <c r="AO68" s="62">
        <f t="shared" si="36"/>
        <v>195.3674411454258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207.19919999999999</v>
      </c>
      <c r="BF68" s="14">
        <f t="shared" si="37"/>
        <v>51.32306297366555</v>
      </c>
      <c r="BG68" s="22">
        <f t="shared" ref="BG68:BG131" si="61">(BE68+BF68)*0.475*44/12</f>
        <v>450.25960801246742</v>
      </c>
      <c r="BH68" s="62">
        <f t="shared" ref="BH68:BH131" si="62">BG68+(AY68+AZ68)*44/12</f>
        <v>743.59294134580068</v>
      </c>
      <c r="BI68" s="62">
        <f ca="1">AVERAGE(OFFSET($BH$3,0,0,'Données projet'!$E$11+1,1))-AVERAGE(OFFSET($H$3,0,0,'Données projet'!$E$11+1,1))</f>
        <v>250.17147737747007</v>
      </c>
      <c r="BJ68" s="62">
        <f t="shared" si="38"/>
        <v>172.25613380618552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229.00000000000003</v>
      </c>
      <c r="BZ68" s="14">
        <f>BY68*VLOOKUP('Données projet'!$B$12,Paramètres!$A$1:$I$89,3,0)*VLOOKUP('Données projet'!$B$12,Paramètres!$A$1:$I$89,5,0)</f>
        <v>246.49560000000002</v>
      </c>
      <c r="CA68" s="14">
        <f t="shared" si="39"/>
        <v>59.834910912017278</v>
      </c>
      <c r="CB68" s="22">
        <f t="shared" ref="CB68:CB131" si="64">(BZ68+CA68)*0.475*44/12</f>
        <v>533.52563983843004</v>
      </c>
      <c r="CC68" s="62">
        <f t="shared" ref="CC68:CC131" si="65">CB68+(BT68+BU68)*44/12</f>
        <v>826.85897317176341</v>
      </c>
      <c r="CD68" s="62">
        <f ca="1">AVERAGE(OFFSET($CC$3,0,0,'Données projet'!$E$12+1,1))-AVERAGE(OFFSET($H$3,0,0,'Données projet'!$E$12+1,1))</f>
        <v>311.71521576048417</v>
      </c>
      <c r="CE68" s="62">
        <f t="shared" si="40"/>
        <v>208.54841796921403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16.625</v>
      </c>
      <c r="CT68" s="13">
        <f>IF('Données projet'!$A$140&gt;35,CT67+CS68-DB67,IF(A68&lt;'Données projet'!$A$140,$CQ$205^A68,IF(A68='Données projet'!$A$140,'Données projet'!$B$140,CT67+CS68-DB67)))</f>
        <v>466.37500000000006</v>
      </c>
      <c r="CU68" s="18">
        <f>CT68*VLOOKUP('Données projet'!$B$13,Paramètres!$A$1:$I$89,3,0)*VLOOKUP('Données projet'!$B$13,Paramètres!$A$1:$I$89,5,0)</f>
        <v>278.89225000000005</v>
      </c>
      <c r="CV68" s="14">
        <f t="shared" si="41"/>
        <v>66.732855480271084</v>
      </c>
      <c r="CW68" s="22">
        <f t="shared" ref="CW68:CW131" si="67">(CU68+CV68)*0.475*44/12</f>
        <v>601.96372537813886</v>
      </c>
      <c r="CX68" s="62">
        <f t="shared" ref="CX68:CX131" si="68">CW68+(CO68+CP68)*44/12</f>
        <v>895.29705871147212</v>
      </c>
      <c r="CY68" s="62">
        <f ca="1">AVERAGE(OFFSET($CX$3,0,0,'Données projet'!$E$13+1,1))-AVERAGE(OFFSET($H$3,0,0,'Données projet'!$E$13+1,1))</f>
        <v>280.47174439810988</v>
      </c>
      <c r="CZ68" s="62">
        <f t="shared" si="42"/>
        <v>231.19476400361157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0.91621123889109601</v>
      </c>
      <c r="DH68" s="23">
        <f>EXP(-LN(2)/2)*DH67+(1-EXP(-LN(2)/2))/(LN(2)/2)*DB68*DE68*VLOOKUP('Données projet'!$B$13,Paramètres!$A$1:$I$89,3,0)*0.475*44/12</f>
        <v>1.1398266913463397E-4</v>
      </c>
      <c r="DI68" s="24">
        <f t="shared" ref="DI68:DI131" si="69">SUM(DF68:DH68)</f>
        <v>0.91632522156023066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7</v>
      </c>
      <c r="DO68" s="13">
        <f>IF('Données projet'!$A$166&gt;35,DO67+DN68-DW67,IF(A68&lt;'Données projet'!$A$166,$DL$205^A68,IF(A68='Données projet'!$A$166,'Données projet'!$B$166,DO67+DN68-DW67)))</f>
        <v>387.00000000000023</v>
      </c>
      <c r="DP68" s="18">
        <f>DO68*VLOOKUP('Données projet'!$B$14,Paramètres!$A$1:$I$89,3,0)*VLOOKUP('Données projet'!$B$14,Paramètres!$A$1:$I$89,5,0)</f>
        <v>231.42600000000016</v>
      </c>
      <c r="DQ68" s="14">
        <f t="shared" si="43"/>
        <v>56.590905067453271</v>
      </c>
      <c r="DR68" s="22">
        <f t="shared" ref="DR68:DR131" si="70">(DP68+DQ68)*0.475*44/12</f>
        <v>501.62944299248142</v>
      </c>
      <c r="DS68" s="62">
        <f t="shared" ref="DS68:DS131" si="71">DR68+(DJ68+DK68)*44/12</f>
        <v>794.96277632581473</v>
      </c>
      <c r="DT68" s="62">
        <f ca="1">AVERAGE(OFFSET($DS$3,0,0,'Données projet'!$E$14+1,1))-AVERAGE(OFFSET($H$3,0,0,'Données projet'!$E$14+1,1))</f>
        <v>282.98919020956595</v>
      </c>
      <c r="DU68" s="62">
        <f t="shared" si="44"/>
        <v>182.23565317232647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4.4174616285043838E-5</v>
      </c>
      <c r="ED68" s="24">
        <f t="shared" ref="ED68:ED131" si="72">SUM(EA68:EC68)</f>
        <v>4.4174616285043838E-5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9">
        <f t="shared" si="56"/>
        <v>388.20277749261015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11.839090909090912</v>
      </c>
      <c r="N69" s="14">
        <f>IF('Données projet'!$A$36&gt;35,N68+M69-V68,IF(A69&lt;'Données projet'!$A$36,$K$205^A69,IF(A69='Données projet'!$A$36,'Données projet'!$B$36,N68+M69-V68)))</f>
        <v>307.5563636363637</v>
      </c>
      <c r="O69" s="14">
        <f>N69*VLOOKUP('Données projet'!$B$9,Paramètres!$A$1:$I$89,3,0)*VLOOKUP('Données projet'!$B$9,Paramètres!$A$1:$I$89,5,0)</f>
        <v>143.93637818181821</v>
      </c>
      <c r="P69" s="14">
        <f t="shared" ref="P69:P132" si="87">EXP(-1.0587+0.8836*LN(O69)+0.284)</f>
        <v>37.197314011996127</v>
      </c>
      <c r="Q69" s="22">
        <f t="shared" si="54"/>
        <v>315.47451390422663</v>
      </c>
      <c r="R69" s="62">
        <f t="shared" si="55"/>
        <v>608.80784723755994</v>
      </c>
      <c r="S69" s="62">
        <f ca="1">AVERAGE(OFFSET($R$3,0,0,'Données projet'!$E$9+1,1))-AVERAGE(OFFSET($H$3,0,0,'Données projet'!$E$9+1,1))</f>
        <v>172.62653085905839</v>
      </c>
      <c r="T69" s="62">
        <f t="shared" ref="T69:T132" si="88">$T$3</f>
        <v>103.0747749312265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217.80720000000005</v>
      </c>
      <c r="AK69" s="14">
        <f t="shared" ref="AK69:AK132" si="89">EXP(-1.0587+0.8836*LN(AJ69)+0.284)</f>
        <v>53.638013973813976</v>
      </c>
      <c r="AL69" s="22">
        <f t="shared" si="58"/>
        <v>472.76708100439265</v>
      </c>
      <c r="AM69" s="62">
        <f t="shared" si="59"/>
        <v>766.10041433772597</v>
      </c>
      <c r="AN69" s="62">
        <f ca="1">AVERAGE(OFFSET($AM$3,0,0,'Données projet'!$E$10+1,1))-AVERAGE(OFFSET($H$3,0,0,'Données projet'!$E$10+1,1))</f>
        <v>289.36126704091066</v>
      </c>
      <c r="AO69" s="62">
        <f t="shared" ref="AO69:AO132" si="90">$AO$3</f>
        <v>195.3674411454258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194.35104000000004</v>
      </c>
      <c r="BF69" s="14">
        <f t="shared" ref="BF69:BF132" si="91">EXP(-1.0587+0.8836*LN(BE69)+0.284)</f>
        <v>48.500634729810159</v>
      </c>
      <c r="BG69" s="22">
        <f t="shared" si="61"/>
        <v>422.96666682108616</v>
      </c>
      <c r="BH69" s="62">
        <f t="shared" si="62"/>
        <v>716.30000015441942</v>
      </c>
      <c r="BI69" s="62">
        <f ca="1">AVERAGE(OFFSET($BH$3,0,0,'Données projet'!$E$11+1,1))-AVERAGE(OFFSET($H$3,0,0,'Données projet'!$E$11+1,1))</f>
        <v>250.17147737747007</v>
      </c>
      <c r="BJ69" s="62">
        <f t="shared" ref="BJ69:BJ132" si="92">$BJ$3</f>
        <v>172.25613380618552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214.80000000000004</v>
      </c>
      <c r="BZ69" s="14">
        <f>BY69*VLOOKUP('Données projet'!$B$12,Paramètres!$A$1:$I$89,3,0)*VLOOKUP('Données projet'!$B$12,Paramètres!$A$1:$I$89,5,0)</f>
        <v>231.21072000000004</v>
      </c>
      <c r="CA69" s="14">
        <f t="shared" ref="CA69:CA132" si="93">EXP(-1.0587+0.8836*LN(BZ69)+0.284)</f>
        <v>56.544387456445271</v>
      </c>
      <c r="CB69" s="22">
        <f t="shared" si="64"/>
        <v>501.17347881997563</v>
      </c>
      <c r="CC69" s="62">
        <f t="shared" si="65"/>
        <v>794.50681215330894</v>
      </c>
      <c r="CD69" s="62">
        <f ca="1">AVERAGE(OFFSET($CC$3,0,0,'Données projet'!$E$12+1,1))-AVERAGE(OFFSET($H$3,0,0,'Données projet'!$E$12+1,1))</f>
        <v>311.71521576048417</v>
      </c>
      <c r="CE69" s="62">
        <f t="shared" ref="CE69:CE132" si="94">$CE$3</f>
        <v>208.54841796921403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483</v>
      </c>
      <c r="CR69" s="13">
        <f>VLOOKUP(A69,'Données projet'!$A$139:$I$159,9,0)</f>
        <v>16.625</v>
      </c>
      <c r="CS69" s="13">
        <f t="array" ref="CS69">INDEX(CR:CR,MIN(IF(ISNUMBER(CR69:CR265),ROW(CR69:CR265),"")))</f>
        <v>16.625</v>
      </c>
      <c r="CT69" s="13">
        <f>IF('Données projet'!$A$140&gt;35,CT68+CS69-DB68,IF(A69&lt;'Données projet'!$A$140,$CQ$205^A69,IF(A69='Données projet'!$A$140,'Données projet'!$B$140,CT68+CS69-DB68)))</f>
        <v>483.00000000000006</v>
      </c>
      <c r="CU69" s="18">
        <f>CT69*VLOOKUP('Données projet'!$B$13,Paramètres!$A$1:$I$89,3,0)*VLOOKUP('Données projet'!$B$13,Paramètres!$A$1:$I$89,5,0)</f>
        <v>288.83400000000006</v>
      </c>
      <c r="CV69" s="14">
        <f t="shared" ref="CV69:CV132" si="95">EXP(-1.0587+0.8836*LN(CU69)+0.284)</f>
        <v>68.830498636563377</v>
      </c>
      <c r="CW69" s="22">
        <f t="shared" si="67"/>
        <v>622.932335125348</v>
      </c>
      <c r="CX69" s="62">
        <f t="shared" si="68"/>
        <v>916.26566845868138</v>
      </c>
      <c r="CY69" s="62">
        <f ca="1">AVERAGE(OFFSET($CX$3,0,0,'Données projet'!$E$13+1,1))-AVERAGE(OFFSET($H$3,0,0,'Données projet'!$E$13+1,1))</f>
        <v>280.47174439810988</v>
      </c>
      <c r="CZ69" s="62">
        <f t="shared" ref="CZ69:CZ132" si="96">$CZ$3</f>
        <v>231.19476400361157</v>
      </c>
      <c r="DA69" s="16">
        <f>IF(ISNA(VLOOKUP(A69,'Données projet'!$A$139:$I$159,3,0)),0,VLOOKUP(A69,'Données projet'!$A$139:$I$159,3,0))</f>
        <v>9</v>
      </c>
      <c r="DB69" s="16">
        <f>IF(ISNA(VLOOKUP(A69,'Données projet'!$A$139:$I$159,4,0)),0,VLOOKUP(A69,'Données projet'!$A$139:$I$159,4,0))</f>
        <v>65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0.89115739438216401</v>
      </c>
      <c r="DH69" s="23">
        <f>EXP(-LN(2)/2)*DH68+(1-EXP(-LN(2)/2))/(LN(2)/2)*DB69*DE69*VLOOKUP('Données projet'!$B$13,Paramètres!$A$1:$I$89,3,0)*0.475*44/12</f>
        <v>8.0597918282842264E-5</v>
      </c>
      <c r="DI69" s="24">
        <f t="shared" si="69"/>
        <v>0.89123799230044687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7</v>
      </c>
      <c r="DO69" s="13">
        <f>IF('Données projet'!$A$166&gt;35,DO68+DN69-DW68,IF(A69&lt;'Données projet'!$A$166,$DL$205^A69,IF(A69='Données projet'!$A$166,'Données projet'!$B$166,DO68+DN69-DW68)))</f>
        <v>394.00000000000023</v>
      </c>
      <c r="DP69" s="18">
        <f>DO69*VLOOKUP('Données projet'!$B$14,Paramètres!$A$1:$I$89,3,0)*VLOOKUP('Données projet'!$B$14,Paramètres!$A$1:$I$89,5,0)</f>
        <v>235.61200000000017</v>
      </c>
      <c r="DQ69" s="14">
        <f t="shared" ref="DQ69:DQ132" si="97">EXP(-1.0587+0.8836*LN(DP69)+0.284)</f>
        <v>57.494419397561742</v>
      </c>
      <c r="DR69" s="22">
        <f t="shared" si="70"/>
        <v>510.49368045075363</v>
      </c>
      <c r="DS69" s="62">
        <f t="shared" si="71"/>
        <v>803.82701378408694</v>
      </c>
      <c r="DT69" s="62">
        <f ca="1">AVERAGE(OFFSET($DS$3,0,0,'Données projet'!$E$14+1,1))-AVERAGE(OFFSET($H$3,0,0,'Données projet'!$E$14+1,1))</f>
        <v>282.98919020956595</v>
      </c>
      <c r="DU69" s="62">
        <f t="shared" ref="DU69:DU132" si="98">$DU$3</f>
        <v>182.23565317232647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3.1236170731468192E-5</v>
      </c>
      <c r="ED69" s="24">
        <f t="shared" si="72"/>
        <v>3.1236170731468192E-5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9">
        <f t="shared" si="56"/>
        <v>390.14369028019127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11.839090909090912</v>
      </c>
      <c r="N70" s="14">
        <f>IF('Données projet'!$A$36&gt;35,N69+M70-V69,IF(A70&lt;'Données projet'!$A$36,$K$205^A70,IF(A70='Données projet'!$A$36,'Données projet'!$B$36,N69+M70-V69)))</f>
        <v>319.39545454545458</v>
      </c>
      <c r="O70" s="14">
        <f>N70*VLOOKUP('Données projet'!$B$9,Paramètres!$A$1:$I$89,3,0)*VLOOKUP('Données projet'!$B$9,Paramètres!$A$1:$I$89,5,0)</f>
        <v>149.47707272727274</v>
      </c>
      <c r="P70" s="14">
        <f t="shared" si="87"/>
        <v>38.459724378788593</v>
      </c>
      <c r="Q70" s="22">
        <f t="shared" si="54"/>
        <v>327.32325495972344</v>
      </c>
      <c r="R70" s="62">
        <f t="shared" si="55"/>
        <v>620.65658829305676</v>
      </c>
      <c r="S70" s="62">
        <f ca="1">AVERAGE(OFFSET($R$3,0,0,'Données projet'!$E$9+1,1))-AVERAGE(OFFSET($H$3,0,0,'Données projet'!$E$9+1,1))</f>
        <v>172.62653085905839</v>
      </c>
      <c r="T70" s="62">
        <f t="shared" si="88"/>
        <v>103.0747749312265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224.7024000000001</v>
      </c>
      <c r="AK70" s="14">
        <f t="shared" si="89"/>
        <v>55.135667706678312</v>
      </c>
      <c r="AL70" s="22">
        <f t="shared" si="58"/>
        <v>487.38463458913157</v>
      </c>
      <c r="AM70" s="62">
        <f t="shared" si="59"/>
        <v>780.71796792246482</v>
      </c>
      <c r="AN70" s="62">
        <f ca="1">AVERAGE(OFFSET($AM$3,0,0,'Données projet'!$E$10+1,1))-AVERAGE(OFFSET($H$3,0,0,'Données projet'!$E$10+1,1))</f>
        <v>289.36126704091066</v>
      </c>
      <c r="AO70" s="62">
        <f t="shared" si="90"/>
        <v>195.3674411454258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200.50368000000003</v>
      </c>
      <c r="BF70" s="14">
        <f t="shared" si="91"/>
        <v>49.854845135229887</v>
      </c>
      <c r="BG70" s="22">
        <f t="shared" si="61"/>
        <v>436.04109794385869</v>
      </c>
      <c r="BH70" s="62">
        <f t="shared" si="62"/>
        <v>729.374431277192</v>
      </c>
      <c r="BI70" s="62">
        <f ca="1">AVERAGE(OFFSET($BH$3,0,0,'Données projet'!$E$11+1,1))-AVERAGE(OFFSET($H$3,0,0,'Données projet'!$E$11+1,1))</f>
        <v>250.17147737747007</v>
      </c>
      <c r="BJ70" s="62">
        <f t="shared" si="92"/>
        <v>172.25613380618552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221.60000000000005</v>
      </c>
      <c r="BZ70" s="14">
        <f>BY70*VLOOKUP('Données projet'!$B$12,Paramètres!$A$1:$I$89,3,0)*VLOOKUP('Données projet'!$B$12,Paramètres!$A$1:$I$89,5,0)</f>
        <v>238.53024000000005</v>
      </c>
      <c r="CA70" s="14">
        <f t="shared" si="93"/>
        <v>58.123191492478597</v>
      </c>
      <c r="CB70" s="22">
        <f t="shared" si="64"/>
        <v>516.6713931827336</v>
      </c>
      <c r="CC70" s="62">
        <f t="shared" si="65"/>
        <v>810.00472651606697</v>
      </c>
      <c r="CD70" s="62">
        <f ca="1">AVERAGE(OFFSET($CC$3,0,0,'Données projet'!$E$12+1,1))-AVERAGE(OFFSET($H$3,0,0,'Données projet'!$E$12+1,1))</f>
        <v>311.71521576048417</v>
      </c>
      <c r="CE70" s="62">
        <f t="shared" si="94"/>
        <v>208.54841796921403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12.875</v>
      </c>
      <c r="CT70" s="13">
        <f>IF('Données projet'!$A$140&gt;35,CT69+CS70-DB69,IF(A70&lt;'Données projet'!$A$140,$CQ$205^A70,IF(A70='Données projet'!$A$140,'Données projet'!$B$140,CT69+CS70-DB69)))</f>
        <v>430.87500000000006</v>
      </c>
      <c r="CU70" s="18">
        <f>CT70*VLOOKUP('Données projet'!$B$13,Paramètres!$A$1:$I$89,3,0)*VLOOKUP('Données projet'!$B$13,Paramètres!$A$1:$I$89,5,0)</f>
        <v>257.66325000000006</v>
      </c>
      <c r="CV70" s="14">
        <f t="shared" si="95"/>
        <v>62.224015868041043</v>
      </c>
      <c r="CW70" s="22">
        <f t="shared" si="67"/>
        <v>557.13698805350487</v>
      </c>
      <c r="CX70" s="62">
        <f t="shared" si="68"/>
        <v>850.47032138683812</v>
      </c>
      <c r="CY70" s="62">
        <f ca="1">AVERAGE(OFFSET($CX$3,0,0,'Données projet'!$E$13+1,1))-AVERAGE(OFFSET($H$3,0,0,'Données projet'!$E$13+1,1))</f>
        <v>280.47174439810988</v>
      </c>
      <c r="CZ70" s="62">
        <f t="shared" si="96"/>
        <v>231.19476400361157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0.86678864856885318</v>
      </c>
      <c r="DH70" s="23">
        <f>EXP(-LN(2)/2)*DH69+(1-EXP(-LN(2)/2))/(LN(2)/2)*DB70*DE70*VLOOKUP('Données projet'!$B$13,Paramètres!$A$1:$I$89,3,0)*0.475*44/12</f>
        <v>5.6991334567316983E-5</v>
      </c>
      <c r="DI70" s="24">
        <f t="shared" si="69"/>
        <v>0.86684563990342045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7</v>
      </c>
      <c r="DO70" s="13">
        <f>IF('Données projet'!$A$166&gt;35,DO69+DN70-DW69,IF(A70&lt;'Données projet'!$A$166,$DL$205^A70,IF(A70='Données projet'!$A$166,'Données projet'!$B$166,DO69+DN70-DW69)))</f>
        <v>401.00000000000023</v>
      </c>
      <c r="DP70" s="18">
        <f>DO70*VLOOKUP('Données projet'!$B$14,Paramètres!$A$1:$I$89,3,0)*VLOOKUP('Données projet'!$B$14,Paramètres!$A$1:$I$89,5,0)</f>
        <v>239.79800000000017</v>
      </c>
      <c r="DQ70" s="14">
        <f t="shared" si="97"/>
        <v>58.396067068575292</v>
      </c>
      <c r="DR70" s="22">
        <f t="shared" si="70"/>
        <v>519.35466681110222</v>
      </c>
      <c r="DS70" s="62">
        <f t="shared" si="71"/>
        <v>812.68800014443559</v>
      </c>
      <c r="DT70" s="62">
        <f ca="1">AVERAGE(OFFSET($DS$3,0,0,'Données projet'!$E$14+1,1))-AVERAGE(OFFSET($H$3,0,0,'Données projet'!$E$14+1,1))</f>
        <v>282.98919020956595</v>
      </c>
      <c r="DU70" s="62">
        <f t="shared" si="98"/>
        <v>182.23565317232647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2.2087308142521919E-5</v>
      </c>
      <c r="ED70" s="24">
        <f t="shared" si="72"/>
        <v>2.2087308142521919E-5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9">
        <f t="shared" si="56"/>
        <v>392.08392221869906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11.839090909090912</v>
      </c>
      <c r="N71" s="14">
        <f>IF('Données projet'!$A$36&gt;35,N70+M71-V70,IF(A71&lt;'Données projet'!$A$36,$K$205^A71,IF(A71='Données projet'!$A$36,'Données projet'!$B$36,N70+M71-V70)))</f>
        <v>331.23454545454547</v>
      </c>
      <c r="O71" s="14">
        <f>N71*VLOOKUP('Données projet'!$B$9,Paramètres!$A$1:$I$89,3,0)*VLOOKUP('Données projet'!$B$9,Paramètres!$A$1:$I$89,5,0)</f>
        <v>155.01776727272727</v>
      </c>
      <c r="P71" s="14">
        <f t="shared" si="87"/>
        <v>39.716698342545101</v>
      </c>
      <c r="Q71" s="22">
        <f t="shared" si="54"/>
        <v>339.16252761326604</v>
      </c>
      <c r="R71" s="62">
        <f t="shared" si="55"/>
        <v>632.49586094659935</v>
      </c>
      <c r="S71" s="62">
        <f ca="1">AVERAGE(OFFSET($R$3,0,0,'Données projet'!$E$9+1,1))-AVERAGE(OFFSET($H$3,0,0,'Données projet'!$E$9+1,1))</f>
        <v>172.62653085905839</v>
      </c>
      <c r="T71" s="62">
        <f t="shared" si="88"/>
        <v>103.0747749312265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231.59760000000006</v>
      </c>
      <c r="AK71" s="14">
        <f t="shared" si="89"/>
        <v>56.627980714948151</v>
      </c>
      <c r="AL71" s="22">
        <f t="shared" si="58"/>
        <v>501.99288641186803</v>
      </c>
      <c r="AM71" s="62">
        <f t="shared" si="59"/>
        <v>795.32621974520134</v>
      </c>
      <c r="AN71" s="62">
        <f ca="1">AVERAGE(OFFSET($AM$3,0,0,'Données projet'!$E$10+1,1))-AVERAGE(OFFSET($H$3,0,0,'Données projet'!$E$10+1,1))</f>
        <v>289.36126704091066</v>
      </c>
      <c r="AO71" s="62">
        <f t="shared" si="90"/>
        <v>195.3674411454258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206.65632000000005</v>
      </c>
      <c r="BF71" s="14">
        <f t="shared" si="91"/>
        <v>51.20422634371338</v>
      </c>
      <c r="BG71" s="22">
        <f t="shared" si="61"/>
        <v>449.10711821530089</v>
      </c>
      <c r="BH71" s="62">
        <f t="shared" si="62"/>
        <v>742.4404515486342</v>
      </c>
      <c r="BI71" s="62">
        <f ca="1">AVERAGE(OFFSET($BH$3,0,0,'Données projet'!$E$11+1,1))-AVERAGE(OFFSET($H$3,0,0,'Données projet'!$E$11+1,1))</f>
        <v>250.17147737747007</v>
      </c>
      <c r="BJ71" s="62">
        <f t="shared" si="92"/>
        <v>172.25613380618552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228.40000000000006</v>
      </c>
      <c r="BZ71" s="14">
        <f>BY71*VLOOKUP('Données projet'!$B$12,Paramètres!$A$1:$I$89,3,0)*VLOOKUP('Données projet'!$B$12,Paramètres!$A$1:$I$89,5,0)</f>
        <v>245.84976000000006</v>
      </c>
      <c r="CA71" s="14">
        <f t="shared" si="93"/>
        <v>59.696365416984804</v>
      </c>
      <c r="CB71" s="22">
        <f t="shared" si="64"/>
        <v>532.15950176791534</v>
      </c>
      <c r="CC71" s="62">
        <f t="shared" si="65"/>
        <v>825.4928351012486</v>
      </c>
      <c r="CD71" s="62">
        <f ca="1">AVERAGE(OFFSET($CC$3,0,0,'Données projet'!$E$12+1,1))-AVERAGE(OFFSET($H$3,0,0,'Données projet'!$E$12+1,1))</f>
        <v>311.71521576048417</v>
      </c>
      <c r="CE71" s="62">
        <f t="shared" si="94"/>
        <v>208.54841796921403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12.875</v>
      </c>
      <c r="CT71" s="13">
        <f>IF('Données projet'!$A$140&gt;35,CT70+CS71-DB70,IF(A71&lt;'Données projet'!$A$140,$CQ$205^A71,IF(A71='Données projet'!$A$140,'Données projet'!$B$140,CT70+CS71-DB70)))</f>
        <v>443.75000000000006</v>
      </c>
      <c r="CU71" s="18">
        <f>CT71*VLOOKUP('Données projet'!$B$13,Paramètres!$A$1:$I$89,3,0)*VLOOKUP('Données projet'!$B$13,Paramètres!$A$1:$I$89,5,0)</f>
        <v>265.36250000000007</v>
      </c>
      <c r="CV71" s="14">
        <f t="shared" si="95"/>
        <v>63.864084559847946</v>
      </c>
      <c r="CW71" s="22">
        <f t="shared" si="67"/>
        <v>573.40296810840198</v>
      </c>
      <c r="CX71" s="62">
        <f t="shared" si="68"/>
        <v>866.73630144173535</v>
      </c>
      <c r="CY71" s="62">
        <f ca="1">AVERAGE(OFFSET($CX$3,0,0,'Données projet'!$E$13+1,1))-AVERAGE(OFFSET($H$3,0,0,'Données projet'!$E$13+1,1))</f>
        <v>280.47174439810988</v>
      </c>
      <c r="CZ71" s="62">
        <f t="shared" si="96"/>
        <v>231.19476400361157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0.84308626739130399</v>
      </c>
      <c r="DH71" s="23">
        <f>EXP(-LN(2)/2)*DH70+(1-EXP(-LN(2)/2))/(LN(2)/2)*DB71*DE71*VLOOKUP('Données projet'!$B$13,Paramètres!$A$1:$I$89,3,0)*0.475*44/12</f>
        <v>4.0298959141421132E-5</v>
      </c>
      <c r="DI71" s="24">
        <f t="shared" si="69"/>
        <v>0.84312656635044536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7</v>
      </c>
      <c r="DO71" s="13">
        <f>IF('Données projet'!$A$166&gt;35,DO70+DN71-DW70,IF(A71&lt;'Données projet'!$A$166,$DL$205^A71,IF(A71='Données projet'!$A$166,'Données projet'!$B$166,DO70+DN71-DW70)))</f>
        <v>408.00000000000023</v>
      </c>
      <c r="DP71" s="18">
        <f>DO71*VLOOKUP('Données projet'!$B$14,Paramètres!$A$1:$I$89,3,0)*VLOOKUP('Données projet'!$B$14,Paramètres!$A$1:$I$89,5,0)</f>
        <v>243.98400000000015</v>
      </c>
      <c r="DQ71" s="14">
        <f t="shared" si="97"/>
        <v>59.295884425255011</v>
      </c>
      <c r="DR71" s="22">
        <f t="shared" si="70"/>
        <v>528.21246537398599</v>
      </c>
      <c r="DS71" s="62">
        <f t="shared" si="71"/>
        <v>821.54579870731936</v>
      </c>
      <c r="DT71" s="62">
        <f ca="1">AVERAGE(OFFSET($DS$3,0,0,'Données projet'!$E$14+1,1))-AVERAGE(OFFSET($H$3,0,0,'Données projet'!$E$14+1,1))</f>
        <v>282.98919020956595</v>
      </c>
      <c r="DU71" s="62">
        <f t="shared" si="98"/>
        <v>182.23565317232647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1.5618085365734096E-5</v>
      </c>
      <c r="ED71" s="24">
        <f t="shared" si="72"/>
        <v>1.5618085365734096E-5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9">
        <f t="shared" si="56"/>
        <v>394.02348447732243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11.839090909090912</v>
      </c>
      <c r="N72" s="14">
        <f>IF('Données projet'!$A$36&gt;35,N71+M72-V71,IF(A72&lt;'Données projet'!$A$36,$K$205^A72,IF(A72='Données projet'!$A$36,'Données projet'!$B$36,N71+M72-V71)))</f>
        <v>343.07363636363635</v>
      </c>
      <c r="O72" s="14">
        <f>N72*VLOOKUP('Données projet'!$B$9,Paramètres!$A$1:$I$89,3,0)*VLOOKUP('Données projet'!$B$9,Paramètres!$A$1:$I$89,5,0)</f>
        <v>160.5584618181818</v>
      </c>
      <c r="P72" s="14">
        <f t="shared" si="87"/>
        <v>40.968452473706499</v>
      </c>
      <c r="Q72" s="22">
        <f t="shared" si="54"/>
        <v>350.9927090583721</v>
      </c>
      <c r="R72" s="62">
        <f t="shared" si="55"/>
        <v>644.32604239170541</v>
      </c>
      <c r="S72" s="62">
        <f ca="1">AVERAGE(OFFSET($R$3,0,0,'Données projet'!$E$9+1,1))-AVERAGE(OFFSET($H$3,0,0,'Données projet'!$E$9+1,1))</f>
        <v>172.62653085905839</v>
      </c>
      <c r="T72" s="62">
        <f t="shared" si="88"/>
        <v>103.0747749312265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238.4928000000001</v>
      </c>
      <c r="AK72" s="14">
        <f t="shared" si="89"/>
        <v>58.115130258576592</v>
      </c>
      <c r="AL72" s="22">
        <f t="shared" si="58"/>
        <v>516.59214520035437</v>
      </c>
      <c r="AM72" s="62">
        <f t="shared" si="59"/>
        <v>809.92547853368774</v>
      </c>
      <c r="AN72" s="62">
        <f ca="1">AVERAGE(OFFSET($AM$3,0,0,'Données projet'!$E$10+1,1))-AVERAGE(OFFSET($H$3,0,0,'Données projet'!$E$10+1,1))</f>
        <v>289.36126704091066</v>
      </c>
      <c r="AO72" s="62">
        <f t="shared" si="90"/>
        <v>195.3674411454258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212.80896000000004</v>
      </c>
      <c r="BF72" s="14">
        <f t="shared" si="91"/>
        <v>52.54893863748589</v>
      </c>
      <c r="BG72" s="22">
        <f t="shared" si="61"/>
        <v>462.16500679362139</v>
      </c>
      <c r="BH72" s="62">
        <f t="shared" si="62"/>
        <v>755.49834012695464</v>
      </c>
      <c r="BI72" s="62">
        <f ca="1">AVERAGE(OFFSET($BH$3,0,0,'Données projet'!$E$11+1,1))-AVERAGE(OFFSET($H$3,0,0,'Données projet'!$E$11+1,1))</f>
        <v>250.17147737747007</v>
      </c>
      <c r="BJ72" s="62">
        <f t="shared" si="92"/>
        <v>172.25613380618552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235.20000000000007</v>
      </c>
      <c r="BZ72" s="14">
        <f>BY72*VLOOKUP('Données projet'!$B$12,Paramètres!$A$1:$I$89,3,0)*VLOOKUP('Données projet'!$B$12,Paramètres!$A$1:$I$89,5,0)</f>
        <v>253.16928000000007</v>
      </c>
      <c r="CA72" s="14">
        <f t="shared" si="93"/>
        <v>61.264096094739848</v>
      </c>
      <c r="CB72" s="22">
        <f t="shared" si="64"/>
        <v>547.63813003167195</v>
      </c>
      <c r="CC72" s="62">
        <f t="shared" si="65"/>
        <v>840.97146336500532</v>
      </c>
      <c r="CD72" s="62">
        <f ca="1">AVERAGE(OFFSET($CC$3,0,0,'Données projet'!$E$12+1,1))-AVERAGE(OFFSET($H$3,0,0,'Données projet'!$E$12+1,1))</f>
        <v>311.71521576048417</v>
      </c>
      <c r="CE72" s="62">
        <f t="shared" si="94"/>
        <v>208.54841796921403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12.875</v>
      </c>
      <c r="CT72" s="13">
        <f>IF('Données projet'!$A$140&gt;35,CT71+CS72-DB71,IF(A72&lt;'Données projet'!$A$140,$CQ$205^A72,IF(A72='Données projet'!$A$140,'Données projet'!$B$140,CT71+CS72-DB71)))</f>
        <v>456.62500000000006</v>
      </c>
      <c r="CU72" s="18">
        <f>CT72*VLOOKUP('Données projet'!$B$13,Paramètres!$A$1:$I$89,3,0)*VLOOKUP('Données projet'!$B$13,Paramètres!$A$1:$I$89,5,0)</f>
        <v>273.06175000000007</v>
      </c>
      <c r="CV72" s="14">
        <f t="shared" si="95"/>
        <v>65.49862286970442</v>
      </c>
      <c r="CW72" s="22">
        <f t="shared" si="67"/>
        <v>589.65931608140193</v>
      </c>
      <c r="CX72" s="62">
        <f t="shared" si="68"/>
        <v>882.9926494147353</v>
      </c>
      <c r="CY72" s="62">
        <f ca="1">AVERAGE(OFFSET($CX$3,0,0,'Données projet'!$E$13+1,1))-AVERAGE(OFFSET($H$3,0,0,'Données projet'!$E$13+1,1))</f>
        <v>280.47174439810988</v>
      </c>
      <c r="CZ72" s="62">
        <f t="shared" si="96"/>
        <v>231.19476400361157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0.82003202907350892</v>
      </c>
      <c r="DH72" s="23">
        <f>EXP(-LN(2)/2)*DH71+(1-EXP(-LN(2)/2))/(LN(2)/2)*DB72*DE72*VLOOKUP('Données projet'!$B$13,Paramètres!$A$1:$I$89,3,0)*0.475*44/12</f>
        <v>2.8495667283658492E-5</v>
      </c>
      <c r="DI72" s="24">
        <f t="shared" si="69"/>
        <v>0.82006052474079261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7</v>
      </c>
      <c r="DO72" s="13">
        <f>IF('Données projet'!$A$166&gt;35,DO71+DN72-DW71,IF(A72&lt;'Données projet'!$A$166,$DL$205^A72,IF(A72='Données projet'!$A$166,'Données projet'!$B$166,DO71+DN72-DW71)))</f>
        <v>415.00000000000023</v>
      </c>
      <c r="DP72" s="18">
        <f>DO72*VLOOKUP('Données projet'!$B$14,Paramètres!$A$1:$I$89,3,0)*VLOOKUP('Données projet'!$B$14,Paramètres!$A$1:$I$89,5,0)</f>
        <v>248.17000000000016</v>
      </c>
      <c r="DQ72" s="14">
        <f t="shared" si="97"/>
        <v>60.193906493778854</v>
      </c>
      <c r="DR72" s="22">
        <f t="shared" si="70"/>
        <v>537.06713714333182</v>
      </c>
      <c r="DS72" s="62">
        <f t="shared" si="71"/>
        <v>830.40047047666508</v>
      </c>
      <c r="DT72" s="62">
        <f ca="1">AVERAGE(OFFSET($DS$3,0,0,'Données projet'!$E$14+1,1))-AVERAGE(OFFSET($H$3,0,0,'Données projet'!$E$14+1,1))</f>
        <v>282.98919020956595</v>
      </c>
      <c r="DU72" s="62">
        <f t="shared" si="98"/>
        <v>182.23565317232647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1.104365407126096E-5</v>
      </c>
      <c r="ED72" s="24">
        <f t="shared" si="72"/>
        <v>1.104365407126096E-5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9">
        <f t="shared" si="56"/>
        <v>395.96238788291669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11.839090909090912</v>
      </c>
      <c r="N73" s="14">
        <f>IF('Données projet'!$A$36&gt;35,N72+M73-V72,IF(A73&lt;'Données projet'!$A$36,$K$205^A73,IF(A73='Données projet'!$A$36,'Données projet'!$B$36,N72+M73-V72)))</f>
        <v>354.91272727272724</v>
      </c>
      <c r="O73" s="14">
        <f>N73*VLOOKUP('Données projet'!$B$9,Paramètres!$A$1:$I$89,3,0)*VLOOKUP('Données projet'!$B$9,Paramètres!$A$1:$I$89,5,0)</f>
        <v>166.09915636363635</v>
      </c>
      <c r="P73" s="14">
        <f t="shared" si="87"/>
        <v>42.215187547754574</v>
      </c>
      <c r="Q73" s="22">
        <f t="shared" si="54"/>
        <v>362.81414897900578</v>
      </c>
      <c r="R73" s="62">
        <f t="shared" si="55"/>
        <v>656.14748231233909</v>
      </c>
      <c r="S73" s="62">
        <f ca="1">AVERAGE(OFFSET($R$3,0,0,'Données projet'!$E$9+1,1))-AVERAGE(OFFSET($H$3,0,0,'Données projet'!$E$9+1,1))</f>
        <v>172.62653085905839</v>
      </c>
      <c r="T73" s="62">
        <f t="shared" si="88"/>
        <v>103.0747749312265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245.38800000000012</v>
      </c>
      <c r="AK73" s="14">
        <f t="shared" si="89"/>
        <v>59.597282764919569</v>
      </c>
      <c r="AL73" s="22">
        <f t="shared" si="58"/>
        <v>531.18270081556841</v>
      </c>
      <c r="AM73" s="62">
        <f t="shared" si="59"/>
        <v>824.51603414890178</v>
      </c>
      <c r="AN73" s="62">
        <f ca="1">AVERAGE(OFFSET($AM$3,0,0,'Données projet'!$E$10+1,1))-AVERAGE(OFFSET($H$3,0,0,'Données projet'!$E$10+1,1))</f>
        <v>289.36126704091066</v>
      </c>
      <c r="AO73" s="62">
        <f t="shared" si="90"/>
        <v>195.3674411454258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218.96160000000006</v>
      </c>
      <c r="BF73" s="14">
        <f t="shared" si="91"/>
        <v>53.88913250370743</v>
      </c>
      <c r="BG73" s="22">
        <f t="shared" si="61"/>
        <v>475.21502577729046</v>
      </c>
      <c r="BH73" s="62">
        <f t="shared" si="62"/>
        <v>768.54835911062378</v>
      </c>
      <c r="BI73" s="62">
        <f ca="1">AVERAGE(OFFSET($BH$3,0,0,'Données projet'!$E$11+1,1))-AVERAGE(OFFSET($H$3,0,0,'Données projet'!$E$11+1,1))</f>
        <v>250.17147737747007</v>
      </c>
      <c r="BJ73" s="62">
        <f t="shared" si="92"/>
        <v>172.25613380618552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242.00000000000009</v>
      </c>
      <c r="BZ73" s="14">
        <f>BY73*VLOOKUP('Données projet'!$B$12,Paramètres!$A$1:$I$89,3,0)*VLOOKUP('Données projet'!$B$12,Paramètres!$A$1:$I$89,5,0)</f>
        <v>260.48880000000008</v>
      </c>
      <c r="CA73" s="14">
        <f t="shared" si="93"/>
        <v>62.826558970958821</v>
      </c>
      <c r="CB73" s="22">
        <f t="shared" si="64"/>
        <v>563.10758354108668</v>
      </c>
      <c r="CC73" s="62">
        <f t="shared" si="65"/>
        <v>856.44091687442005</v>
      </c>
      <c r="CD73" s="62">
        <f ca="1">AVERAGE(OFFSET($CC$3,0,0,'Données projet'!$E$12+1,1))-AVERAGE(OFFSET($H$3,0,0,'Données projet'!$E$12+1,1))</f>
        <v>311.71521576048417</v>
      </c>
      <c r="CE73" s="62">
        <f t="shared" si="94"/>
        <v>208.54841796921403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12.875</v>
      </c>
      <c r="CT73" s="13">
        <f>IF('Données projet'!$A$140&gt;35,CT72+CS73-DB72,IF(A73&lt;'Données projet'!$A$140,$CQ$205^A73,IF(A73='Données projet'!$A$140,'Données projet'!$B$140,CT72+CS73-DB72)))</f>
        <v>469.50000000000006</v>
      </c>
      <c r="CU73" s="18">
        <f>CT73*VLOOKUP('Données projet'!$B$13,Paramètres!$A$1:$I$89,3,0)*VLOOKUP('Données projet'!$B$13,Paramètres!$A$1:$I$89,5,0)</f>
        <v>280.76100000000002</v>
      </c>
      <c r="CV73" s="14">
        <f t="shared" si="95"/>
        <v>67.12780464438184</v>
      </c>
      <c r="CW73" s="22">
        <f t="shared" si="67"/>
        <v>605.90633475563175</v>
      </c>
      <c r="CX73" s="62">
        <f t="shared" si="68"/>
        <v>899.23966808896512</v>
      </c>
      <c r="CY73" s="62">
        <f ca="1">AVERAGE(OFFSET($CX$3,0,0,'Données projet'!$E$13+1,1))-AVERAGE(OFFSET($H$3,0,0,'Données projet'!$E$13+1,1))</f>
        <v>280.47174439810988</v>
      </c>
      <c r="CZ73" s="62">
        <f t="shared" si="96"/>
        <v>231.19476400361157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0.79760821011488359</v>
      </c>
      <c r="DH73" s="23">
        <f>EXP(-LN(2)/2)*DH72+(1-EXP(-LN(2)/2))/(LN(2)/2)*DB73*DE73*VLOOKUP('Données projet'!$B$13,Paramètres!$A$1:$I$89,3,0)*0.475*44/12</f>
        <v>2.0149479570710566E-5</v>
      </c>
      <c r="DI73" s="24">
        <f t="shared" si="69"/>
        <v>0.79762835959445433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422</v>
      </c>
      <c r="DM73" s="13">
        <f>VLOOKUP(A73,'Données projet'!$A$165:$I$185,9,0)</f>
        <v>7</v>
      </c>
      <c r="DN73" s="13">
        <f t="array" ref="DN73">INDEX(DM:DM,MIN(IF(ISNUMBER(DM73:DM269),ROW(DM73:DM269),"")))</f>
        <v>7</v>
      </c>
      <c r="DO73" s="13">
        <f>IF('Données projet'!$A$166&gt;35,DO72+DN73-DW72,IF(A73&lt;'Données projet'!$A$166,$DL$205^A73,IF(A73='Données projet'!$A$166,'Données projet'!$B$166,DO72+DN73-DW72)))</f>
        <v>422.00000000000023</v>
      </c>
      <c r="DP73" s="18">
        <f>DO73*VLOOKUP('Données projet'!$B$14,Paramètres!$A$1:$I$89,3,0)*VLOOKUP('Données projet'!$B$14,Paramètres!$A$1:$I$89,5,0)</f>
        <v>252.35600000000017</v>
      </c>
      <c r="DQ73" s="14">
        <f t="shared" si="97"/>
        <v>61.090167050998808</v>
      </c>
      <c r="DR73" s="22">
        <f t="shared" si="70"/>
        <v>545.91874094715649</v>
      </c>
      <c r="DS73" s="62">
        <f t="shared" si="71"/>
        <v>839.25207428048975</v>
      </c>
      <c r="DT73" s="62">
        <f ca="1">AVERAGE(OFFSET($DS$3,0,0,'Données projet'!$E$14+1,1))-AVERAGE(OFFSET($H$3,0,0,'Données projet'!$E$14+1,1))</f>
        <v>282.98919020956595</v>
      </c>
      <c r="DU73" s="62">
        <f t="shared" si="98"/>
        <v>182.23565317232647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26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7.8090426828670481E-6</v>
      </c>
      <c r="ED73" s="24">
        <f t="shared" si="72"/>
        <v>7.8090426828670481E-6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9">
        <f t="shared" si="56"/>
        <v>397.90064293523346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11.839090909090912</v>
      </c>
      <c r="N74" s="14">
        <f>IF('Données projet'!$A$36&gt;35,N73+M74-V73,IF(A74&lt;'Données projet'!$A$36,$K$205^A74,IF(A74='Données projet'!$A$36,'Données projet'!$B$36,N73+M74-V73)))</f>
        <v>366.75181818181812</v>
      </c>
      <c r="O74" s="14">
        <f>N74*VLOOKUP('Données projet'!$B$9,Paramètres!$A$1:$I$89,3,0)*VLOOKUP('Données projet'!$B$9,Paramètres!$A$1:$I$89,5,0)</f>
        <v>171.63985090909088</v>
      </c>
      <c r="P74" s="14">
        <f t="shared" si="87"/>
        <v>43.45709018525416</v>
      </c>
      <c r="Q74" s="22">
        <f t="shared" si="54"/>
        <v>374.62717240598425</v>
      </c>
      <c r="R74" s="62">
        <f t="shared" si="55"/>
        <v>667.96050573931757</v>
      </c>
      <c r="S74" s="62">
        <f ca="1">AVERAGE(OFFSET($R$3,0,0,'Données projet'!$E$9+1,1))-AVERAGE(OFFSET($H$3,0,0,'Données projet'!$E$9+1,1))</f>
        <v>172.62653085905839</v>
      </c>
      <c r="T74" s="62">
        <f t="shared" si="88"/>
        <v>103.0747749312265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230.5836000000001</v>
      </c>
      <c r="AK74" s="14">
        <f t="shared" si="89"/>
        <v>56.408850878328018</v>
      </c>
      <c r="AL74" s="22">
        <f t="shared" si="58"/>
        <v>499.84518527975473</v>
      </c>
      <c r="AM74" s="62">
        <f t="shared" si="59"/>
        <v>793.17851861308804</v>
      </c>
      <c r="AN74" s="62">
        <f ca="1">AVERAGE(OFFSET($AM$3,0,0,'Données projet'!$E$10+1,1))-AVERAGE(OFFSET($H$3,0,0,'Données projet'!$E$10+1,1))</f>
        <v>289.36126704091066</v>
      </c>
      <c r="AO74" s="62">
        <f t="shared" si="90"/>
        <v>195.3674411454258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205.75152000000008</v>
      </c>
      <c r="BF74" s="14">
        <f t="shared" si="91"/>
        <v>51.006084477955554</v>
      </c>
      <c r="BG74" s="22">
        <f t="shared" si="61"/>
        <v>447.18616113243934</v>
      </c>
      <c r="BH74" s="62">
        <f t="shared" si="62"/>
        <v>740.5194944657726</v>
      </c>
      <c r="BI74" s="62">
        <f ca="1">AVERAGE(OFFSET($BH$3,0,0,'Données projet'!$E$11+1,1))-AVERAGE(OFFSET($H$3,0,0,'Données projet'!$E$11+1,1))</f>
        <v>250.17147737747007</v>
      </c>
      <c r="BJ74" s="62">
        <f t="shared" si="92"/>
        <v>172.25613380618552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6.4</v>
      </c>
      <c r="BY74" s="13">
        <f>IF('Données projet'!$A$114&gt;35,BY73+BX74-CG73,IF(A74&lt;'Données projet'!$A$114,$BV$205^A74,IF(A74='Données projet'!$A$114,'Données projet'!$B$114,BY73+BX74-CG73)))</f>
        <v>227.40000000000009</v>
      </c>
      <c r="BZ74" s="14">
        <f>BY74*VLOOKUP('Données projet'!$B$12,Paramètres!$A$1:$I$89,3,0)*VLOOKUP('Données projet'!$B$12,Paramètres!$A$1:$I$89,5,0)</f>
        <v>244.77336000000011</v>
      </c>
      <c r="CA74" s="14">
        <f t="shared" si="93"/>
        <v>59.465362039582246</v>
      </c>
      <c r="CB74" s="22">
        <f t="shared" si="64"/>
        <v>529.88244088560589</v>
      </c>
      <c r="CC74" s="62">
        <f t="shared" si="65"/>
        <v>823.21577421893926</v>
      </c>
      <c r="CD74" s="62">
        <f ca="1">AVERAGE(OFFSET($CC$3,0,0,'Données projet'!$E$12+1,1))-AVERAGE(OFFSET($H$3,0,0,'Données projet'!$E$12+1,1))</f>
        <v>311.71521576048417</v>
      </c>
      <c r="CE74" s="62">
        <f t="shared" si="94"/>
        <v>208.54841796921403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12.875</v>
      </c>
      <c r="CT74" s="13">
        <f>IF('Données projet'!$A$140&gt;35,CT73+CS74-DB73,IF(A74&lt;'Données projet'!$A$140,$CQ$205^A74,IF(A74='Données projet'!$A$140,'Données projet'!$B$140,CT73+CS74-DB73)))</f>
        <v>482.37500000000006</v>
      </c>
      <c r="CU74" s="18">
        <f>CT74*VLOOKUP('Données projet'!$B$13,Paramètres!$A$1:$I$89,3,0)*VLOOKUP('Données projet'!$B$13,Paramètres!$A$1:$I$89,5,0)</f>
        <v>288.46025000000009</v>
      </c>
      <c r="CV74" s="14">
        <f t="shared" si="95"/>
        <v>68.75179365327233</v>
      </c>
      <c r="CW74" s="22">
        <f t="shared" si="67"/>
        <v>622.14430936278279</v>
      </c>
      <c r="CX74" s="62">
        <f t="shared" si="68"/>
        <v>915.47764269611616</v>
      </c>
      <c r="CY74" s="62">
        <f ca="1">AVERAGE(OFFSET($CX$3,0,0,'Données projet'!$E$13+1,1))-AVERAGE(OFFSET($H$3,0,0,'Données projet'!$E$13+1,1))</f>
        <v>280.47174439810988</v>
      </c>
      <c r="CZ74" s="62">
        <f t="shared" si="96"/>
        <v>231.19476400361157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0.77579757166489927</v>
      </c>
      <c r="DH74" s="23">
        <f>EXP(-LN(2)/2)*DH73+(1-EXP(-LN(2)/2))/(LN(2)/2)*DB74*DE74*VLOOKUP('Données projet'!$B$13,Paramètres!$A$1:$I$89,3,0)*0.475*44/12</f>
        <v>1.4247833641829246E-5</v>
      </c>
      <c r="DI74" s="24">
        <f t="shared" si="69"/>
        <v>0.77581181949854106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</v>
      </c>
      <c r="DO74" s="13">
        <f>IF('Données projet'!$A$166&gt;35,DO73+DN74-DW73,IF(A74&lt;'Données projet'!$A$166,$DL$205^A74,IF(A74='Données projet'!$A$166,'Données projet'!$B$166,DO73+DN74-DW73)))</f>
        <v>402.00000000000023</v>
      </c>
      <c r="DP74" s="18">
        <f>DO74*VLOOKUP('Données projet'!$B$14,Paramètres!$A$1:$I$89,3,0)*VLOOKUP('Données projet'!$B$14,Paramètres!$A$1:$I$89,5,0)</f>
        <v>240.39600000000013</v>
      </c>
      <c r="DQ74" s="14">
        <f t="shared" si="97"/>
        <v>58.524723634421655</v>
      </c>
      <c r="DR74" s="22">
        <f t="shared" si="70"/>
        <v>520.62026032995118</v>
      </c>
      <c r="DS74" s="62">
        <f t="shared" si="71"/>
        <v>813.95359366328444</v>
      </c>
      <c r="DT74" s="62">
        <f ca="1">AVERAGE(OFFSET($DS$3,0,0,'Données projet'!$E$14+1,1))-AVERAGE(OFFSET($H$3,0,0,'Données projet'!$E$14+1,1))</f>
        <v>282.98919020956595</v>
      </c>
      <c r="DU74" s="62">
        <f t="shared" si="98"/>
        <v>182.23565317232647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5.5218270356304798E-6</v>
      </c>
      <c r="ED74" s="24">
        <f t="shared" si="72"/>
        <v>5.5218270356304798E-6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9">
        <f t="shared" si="56"/>
        <v>399.83825982126905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11.839090909090912</v>
      </c>
      <c r="N75" s="14">
        <f>IF('Données projet'!$A$36&gt;35,N74+M75-V74,IF(A75&lt;'Données projet'!$A$36,$K$205^A75,IF(A75='Données projet'!$A$36,'Données projet'!$B$36,N74+M75-V74)))</f>
        <v>378.59090909090901</v>
      </c>
      <c r="O75" s="14">
        <f>N75*VLOOKUP('Données projet'!$B$9,Paramètres!$A$1:$I$89,3,0)*VLOOKUP('Données projet'!$B$9,Paramètres!$A$1:$I$89,5,0)</f>
        <v>177.18054545454541</v>
      </c>
      <c r="P75" s="14">
        <f t="shared" si="87"/>
        <v>44.694334274178139</v>
      </c>
      <c r="Q75" s="22">
        <f t="shared" si="54"/>
        <v>386.43208219419353</v>
      </c>
      <c r="R75" s="62">
        <f t="shared" si="55"/>
        <v>679.76541552752678</v>
      </c>
      <c r="S75" s="62">
        <f ca="1">AVERAGE(OFFSET($R$3,0,0,'Données projet'!$E$9+1,1))-AVERAGE(OFFSET($H$3,0,0,'Données projet'!$E$9+1,1))</f>
        <v>172.62653085905839</v>
      </c>
      <c r="T75" s="62">
        <f t="shared" si="88"/>
        <v>103.0747749312265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237.0732000000001</v>
      </c>
      <c r="AK75" s="14">
        <f t="shared" si="89"/>
        <v>57.809366223361302</v>
      </c>
      <c r="AL75" s="22">
        <f t="shared" si="58"/>
        <v>513.58713617235435</v>
      </c>
      <c r="AM75" s="62">
        <f t="shared" si="59"/>
        <v>806.92046950568761</v>
      </c>
      <c r="AN75" s="62">
        <f ca="1">AVERAGE(OFFSET($AM$3,0,0,'Données projet'!$E$10+1,1))-AVERAGE(OFFSET($H$3,0,0,'Données projet'!$E$10+1,1))</f>
        <v>289.36126704091066</v>
      </c>
      <c r="AO75" s="62">
        <f t="shared" si="90"/>
        <v>195.3674411454258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211.54224000000008</v>
      </c>
      <c r="BF75" s="14">
        <f t="shared" si="91"/>
        <v>52.272460284041784</v>
      </c>
      <c r="BG75" s="22">
        <f t="shared" si="61"/>
        <v>459.47726966137287</v>
      </c>
      <c r="BH75" s="62">
        <f t="shared" si="62"/>
        <v>752.81060299470619</v>
      </c>
      <c r="BI75" s="62">
        <f ca="1">AVERAGE(OFFSET($BH$3,0,0,'Données projet'!$E$11+1,1))-AVERAGE(OFFSET($H$3,0,0,'Données projet'!$E$11+1,1))</f>
        <v>250.17147737747007</v>
      </c>
      <c r="BJ75" s="62">
        <f t="shared" si="92"/>
        <v>172.25613380618552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6.4</v>
      </c>
      <c r="BY75" s="13">
        <f>IF('Données projet'!$A$114&gt;35,BY74+BX75-CG74,IF(A75&lt;'Données projet'!$A$114,$BV$205^A75,IF(A75='Données projet'!$A$114,'Données projet'!$B$114,BY74+BX75-CG74)))</f>
        <v>233.8000000000001</v>
      </c>
      <c r="BZ75" s="14">
        <f>BY75*VLOOKUP('Données projet'!$B$12,Paramètres!$A$1:$I$89,3,0)*VLOOKUP('Données projet'!$B$12,Paramètres!$A$1:$I$89,5,0)</f>
        <v>251.66232000000011</v>
      </c>
      <c r="CA75" s="14">
        <f t="shared" si="93"/>
        <v>60.94176424841347</v>
      </c>
      <c r="CB75" s="22">
        <f t="shared" si="64"/>
        <v>544.45211339932041</v>
      </c>
      <c r="CC75" s="62">
        <f t="shared" si="65"/>
        <v>837.78544673265378</v>
      </c>
      <c r="CD75" s="62">
        <f ca="1">AVERAGE(OFFSET($CC$3,0,0,'Données projet'!$E$12+1,1))-AVERAGE(OFFSET($H$3,0,0,'Données projet'!$E$12+1,1))</f>
        <v>311.71521576048417</v>
      </c>
      <c r="CE75" s="62">
        <f t="shared" si="94"/>
        <v>208.54841796921403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12.875</v>
      </c>
      <c r="CT75" s="13">
        <f>IF('Données projet'!$A$140&gt;35,CT74+CS75-DB74,IF(A75&lt;'Données projet'!$A$140,$CQ$205^A75,IF(A75='Données projet'!$A$140,'Données projet'!$B$140,CT74+CS75-DB74)))</f>
        <v>495.25000000000006</v>
      </c>
      <c r="CU75" s="18">
        <f>CT75*VLOOKUP('Données projet'!$B$13,Paramètres!$A$1:$I$89,3,0)*VLOOKUP('Données projet'!$B$13,Paramètres!$A$1:$I$89,5,0)</f>
        <v>296.15950000000004</v>
      </c>
      <c r="CV75" s="14">
        <f t="shared" si="95"/>
        <v>70.370744425720076</v>
      </c>
      <c r="CW75" s="22">
        <f t="shared" si="67"/>
        <v>638.37350904146251</v>
      </c>
      <c r="CX75" s="62">
        <f t="shared" si="68"/>
        <v>931.70684237479577</v>
      </c>
      <c r="CY75" s="62">
        <f ca="1">AVERAGE(OFFSET($CX$3,0,0,'Données projet'!$E$13+1,1))-AVERAGE(OFFSET($H$3,0,0,'Données projet'!$E$13+1,1))</f>
        <v>280.47174439810988</v>
      </c>
      <c r="CZ75" s="62">
        <f t="shared" si="96"/>
        <v>231.19476400361157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0.75458334627030144</v>
      </c>
      <c r="DH75" s="23">
        <f>EXP(-LN(2)/2)*DH74+(1-EXP(-LN(2)/2))/(LN(2)/2)*DB75*DE75*VLOOKUP('Données projet'!$B$13,Paramètres!$A$1:$I$89,3,0)*0.475*44/12</f>
        <v>1.0074739785355283E-5</v>
      </c>
      <c r="DI75" s="24">
        <f t="shared" si="69"/>
        <v>0.75459342101008675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</v>
      </c>
      <c r="DO75" s="13">
        <f>IF('Données projet'!$A$166&gt;35,DO74+DN75-DW74,IF(A75&lt;'Données projet'!$A$166,$DL$205^A75,IF(A75='Données projet'!$A$166,'Données projet'!$B$166,DO74+DN75-DW74)))</f>
        <v>408.00000000000023</v>
      </c>
      <c r="DP75" s="18">
        <f>DO75*VLOOKUP('Données projet'!$B$14,Paramètres!$A$1:$I$89,3,0)*VLOOKUP('Données projet'!$B$14,Paramètres!$A$1:$I$89,5,0)</f>
        <v>243.98400000000015</v>
      </c>
      <c r="DQ75" s="14">
        <f t="shared" si="97"/>
        <v>59.295884425255011</v>
      </c>
      <c r="DR75" s="22">
        <f t="shared" si="70"/>
        <v>528.21246537398599</v>
      </c>
      <c r="DS75" s="62">
        <f t="shared" si="71"/>
        <v>821.54579870731936</v>
      </c>
      <c r="DT75" s="62">
        <f ca="1">AVERAGE(OFFSET($DS$3,0,0,'Données projet'!$E$14+1,1))-AVERAGE(OFFSET($H$3,0,0,'Données projet'!$E$14+1,1))</f>
        <v>282.98919020956595</v>
      </c>
      <c r="DU75" s="62">
        <f t="shared" si="98"/>
        <v>182.23565317232647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3.904521341433524E-6</v>
      </c>
      <c r="ED75" s="24">
        <f t="shared" si="72"/>
        <v>3.904521341433524E-6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9">
        <f t="shared" si="56"/>
        <v>401.77524842879154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>
        <f>VLOOKUP(A76,'Données projet'!$A$35:$I$55,2,0)</f>
        <v>390.43</v>
      </c>
      <c r="L76" s="13">
        <f>VLOOKUP(A76,'Données projet'!$A$35:$I$55,9,0)</f>
        <v>11.839090909090912</v>
      </c>
      <c r="M76" s="13">
        <f t="array" ref="M76">INDEX(L:L,MIN(IF(ISNUMBER(L76:L272),ROW(L76:L272),"")))</f>
        <v>11.839090909090912</v>
      </c>
      <c r="N76" s="14">
        <f>IF('Données projet'!$A$36&gt;35,N75+M76-V75,IF(A76&lt;'Données projet'!$A$36,$K$205^A76,IF(A76='Données projet'!$A$36,'Données projet'!$B$36,N75+M76-V75)))</f>
        <v>390.42999999999989</v>
      </c>
      <c r="O76" s="14">
        <f>N76*VLOOKUP('Données projet'!$B$9,Paramètres!$A$1:$I$89,3,0)*VLOOKUP('Données projet'!$B$9,Paramètres!$A$1:$I$89,5,0)</f>
        <v>182.72123999999994</v>
      </c>
      <c r="P76" s="14">
        <f t="shared" si="87"/>
        <v>45.927082209321753</v>
      </c>
      <c r="Q76" s="22">
        <f t="shared" si="54"/>
        <v>398.22916118123521</v>
      </c>
      <c r="R76" s="62">
        <f t="shared" si="55"/>
        <v>691.56249451456847</v>
      </c>
      <c r="S76" s="62">
        <f ca="1">AVERAGE(OFFSET($R$3,0,0,'Données projet'!$E$9+1,1))-AVERAGE(OFFSET($H$3,0,0,'Données projet'!$E$9+1,1))</f>
        <v>172.62653085905839</v>
      </c>
      <c r="T76" s="62">
        <f t="shared" si="88"/>
        <v>103.0747749312265</v>
      </c>
      <c r="U76" s="16">
        <f>IF(ISNA(VLOOKUP(A76,'Données projet'!$A$35:$I$55,3,0)),0,VLOOKUP(A76,'Données projet'!$A$35:$I$55,3,0))</f>
        <v>7</v>
      </c>
      <c r="V76" s="16">
        <f>IF(ISNA(VLOOKUP(A76,'Données projet'!$A$35:$I$55,4,0)),0,VLOOKUP(A76,'Données projet'!$A$35:$I$55,4,0))</f>
        <v>102.1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243.56280000000012</v>
      </c>
      <c r="AK76" s="14">
        <f t="shared" si="89"/>
        <v>59.205425601852873</v>
      </c>
      <c r="AL76" s="22">
        <f t="shared" si="58"/>
        <v>527.32132625656061</v>
      </c>
      <c r="AM76" s="62">
        <f t="shared" si="59"/>
        <v>820.65465958989398</v>
      </c>
      <c r="AN76" s="62">
        <f ca="1">AVERAGE(OFFSET($AM$3,0,0,'Données projet'!$E$10+1,1))-AVERAGE(OFFSET($H$3,0,0,'Données projet'!$E$10+1,1))</f>
        <v>289.36126704091066</v>
      </c>
      <c r="AO76" s="62">
        <f t="shared" si="90"/>
        <v>195.3674411454258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217.3329600000001</v>
      </c>
      <c r="BF76" s="14">
        <f t="shared" si="91"/>
        <v>53.53480691026855</v>
      </c>
      <c r="BG76" s="22">
        <f t="shared" si="61"/>
        <v>471.76136070205121</v>
      </c>
      <c r="BH76" s="62">
        <f t="shared" si="62"/>
        <v>765.09469403538446</v>
      </c>
      <c r="BI76" s="62">
        <f ca="1">AVERAGE(OFFSET($BH$3,0,0,'Données projet'!$E$11+1,1))-AVERAGE(OFFSET($H$3,0,0,'Données projet'!$E$11+1,1))</f>
        <v>250.17147737747007</v>
      </c>
      <c r="BJ76" s="62">
        <f t="shared" si="92"/>
        <v>172.25613380618552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6.4</v>
      </c>
      <c r="BY76" s="13">
        <f>IF('Données projet'!$A$114&gt;35,BY75+BX76-CG75,IF(A76&lt;'Données projet'!$A$114,$BV$205^A76,IF(A76='Données projet'!$A$114,'Données projet'!$B$114,BY75+BX76-CG75)))</f>
        <v>240.2000000000001</v>
      </c>
      <c r="BZ76" s="14">
        <f>BY76*VLOOKUP('Données projet'!$B$12,Paramètres!$A$1:$I$89,3,0)*VLOOKUP('Données projet'!$B$12,Paramètres!$A$1:$I$89,5,0)</f>
        <v>258.55128000000008</v>
      </c>
      <c r="CA76" s="14">
        <f t="shared" si="93"/>
        <v>62.413469044347373</v>
      </c>
      <c r="CB76" s="22">
        <f t="shared" si="64"/>
        <v>559.01360458557178</v>
      </c>
      <c r="CC76" s="62">
        <f t="shared" si="65"/>
        <v>852.34693791890504</v>
      </c>
      <c r="CD76" s="62">
        <f ca="1">AVERAGE(OFFSET($CC$3,0,0,'Données projet'!$E$12+1,1))-AVERAGE(OFFSET($H$3,0,0,'Données projet'!$E$12+1,1))</f>
        <v>311.71521576048417</v>
      </c>
      <c r="CE76" s="62">
        <f t="shared" si="94"/>
        <v>208.54841796921403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12.875</v>
      </c>
      <c r="CT76" s="13">
        <f>IF('Données projet'!$A$140&gt;35,CT75+CS76-DB75,IF(A76&lt;'Données projet'!$A$140,$CQ$205^A76,IF(A76='Données projet'!$A$140,'Données projet'!$B$140,CT75+CS76-DB75)))</f>
        <v>508.12500000000006</v>
      </c>
      <c r="CU76" s="18">
        <f>CT76*VLOOKUP('Données projet'!$B$13,Paramètres!$A$1:$I$89,3,0)*VLOOKUP('Données projet'!$B$13,Paramètres!$A$1:$I$89,5,0)</f>
        <v>303.85875000000004</v>
      </c>
      <c r="CV76" s="14">
        <f t="shared" si="95"/>
        <v>71.984802998830631</v>
      </c>
      <c r="CW76" s="22">
        <f t="shared" si="67"/>
        <v>654.59418813963009</v>
      </c>
      <c r="CX76" s="62">
        <f t="shared" si="68"/>
        <v>947.92752147296346</v>
      </c>
      <c r="CY76" s="62">
        <f ca="1">AVERAGE(OFFSET($CX$3,0,0,'Données projet'!$E$13+1,1))-AVERAGE(OFFSET($H$3,0,0,'Données projet'!$E$13+1,1))</f>
        <v>280.47174439810988</v>
      </c>
      <c r="CZ76" s="62">
        <f t="shared" si="96"/>
        <v>231.19476400361157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0.73394922498472648</v>
      </c>
      <c r="DH76" s="23">
        <f>EXP(-LN(2)/2)*DH75+(1-EXP(-LN(2)/2))/(LN(2)/2)*DB76*DE76*VLOOKUP('Données projet'!$B$13,Paramètres!$A$1:$I$89,3,0)*0.475*44/12</f>
        <v>7.1239168209146229E-6</v>
      </c>
      <c r="DI76" s="24">
        <f t="shared" si="69"/>
        <v>0.73395634890154737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</v>
      </c>
      <c r="DO76" s="13">
        <f>IF('Données projet'!$A$166&gt;35,DO75+DN76-DW75,IF(A76&lt;'Données projet'!$A$166,$DL$205^A76,IF(A76='Données projet'!$A$166,'Données projet'!$B$166,DO75+DN76-DW75)))</f>
        <v>414.00000000000023</v>
      </c>
      <c r="DP76" s="18">
        <f>DO76*VLOOKUP('Données projet'!$B$14,Paramètres!$A$1:$I$89,3,0)*VLOOKUP('Données projet'!$B$14,Paramètres!$A$1:$I$89,5,0)</f>
        <v>247.57200000000014</v>
      </c>
      <c r="DQ76" s="14">
        <f t="shared" si="97"/>
        <v>60.065726249156576</v>
      </c>
      <c r="DR76" s="22">
        <f t="shared" si="70"/>
        <v>535.80237321728134</v>
      </c>
      <c r="DS76" s="62">
        <f t="shared" si="71"/>
        <v>829.13570655061471</v>
      </c>
      <c r="DT76" s="62">
        <f ca="1">AVERAGE(OFFSET($DS$3,0,0,'Données projet'!$E$14+1,1))-AVERAGE(OFFSET($H$3,0,0,'Données projet'!$E$14+1,1))</f>
        <v>282.98919020956595</v>
      </c>
      <c r="DU76" s="62">
        <f t="shared" si="98"/>
        <v>182.23565317232647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2.7609135178152399E-6</v>
      </c>
      <c r="ED76" s="24">
        <f t="shared" si="72"/>
        <v>2.7609135178152399E-6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9">
        <f t="shared" si="56"/>
        <v>403.71161835910709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299.35000000000002</v>
      </c>
      <c r="L77" s="13">
        <f>VLOOKUP(A77,'Données projet'!$A$35:$I$55,9,0)</f>
        <v>11.019999999999982</v>
      </c>
      <c r="M77" s="13">
        <f t="array" ref="M77">INDEX(L:L,MIN(IF(ISNUMBER(L77:L273),ROW(L77:L273),"")))</f>
        <v>11.019999999999982</v>
      </c>
      <c r="N77" s="14">
        <f>IF('Données projet'!$A$36&gt;35,N76+M77-V76,IF(A77&lt;'Données projet'!$A$36,$K$205^A77,IF(A77='Données projet'!$A$36,'Données projet'!$B$36,N76+M77-V76)))</f>
        <v>299.34999999999991</v>
      </c>
      <c r="O77" s="14">
        <f>N77*VLOOKUP('Données projet'!$B$9,Paramètres!$A$1:$I$89,3,0)*VLOOKUP('Données projet'!$B$9,Paramètres!$A$1:$I$89,5,0)</f>
        <v>140.09579999999997</v>
      </c>
      <c r="P77" s="14">
        <f t="shared" si="87"/>
        <v>36.318951055936495</v>
      </c>
      <c r="Q77" s="22">
        <f t="shared" si="54"/>
        <v>307.25569142242267</v>
      </c>
      <c r="R77" s="62">
        <f t="shared" si="55"/>
        <v>600.58902475575599</v>
      </c>
      <c r="S77" s="62">
        <f ca="1">AVERAGE(OFFSET($R$3,0,0,'Données projet'!$E$9+1,1))-AVERAGE(OFFSET($H$3,0,0,'Données projet'!$E$9+1,1))</f>
        <v>172.62653085905839</v>
      </c>
      <c r="T77" s="62">
        <f t="shared" si="88"/>
        <v>103.0747749312265</v>
      </c>
      <c r="U77" s="16">
        <f>IF(ISNA(VLOOKUP(A77,'Données projet'!$A$35:$I$55,3,0)),0,VLOOKUP(A77,'Données projet'!$A$35:$I$55,3,0))</f>
        <v>8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250.05240000000012</v>
      </c>
      <c r="AK77" s="14">
        <f t="shared" si="89"/>
        <v>60.597161386823522</v>
      </c>
      <c r="AL77" s="22">
        <f t="shared" si="58"/>
        <v>541.04798608205112</v>
      </c>
      <c r="AM77" s="62">
        <f t="shared" si="59"/>
        <v>834.3813194153845</v>
      </c>
      <c r="AN77" s="62">
        <f ca="1">AVERAGE(OFFSET($AM$3,0,0,'Données projet'!$E$10+1,1))-AVERAGE(OFFSET($H$3,0,0,'Données projet'!$E$10+1,1))</f>
        <v>289.36126704091066</v>
      </c>
      <c r="AO77" s="62">
        <f t="shared" si="90"/>
        <v>195.3674411454258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223.12368000000009</v>
      </c>
      <c r="BF77" s="14">
        <f t="shared" si="91"/>
        <v>54.793244051140647</v>
      </c>
      <c r="BG77" s="22">
        <f t="shared" si="61"/>
        <v>484.03864272240349</v>
      </c>
      <c r="BH77" s="62">
        <f t="shared" si="62"/>
        <v>777.37197605573681</v>
      </c>
      <c r="BI77" s="62">
        <f ca="1">AVERAGE(OFFSET($BH$3,0,0,'Données projet'!$E$11+1,1))-AVERAGE(OFFSET($H$3,0,0,'Données projet'!$E$11+1,1))</f>
        <v>250.17147737747007</v>
      </c>
      <c r="BJ77" s="62">
        <f t="shared" si="92"/>
        <v>172.25613380618552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6.4</v>
      </c>
      <c r="BY77" s="13">
        <f>IF('Données projet'!$A$114&gt;35,BY76+BX77-CG76,IF(A77&lt;'Données projet'!$A$114,$BV$205^A77,IF(A77='Données projet'!$A$114,'Données projet'!$B$114,BY76+BX77-CG76)))</f>
        <v>246.60000000000011</v>
      </c>
      <c r="BZ77" s="14">
        <f>BY77*VLOOKUP('Données projet'!$B$12,Paramètres!$A$1:$I$89,3,0)*VLOOKUP('Données projet'!$B$12,Paramètres!$A$1:$I$89,5,0)</f>
        <v>265.44024000000007</v>
      </c>
      <c r="CA77" s="14">
        <f t="shared" si="93"/>
        <v>63.880615973031119</v>
      </c>
      <c r="CB77" s="22">
        <f t="shared" si="64"/>
        <v>573.56715748636259</v>
      </c>
      <c r="CC77" s="62">
        <f t="shared" si="65"/>
        <v>866.90049081969596</v>
      </c>
      <c r="CD77" s="62">
        <f ca="1">AVERAGE(OFFSET($CC$3,0,0,'Données projet'!$E$12+1,1))-AVERAGE(OFFSET($H$3,0,0,'Données projet'!$E$12+1,1))</f>
        <v>311.71521576048417</v>
      </c>
      <c r="CE77" s="62">
        <f t="shared" si="94"/>
        <v>208.54841796921403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>
        <f>VLOOKUP(A77,'Données projet'!$A$139:$I$159,2,0)</f>
        <v>521</v>
      </c>
      <c r="CR77" s="13">
        <f>VLOOKUP(A77,'Données projet'!$A$139:$I$159,9,0)</f>
        <v>12.875</v>
      </c>
      <c r="CS77" s="13">
        <f t="array" ref="CS77">INDEX(CR:CR,MIN(IF(ISNUMBER(CR77:CR273),ROW(CR77:CR273),"")))</f>
        <v>12.875</v>
      </c>
      <c r="CT77" s="13">
        <f>IF('Données projet'!$A$140&gt;35,CT76+CS77-DB76,IF(A77&lt;'Données projet'!$A$140,$CQ$205^A77,IF(A77='Données projet'!$A$140,'Données projet'!$B$140,CT76+CS77-DB76)))</f>
        <v>521</v>
      </c>
      <c r="CU77" s="18">
        <f>CT77*VLOOKUP('Données projet'!$B$13,Paramètres!$A$1:$I$89,3,0)*VLOOKUP('Données projet'!$B$13,Paramètres!$A$1:$I$89,5,0)</f>
        <v>311.55799999999999</v>
      </c>
      <c r="CV77" s="14">
        <f t="shared" si="95"/>
        <v>73.594107587354372</v>
      </c>
      <c r="CW77" s="22">
        <f t="shared" si="67"/>
        <v>670.80658738130876</v>
      </c>
      <c r="CX77" s="62">
        <f t="shared" si="68"/>
        <v>964.13992071464213</v>
      </c>
      <c r="CY77" s="62">
        <f ca="1">AVERAGE(OFFSET($CX$3,0,0,'Données projet'!$E$13+1,1))-AVERAGE(OFFSET($H$3,0,0,'Données projet'!$E$13+1,1))</f>
        <v>280.47174439810988</v>
      </c>
      <c r="CZ77" s="62">
        <f t="shared" si="96"/>
        <v>231.19476400361157</v>
      </c>
      <c r="DA77" s="16">
        <f>IF(ISNA(VLOOKUP(A77,'Données projet'!$A$139:$I$159,3,0)),0,VLOOKUP(A77,'Données projet'!$A$139:$I$159,3,0))</f>
        <v>10</v>
      </c>
      <c r="DB77" s="16">
        <f>IF(ISNA(VLOOKUP(A77,'Données projet'!$A$139:$I$159,4,0)),0,VLOOKUP(A77,'Données projet'!$A$139:$I$159,4,0))</f>
        <v>37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0.71387934483080684</v>
      </c>
      <c r="DH77" s="23">
        <f>EXP(-LN(2)/2)*DH76+(1-EXP(-LN(2)/2))/(LN(2)/2)*DB77*DE77*VLOOKUP('Données projet'!$B$13,Paramètres!$A$1:$I$89,3,0)*0.475*44/12</f>
        <v>5.0373698926776415E-6</v>
      </c>
      <c r="DI77" s="24">
        <f t="shared" si="69"/>
        <v>0.7138843822006995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</v>
      </c>
      <c r="DO77" s="13">
        <f>IF('Données projet'!$A$166&gt;35,DO76+DN77-DW76,IF(A77&lt;'Données projet'!$A$166,$DL$205^A77,IF(A77='Données projet'!$A$166,'Données projet'!$B$166,DO76+DN77-DW76)))</f>
        <v>420.00000000000023</v>
      </c>
      <c r="DP77" s="18">
        <f>DO77*VLOOKUP('Données projet'!$B$14,Paramètres!$A$1:$I$89,3,0)*VLOOKUP('Données projet'!$B$14,Paramètres!$A$1:$I$89,5,0)</f>
        <v>251.16000000000014</v>
      </c>
      <c r="DQ77" s="14">
        <f t="shared" si="97"/>
        <v>60.834270430141594</v>
      </c>
      <c r="DR77" s="22">
        <f t="shared" si="70"/>
        <v>543.39002099916354</v>
      </c>
      <c r="DS77" s="62">
        <f t="shared" si="71"/>
        <v>836.72335433249691</v>
      </c>
      <c r="DT77" s="62">
        <f ca="1">AVERAGE(OFFSET($DS$3,0,0,'Données projet'!$E$14+1,1))-AVERAGE(OFFSET($H$3,0,0,'Données projet'!$E$14+1,1))</f>
        <v>282.98919020956595</v>
      </c>
      <c r="DU77" s="62">
        <f t="shared" si="98"/>
        <v>182.23565317232647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1.952260670716762E-6</v>
      </c>
      <c r="ED77" s="24">
        <f t="shared" si="72"/>
        <v>1.952260670716762E-6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9">
        <f t="shared" si="56"/>
        <v>405.64737893911513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10.962</v>
      </c>
      <c r="N78" s="14">
        <f>IF('Données projet'!$A$36&gt;35,N77+M78-V77,IF(A78&lt;'Données projet'!$A$36,$K$205^A78,IF(A78='Données projet'!$A$36,'Données projet'!$B$36,N77+M78-V77)))</f>
        <v>310.3119999999999</v>
      </c>
      <c r="O78" s="14">
        <f>N78*VLOOKUP('Données projet'!$B$9,Paramètres!$A$1:$I$89,3,0)*VLOOKUP('Données projet'!$B$9,Paramètres!$A$1:$I$89,5,0)</f>
        <v>145.22601599999996</v>
      </c>
      <c r="P78" s="14">
        <f t="shared" si="87"/>
        <v>37.491646840474047</v>
      </c>
      <c r="Q78" s="22">
        <f t="shared" si="54"/>
        <v>318.23326278049223</v>
      </c>
      <c r="R78" s="62">
        <f t="shared" si="55"/>
        <v>611.56659611382554</v>
      </c>
      <c r="S78" s="62">
        <f ca="1">AVERAGE(OFFSET($R$3,0,0,'Données projet'!$E$9+1,1))-AVERAGE(OFFSET($H$3,0,0,'Données projet'!$E$9+1,1))</f>
        <v>172.62653085905839</v>
      </c>
      <c r="T78" s="62">
        <f t="shared" si="88"/>
        <v>103.0747749312265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256.54200000000014</v>
      </c>
      <c r="AK78" s="14">
        <f t="shared" si="89"/>
        <v>61.984698688972557</v>
      </c>
      <c r="AL78" s="22">
        <f t="shared" si="58"/>
        <v>554.76733354996077</v>
      </c>
      <c r="AM78" s="62">
        <f t="shared" si="59"/>
        <v>848.10066688329402</v>
      </c>
      <c r="AN78" s="62">
        <f ca="1">AVERAGE(OFFSET($AM$3,0,0,'Données projet'!$E$10+1,1))-AVERAGE(OFFSET($H$3,0,0,'Données projet'!$E$10+1,1))</f>
        <v>289.36126704091066</v>
      </c>
      <c r="AO78" s="62">
        <f t="shared" si="90"/>
        <v>195.3674411454258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228.91440000000011</v>
      </c>
      <c r="BF78" s="14">
        <f t="shared" si="91"/>
        <v>56.047884834417474</v>
      </c>
      <c r="BG78" s="22">
        <f t="shared" si="61"/>
        <v>496.30931275327725</v>
      </c>
      <c r="BH78" s="62">
        <f t="shared" si="62"/>
        <v>789.64264608661051</v>
      </c>
      <c r="BI78" s="62">
        <f ca="1">AVERAGE(OFFSET($BH$3,0,0,'Données projet'!$E$11+1,1))-AVERAGE(OFFSET($H$3,0,0,'Données projet'!$E$11+1,1))</f>
        <v>250.17147737747007</v>
      </c>
      <c r="BJ78" s="62">
        <f t="shared" si="92"/>
        <v>172.25613380618552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253</v>
      </c>
      <c r="BW78" s="13">
        <f>VLOOKUP(A78,'Données projet'!$A$113:$I$133,9,0)</f>
        <v>6.4</v>
      </c>
      <c r="BX78" s="13">
        <f t="array" ref="BX78">INDEX(BW:BW,MIN(IF(ISNUMBER(BW78:BW274),ROW(BW78:BW274),"")))</f>
        <v>6.4</v>
      </c>
      <c r="BY78" s="13">
        <f>IF('Données projet'!$A$114&gt;35,BY77+BX78-CG77,IF(A78&lt;'Données projet'!$A$114,$BV$205^A78,IF(A78='Données projet'!$A$114,'Données projet'!$B$114,BY77+BX78-CG77)))</f>
        <v>253.00000000000011</v>
      </c>
      <c r="BZ78" s="14">
        <f>BY78*VLOOKUP('Données projet'!$B$12,Paramètres!$A$1:$I$89,3,0)*VLOOKUP('Données projet'!$B$12,Paramètres!$A$1:$I$89,5,0)</f>
        <v>272.32920000000013</v>
      </c>
      <c r="CA78" s="14">
        <f t="shared" si="93"/>
        <v>65.34333692428207</v>
      </c>
      <c r="CB78" s="22">
        <f t="shared" si="64"/>
        <v>588.11300180979151</v>
      </c>
      <c r="CC78" s="62">
        <f t="shared" si="65"/>
        <v>881.44633514312477</v>
      </c>
      <c r="CD78" s="62">
        <f ca="1">AVERAGE(OFFSET($CC$3,0,0,'Données projet'!$E$12+1,1))-AVERAGE(OFFSET($H$3,0,0,'Données projet'!$E$12+1,1))</f>
        <v>311.71521576048417</v>
      </c>
      <c r="CE78" s="62">
        <f t="shared" si="94"/>
        <v>208.54841796921403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8.875</v>
      </c>
      <c r="CT78" s="13">
        <f>IF('Données projet'!$A$140&gt;35,CT77+CS78-DB77,IF(A78&lt;'Données projet'!$A$140,$CQ$205^A78,IF(A78='Données projet'!$A$140,'Données projet'!$B$140,CT77+CS78-DB77)))</f>
        <v>492.875</v>
      </c>
      <c r="CU78" s="18">
        <f>CT78*VLOOKUP('Données projet'!$B$13,Paramètres!$A$1:$I$89,3,0)*VLOOKUP('Données projet'!$B$13,Paramètres!$A$1:$I$89,5,0)</f>
        <v>294.73925000000003</v>
      </c>
      <c r="CV78" s="14">
        <f t="shared" si="95"/>
        <v>70.072475236035828</v>
      </c>
      <c r="CW78" s="22">
        <f t="shared" si="67"/>
        <v>635.38042145276233</v>
      </c>
      <c r="CX78" s="62">
        <f t="shared" si="68"/>
        <v>928.71375478609571</v>
      </c>
      <c r="CY78" s="62">
        <f ca="1">AVERAGE(OFFSET($CX$3,0,0,'Données projet'!$E$13+1,1))-AVERAGE(OFFSET($H$3,0,0,'Données projet'!$E$13+1,1))</f>
        <v>280.47174439810988</v>
      </c>
      <c r="CZ78" s="62">
        <f t="shared" si="96"/>
        <v>231.19476400361157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0.69435827660512528</v>
      </c>
      <c r="DH78" s="23">
        <f>EXP(-LN(2)/2)*DH77+(1-EXP(-LN(2)/2))/(LN(2)/2)*DB78*DE78*VLOOKUP('Données projet'!$B$13,Paramètres!$A$1:$I$89,3,0)*0.475*44/12</f>
        <v>3.5619584104573115E-6</v>
      </c>
      <c r="DI78" s="24">
        <f t="shared" si="69"/>
        <v>0.69436183856353573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6</v>
      </c>
      <c r="DO78" s="13">
        <f>IF('Données projet'!$A$166&gt;35,DO77+DN78-DW77,IF(A78&lt;'Données projet'!$A$166,$DL$205^A78,IF(A78='Données projet'!$A$166,'Données projet'!$B$166,DO77+DN78-DW77)))</f>
        <v>426.00000000000023</v>
      </c>
      <c r="DP78" s="18">
        <f>DO78*VLOOKUP('Données projet'!$B$14,Paramètres!$A$1:$I$89,3,0)*VLOOKUP('Données projet'!$B$14,Paramètres!$A$1:$I$89,5,0)</f>
        <v>254.74800000000016</v>
      </c>
      <c r="DQ78" s="14">
        <f t="shared" si="97"/>
        <v>61.601537647979256</v>
      </c>
      <c r="DR78" s="22">
        <f t="shared" si="70"/>
        <v>550.97544473689754</v>
      </c>
      <c r="DS78" s="62">
        <f t="shared" si="71"/>
        <v>844.3087780702308</v>
      </c>
      <c r="DT78" s="62">
        <f ca="1">AVERAGE(OFFSET($DS$3,0,0,'Données projet'!$E$14+1,1))-AVERAGE(OFFSET($H$3,0,0,'Données projet'!$E$14+1,1))</f>
        <v>282.98919020956595</v>
      </c>
      <c r="DU78" s="62">
        <f t="shared" si="98"/>
        <v>182.23565317232647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1.38045675890762E-6</v>
      </c>
      <c r="ED78" s="24">
        <f t="shared" si="72"/>
        <v>1.38045675890762E-6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9">
        <f t="shared" si="56"/>
        <v>407.58253923270354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10.962</v>
      </c>
      <c r="N79" s="14">
        <f>IF('Données projet'!$A$36&gt;35,N78+M79-V78,IF(A79&lt;'Données projet'!$A$36,$K$205^A79,IF(A79='Données projet'!$A$36,'Données projet'!$B$36,N78+M79-V78)))</f>
        <v>321.27399999999989</v>
      </c>
      <c r="O79" s="14">
        <f>N79*VLOOKUP('Données projet'!$B$9,Paramètres!$A$1:$I$89,3,0)*VLOOKUP('Données projet'!$B$9,Paramètres!$A$1:$I$89,5,0)</f>
        <v>150.35623199999995</v>
      </c>
      <c r="P79" s="14">
        <f t="shared" si="87"/>
        <v>38.659529441580688</v>
      </c>
      <c r="Q79" s="22">
        <f t="shared" si="54"/>
        <v>329.20245117741962</v>
      </c>
      <c r="R79" s="62">
        <f t="shared" si="55"/>
        <v>622.53578451075293</v>
      </c>
      <c r="S79" s="62">
        <f ca="1">AVERAGE(OFFSET($R$3,0,0,'Données projet'!$E$9+1,1))-AVERAGE(OFFSET($H$3,0,0,'Données projet'!$E$9+1,1))</f>
        <v>172.62653085905839</v>
      </c>
      <c r="T79" s="62">
        <f t="shared" si="88"/>
        <v>103.0747749312265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241.33200000000014</v>
      </c>
      <c r="AK79" s="14">
        <f t="shared" si="89"/>
        <v>58.726024391301159</v>
      </c>
      <c r="AL79" s="22">
        <f t="shared" si="58"/>
        <v>522.60105914818303</v>
      </c>
      <c r="AM79" s="62">
        <f t="shared" si="59"/>
        <v>815.9343924815164</v>
      </c>
      <c r="AN79" s="62">
        <f ca="1">AVERAGE(OFFSET($AM$3,0,0,'Données projet'!$E$10+1,1))-AVERAGE(OFFSET($H$3,0,0,'Données projet'!$E$10+1,1))</f>
        <v>289.36126704091066</v>
      </c>
      <c r="AO79" s="62">
        <f t="shared" si="90"/>
        <v>195.3674411454258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215.34240000000008</v>
      </c>
      <c r="BF79" s="14">
        <f t="shared" si="91"/>
        <v>53.101322124397257</v>
      </c>
      <c r="BG79" s="22">
        <f t="shared" si="61"/>
        <v>467.53948269999205</v>
      </c>
      <c r="BH79" s="62">
        <f t="shared" si="62"/>
        <v>760.87281603332531</v>
      </c>
      <c r="BI79" s="62">
        <f ca="1">AVERAGE(OFFSET($BH$3,0,0,'Données projet'!$E$11+1,1))-AVERAGE(OFFSET($H$3,0,0,'Données projet'!$E$11+1,1))</f>
        <v>250.17147737747007</v>
      </c>
      <c r="BJ79" s="62">
        <f t="shared" si="92"/>
        <v>172.25613380618552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238.00000000000011</v>
      </c>
      <c r="BZ79" s="14">
        <f>BY79*VLOOKUP('Données projet'!$B$12,Paramètres!$A$1:$I$89,3,0)*VLOOKUP('Données projet'!$B$12,Paramètres!$A$1:$I$89,5,0)</f>
        <v>256.18320000000011</v>
      </c>
      <c r="CA79" s="14">
        <f t="shared" si="93"/>
        <v>61.908091499799227</v>
      </c>
      <c r="CB79" s="22">
        <f t="shared" si="64"/>
        <v>554.00899936215046</v>
      </c>
      <c r="CC79" s="62">
        <f t="shared" si="65"/>
        <v>847.34233269548372</v>
      </c>
      <c r="CD79" s="62">
        <f ca="1">AVERAGE(OFFSET($CC$3,0,0,'Données projet'!$E$12+1,1))-AVERAGE(OFFSET($H$3,0,0,'Données projet'!$E$12+1,1))</f>
        <v>311.71521576048417</v>
      </c>
      <c r="CE79" s="62">
        <f t="shared" si="94"/>
        <v>208.54841796921403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8.875</v>
      </c>
      <c r="CT79" s="13">
        <f>IF('Données projet'!$A$140&gt;35,CT78+CS79-DB78,IF(A79&lt;'Données projet'!$A$140,$CQ$205^A79,IF(A79='Données projet'!$A$140,'Données projet'!$B$140,CT78+CS79-DB78)))</f>
        <v>501.75</v>
      </c>
      <c r="CU79" s="18">
        <f>CT79*VLOOKUP('Données projet'!$B$13,Paramètres!$A$1:$I$89,3,0)*VLOOKUP('Données projet'!$B$13,Paramètres!$A$1:$I$89,5,0)</f>
        <v>300.04650000000004</v>
      </c>
      <c r="CV79" s="14">
        <f t="shared" si="95"/>
        <v>71.186211573839699</v>
      </c>
      <c r="CW79" s="22">
        <f t="shared" si="67"/>
        <v>646.56363932443753</v>
      </c>
      <c r="CX79" s="62">
        <f t="shared" si="68"/>
        <v>939.8969726577709</v>
      </c>
      <c r="CY79" s="62">
        <f ca="1">AVERAGE(OFFSET($CX$3,0,0,'Données projet'!$E$13+1,1))-AVERAGE(OFFSET($H$3,0,0,'Données projet'!$E$13+1,1))</f>
        <v>280.47174439810988</v>
      </c>
      <c r="CZ79" s="62">
        <f t="shared" si="96"/>
        <v>231.19476400361157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0.67537101301664337</v>
      </c>
      <c r="DH79" s="23">
        <f>EXP(-LN(2)/2)*DH78+(1-EXP(-LN(2)/2))/(LN(2)/2)*DB79*DE79*VLOOKUP('Données projet'!$B$13,Paramètres!$A$1:$I$89,3,0)*0.475*44/12</f>
        <v>2.5186849463388207E-6</v>
      </c>
      <c r="DI79" s="24">
        <f t="shared" si="69"/>
        <v>0.67537353170158976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432.00000000000023</v>
      </c>
      <c r="DP79" s="18">
        <f>DO79*VLOOKUP('Données projet'!$B$14,Paramètres!$A$1:$I$89,3,0)*VLOOKUP('Données projet'!$B$14,Paramètres!$A$1:$I$89,5,0)</f>
        <v>258.33600000000018</v>
      </c>
      <c r="DQ79" s="14">
        <f t="shared" si="97"/>
        <v>62.367547966451262</v>
      </c>
      <c r="DR79" s="22">
        <f t="shared" si="70"/>
        <v>558.55867937490291</v>
      </c>
      <c r="DS79" s="62">
        <f t="shared" si="71"/>
        <v>851.89201270823628</v>
      </c>
      <c r="DT79" s="62">
        <f ca="1">AVERAGE(OFFSET($DS$3,0,0,'Données projet'!$E$14+1,1))-AVERAGE(OFFSET($H$3,0,0,'Données projet'!$E$14+1,1))</f>
        <v>282.98919020956595</v>
      </c>
      <c r="DU79" s="62">
        <f t="shared" si="98"/>
        <v>182.23565317232647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9.7613033535838101E-7</v>
      </c>
      <c r="ED79" s="24">
        <f t="shared" si="72"/>
        <v>9.7613033535838101E-7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9">
        <f t="shared" si="56"/>
        <v>409.51710805152618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10.962</v>
      </c>
      <c r="N80" s="14">
        <f>IF('Données projet'!$A$36&gt;35,N79+M80-V79,IF(A80&lt;'Données projet'!$A$36,$K$205^A80,IF(A80='Données projet'!$A$36,'Données projet'!$B$36,N79+M80-V79)))</f>
        <v>332.23599999999988</v>
      </c>
      <c r="O80" s="14">
        <f>N80*VLOOKUP('Données projet'!$B$9,Paramètres!$A$1:$I$89,3,0)*VLOOKUP('Données projet'!$B$9,Paramètres!$A$1:$I$89,5,0)</f>
        <v>155.48644799999994</v>
      </c>
      <c r="P80" s="14">
        <f t="shared" si="87"/>
        <v>39.822781911720462</v>
      </c>
      <c r="Q80" s="22">
        <f t="shared" si="54"/>
        <v>340.16357542957968</v>
      </c>
      <c r="R80" s="62">
        <f t="shared" si="55"/>
        <v>633.49690876291299</v>
      </c>
      <c r="S80" s="62">
        <f ca="1">AVERAGE(OFFSET($R$3,0,0,'Données projet'!$E$9+1,1))-AVERAGE(OFFSET($H$3,0,0,'Données projet'!$E$9+1,1))</f>
        <v>172.62653085905839</v>
      </c>
      <c r="T80" s="62">
        <f t="shared" si="88"/>
        <v>103.0747749312265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247.41600000000014</v>
      </c>
      <c r="AK80" s="14">
        <f t="shared" si="89"/>
        <v>60.032282000540242</v>
      </c>
      <c r="AL80" s="22">
        <f t="shared" si="58"/>
        <v>535.47242448427448</v>
      </c>
      <c r="AM80" s="62">
        <f t="shared" si="59"/>
        <v>828.80575781760786</v>
      </c>
      <c r="AN80" s="62">
        <f ca="1">AVERAGE(OFFSET($AM$3,0,0,'Données projet'!$E$10+1,1))-AVERAGE(OFFSET($H$3,0,0,'Données projet'!$E$10+1,1))</f>
        <v>289.36126704091066</v>
      </c>
      <c r="AO80" s="62">
        <f t="shared" si="90"/>
        <v>195.3674411454258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220.77120000000011</v>
      </c>
      <c r="BF80" s="14">
        <f t="shared" si="91"/>
        <v>54.28246807807983</v>
      </c>
      <c r="BG80" s="22">
        <f t="shared" si="61"/>
        <v>479.05180523598909</v>
      </c>
      <c r="BH80" s="62">
        <f t="shared" si="62"/>
        <v>772.38513856932241</v>
      </c>
      <c r="BI80" s="62">
        <f ca="1">AVERAGE(OFFSET($BH$3,0,0,'Données projet'!$E$11+1,1))-AVERAGE(OFFSET($H$3,0,0,'Données projet'!$E$11+1,1))</f>
        <v>250.17147737747007</v>
      </c>
      <c r="BJ80" s="62">
        <f t="shared" si="92"/>
        <v>172.25613380618552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244.00000000000011</v>
      </c>
      <c r="BZ80" s="14">
        <f>BY80*VLOOKUP('Données projet'!$B$12,Paramètres!$A$1:$I$89,3,0)*VLOOKUP('Données projet'!$B$12,Paramètres!$A$1:$I$89,5,0)</f>
        <v>262.6416000000001</v>
      </c>
      <c r="CA80" s="14">
        <f t="shared" si="93"/>
        <v>63.285128621471998</v>
      </c>
      <c r="CB80" s="22">
        <f t="shared" si="64"/>
        <v>567.6557190157306</v>
      </c>
      <c r="CC80" s="62">
        <f t="shared" si="65"/>
        <v>860.98905234906397</v>
      </c>
      <c r="CD80" s="62">
        <f ca="1">AVERAGE(OFFSET($CC$3,0,0,'Données projet'!$E$12+1,1))-AVERAGE(OFFSET($H$3,0,0,'Données projet'!$E$12+1,1))</f>
        <v>311.71521576048417</v>
      </c>
      <c r="CE80" s="62">
        <f t="shared" si="94"/>
        <v>208.54841796921403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8.875</v>
      </c>
      <c r="CT80" s="13">
        <f>IF('Données projet'!$A$140&gt;35,CT79+CS80-DB79,IF(A80&lt;'Données projet'!$A$140,$CQ$205^A80,IF(A80='Données projet'!$A$140,'Données projet'!$B$140,CT79+CS80-DB79)))</f>
        <v>510.625</v>
      </c>
      <c r="CU80" s="18">
        <f>CT80*VLOOKUP('Données projet'!$B$13,Paramètres!$A$1:$I$89,3,0)*VLOOKUP('Données projet'!$B$13,Paramètres!$A$1:$I$89,5,0)</f>
        <v>305.35375000000005</v>
      </c>
      <c r="CV80" s="14">
        <f t="shared" si="95"/>
        <v>72.297657079406008</v>
      </c>
      <c r="CW80" s="22">
        <f t="shared" si="67"/>
        <v>657.74286732996552</v>
      </c>
      <c r="CX80" s="62">
        <f t="shared" si="68"/>
        <v>951.07620066329878</v>
      </c>
      <c r="CY80" s="62">
        <f ca="1">AVERAGE(OFFSET($CX$3,0,0,'Données projet'!$E$13+1,1))-AVERAGE(OFFSET($H$3,0,0,'Données projet'!$E$13+1,1))</f>
        <v>280.47174439810988</v>
      </c>
      <c r="CZ80" s="62">
        <f t="shared" si="96"/>
        <v>231.19476400361157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0.65690295714948532</v>
      </c>
      <c r="DH80" s="23">
        <f>EXP(-LN(2)/2)*DH79+(1-EXP(-LN(2)/2))/(LN(2)/2)*DB80*DE80*VLOOKUP('Données projet'!$B$13,Paramètres!$A$1:$I$89,3,0)*0.475*44/12</f>
        <v>1.7809792052286557E-6</v>
      </c>
      <c r="DI80" s="24">
        <f t="shared" si="69"/>
        <v>0.65690473812869055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438.00000000000023</v>
      </c>
      <c r="DP80" s="18">
        <f>DO80*VLOOKUP('Données projet'!$B$14,Paramètres!$A$1:$I$89,3,0)*VLOOKUP('Données projet'!$B$14,Paramètres!$A$1:$I$89,5,0)</f>
        <v>261.92400000000015</v>
      </c>
      <c r="DQ80" s="14">
        <f t="shared" si="97"/>
        <v>63.132320859995701</v>
      </c>
      <c r="DR80" s="22">
        <f t="shared" si="70"/>
        <v>566.13975883115938</v>
      </c>
      <c r="DS80" s="62">
        <f t="shared" si="71"/>
        <v>859.47309216449275</v>
      </c>
      <c r="DT80" s="62">
        <f ca="1">AVERAGE(OFFSET($DS$3,0,0,'Données projet'!$E$14+1,1))-AVERAGE(OFFSET($H$3,0,0,'Données projet'!$E$14+1,1))</f>
        <v>282.98919020956595</v>
      </c>
      <c r="DU80" s="62">
        <f t="shared" si="98"/>
        <v>182.23565317232647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6.9022837945380998E-7</v>
      </c>
      <c r="ED80" s="24">
        <f t="shared" si="72"/>
        <v>6.9022837945380998E-7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9">
        <f t="shared" si="56"/>
        <v>411.45109396520513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10.962</v>
      </c>
      <c r="N81" s="14">
        <f>IF('Données projet'!$A$36&gt;35,N80+M81-V80,IF(A81&lt;'Données projet'!$A$36,$K$205^A81,IF(A81='Données projet'!$A$36,'Données projet'!$B$36,N80+M81-V80)))</f>
        <v>343.19799999999987</v>
      </c>
      <c r="O81" s="14">
        <f>N81*VLOOKUP('Données projet'!$B$9,Paramètres!$A$1:$I$89,3,0)*VLOOKUP('Données projet'!$B$9,Paramètres!$A$1:$I$89,5,0)</f>
        <v>160.61666399999993</v>
      </c>
      <c r="P81" s="14">
        <f t="shared" si="87"/>
        <v>40.981574538312898</v>
      </c>
      <c r="Q81" s="22">
        <f t="shared" si="54"/>
        <v>351.11693212089489</v>
      </c>
      <c r="R81" s="62">
        <f t="shared" si="55"/>
        <v>644.4502654542282</v>
      </c>
      <c r="S81" s="62">
        <f ca="1">AVERAGE(OFFSET($R$3,0,0,'Données projet'!$E$9+1,1))-AVERAGE(OFFSET($H$3,0,0,'Données projet'!$E$9+1,1))</f>
        <v>172.62653085905839</v>
      </c>
      <c r="T81" s="62">
        <f t="shared" si="88"/>
        <v>103.0747749312265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253.50000000000014</v>
      </c>
      <c r="AK81" s="14">
        <f t="shared" si="89"/>
        <v>61.334805663162555</v>
      </c>
      <c r="AL81" s="22">
        <f t="shared" si="58"/>
        <v>548.33728653000833</v>
      </c>
      <c r="AM81" s="62">
        <f t="shared" si="59"/>
        <v>841.6706198633417</v>
      </c>
      <c r="AN81" s="62">
        <f ca="1">AVERAGE(OFFSET($AM$3,0,0,'Données projet'!$E$10+1,1))-AVERAGE(OFFSET($H$3,0,0,'Données projet'!$E$10+1,1))</f>
        <v>289.36126704091066</v>
      </c>
      <c r="AO81" s="62">
        <f t="shared" si="90"/>
        <v>195.3674411454258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226.2000000000001</v>
      </c>
      <c r="BF81" s="14">
        <f t="shared" si="91"/>
        <v>55.460237717698156</v>
      </c>
      <c r="BG81" s="22">
        <f t="shared" si="61"/>
        <v>490.55824735832448</v>
      </c>
      <c r="BH81" s="62">
        <f t="shared" si="62"/>
        <v>783.89158069165774</v>
      </c>
      <c r="BI81" s="62">
        <f ca="1">AVERAGE(OFFSET($BH$3,0,0,'Données projet'!$E$11+1,1))-AVERAGE(OFFSET($H$3,0,0,'Données projet'!$E$11+1,1))</f>
        <v>250.17147737747007</v>
      </c>
      <c r="BJ81" s="62">
        <f t="shared" si="92"/>
        <v>172.25613380618552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250.00000000000011</v>
      </c>
      <c r="BZ81" s="14">
        <f>BY81*VLOOKUP('Données projet'!$B$12,Paramètres!$A$1:$I$89,3,0)*VLOOKUP('Données projet'!$B$12,Paramètres!$A$1:$I$89,5,0)</f>
        <v>269.10000000000008</v>
      </c>
      <c r="CA81" s="14">
        <f t="shared" si="93"/>
        <v>64.658229472790993</v>
      </c>
      <c r="CB81" s="22">
        <f t="shared" si="64"/>
        <v>581.29558299844439</v>
      </c>
      <c r="CC81" s="62">
        <f t="shared" si="65"/>
        <v>874.62891633177765</v>
      </c>
      <c r="CD81" s="62">
        <f ca="1">AVERAGE(OFFSET($CC$3,0,0,'Données projet'!$E$12+1,1))-AVERAGE(OFFSET($H$3,0,0,'Données projet'!$E$12+1,1))</f>
        <v>311.71521576048417</v>
      </c>
      <c r="CE81" s="62">
        <f t="shared" si="94"/>
        <v>208.54841796921403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8.875</v>
      </c>
      <c r="CT81" s="13">
        <f>IF('Données projet'!$A$140&gt;35,CT80+CS81-DB80,IF(A81&lt;'Données projet'!$A$140,$CQ$205^A81,IF(A81='Données projet'!$A$140,'Données projet'!$B$140,CT80+CS81-DB80)))</f>
        <v>519.5</v>
      </c>
      <c r="CU81" s="18">
        <f>CT81*VLOOKUP('Données projet'!$B$13,Paramètres!$A$1:$I$89,3,0)*VLOOKUP('Données projet'!$B$13,Paramètres!$A$1:$I$89,5,0)</f>
        <v>310.661</v>
      </c>
      <c r="CV81" s="14">
        <f t="shared" si="95"/>
        <v>73.406856163089444</v>
      </c>
      <c r="CW81" s="22">
        <f t="shared" si="67"/>
        <v>668.91818281738085</v>
      </c>
      <c r="CX81" s="62">
        <f t="shared" si="68"/>
        <v>962.25151615071422</v>
      </c>
      <c r="CY81" s="62">
        <f ca="1">AVERAGE(OFFSET($CX$3,0,0,'Données projet'!$E$13+1,1))-AVERAGE(OFFSET($H$3,0,0,'Données projet'!$E$13+1,1))</f>
        <v>280.47174439810988</v>
      </c>
      <c r="CZ81" s="62">
        <f t="shared" si="96"/>
        <v>231.19476400361157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0.63893991124120753</v>
      </c>
      <c r="DH81" s="23">
        <f>EXP(-LN(2)/2)*DH80+(1-EXP(-LN(2)/2))/(LN(2)/2)*DB81*DE81*VLOOKUP('Données projet'!$B$13,Paramètres!$A$1:$I$89,3,0)*0.475*44/12</f>
        <v>1.2593424731694104E-6</v>
      </c>
      <c r="DI81" s="24">
        <f t="shared" si="69"/>
        <v>0.63894117058368072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444.00000000000023</v>
      </c>
      <c r="DP81" s="18">
        <f>DO81*VLOOKUP('Données projet'!$B$14,Paramètres!$A$1:$I$89,3,0)*VLOOKUP('Données projet'!$B$14,Paramètres!$A$1:$I$89,5,0)</f>
        <v>265.51200000000017</v>
      </c>
      <c r="DQ81" s="14">
        <f t="shared" si="97"/>
        <v>63.895875238848916</v>
      </c>
      <c r="DR81" s="22">
        <f t="shared" si="70"/>
        <v>573.71871604099545</v>
      </c>
      <c r="DS81" s="62">
        <f t="shared" si="71"/>
        <v>867.05204937432882</v>
      </c>
      <c r="DT81" s="62">
        <f ca="1">AVERAGE(OFFSET($DS$3,0,0,'Données projet'!$E$14+1,1))-AVERAGE(OFFSET($H$3,0,0,'Données projet'!$E$14+1,1))</f>
        <v>282.98919020956595</v>
      </c>
      <c r="DU81" s="62">
        <f t="shared" si="98"/>
        <v>182.23565317232647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4.880651676791905E-7</v>
      </c>
      <c r="ED81" s="24">
        <f t="shared" si="72"/>
        <v>4.880651676791905E-7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9">
        <f t="shared" si="56"/>
        <v>413.38450531099431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10.962</v>
      </c>
      <c r="N82" s="14">
        <f>IF('Données projet'!$A$36&gt;35,N81+M82-V81,IF(A82&lt;'Données projet'!$A$36,$K$205^A82,IF(A82='Données projet'!$A$36,'Données projet'!$B$36,N81+M82-V81)))</f>
        <v>354.15999999999985</v>
      </c>
      <c r="O82" s="14">
        <f>N82*VLOOKUP('Données projet'!$B$9,Paramètres!$A$1:$I$89,3,0)*VLOOKUP('Données projet'!$B$9,Paramètres!$A$1:$I$89,5,0)</f>
        <v>165.74687999999995</v>
      </c>
      <c r="P82" s="14">
        <f t="shared" si="87"/>
        <v>42.136066112888457</v>
      </c>
      <c r="Q82" s="22">
        <f t="shared" si="54"/>
        <v>362.06279781328067</v>
      </c>
      <c r="R82" s="62">
        <f t="shared" si="55"/>
        <v>655.39613114661393</v>
      </c>
      <c r="S82" s="62">
        <f ca="1">AVERAGE(OFFSET($R$3,0,0,'Données projet'!$E$9+1,1))-AVERAGE(OFFSET($H$3,0,0,'Données projet'!$E$9+1,1))</f>
        <v>172.62653085905839</v>
      </c>
      <c r="T82" s="62">
        <f t="shared" si="88"/>
        <v>103.0747749312265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259.58400000000017</v>
      </c>
      <c r="AK82" s="14">
        <f t="shared" si="89"/>
        <v>62.63369530482359</v>
      </c>
      <c r="AL82" s="22">
        <f t="shared" si="58"/>
        <v>561.19581932256801</v>
      </c>
      <c r="AM82" s="62">
        <f t="shared" si="59"/>
        <v>854.52915265590127</v>
      </c>
      <c r="AN82" s="62">
        <f ca="1">AVERAGE(OFFSET($AM$3,0,0,'Données projet'!$E$10+1,1))-AVERAGE(OFFSET($H$3,0,0,'Données projet'!$E$10+1,1))</f>
        <v>289.36126704091066</v>
      </c>
      <c r="AO82" s="62">
        <f t="shared" si="90"/>
        <v>195.3674411454258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231.62880000000007</v>
      </c>
      <c r="BF82" s="14">
        <f t="shared" si="91"/>
        <v>56.63472139815827</v>
      </c>
      <c r="BG82" s="22">
        <f t="shared" si="61"/>
        <v>502.05896643512574</v>
      </c>
      <c r="BH82" s="62">
        <f t="shared" si="62"/>
        <v>795.392299768459</v>
      </c>
      <c r="BI82" s="62">
        <f ca="1">AVERAGE(OFFSET($BH$3,0,0,'Données projet'!$E$11+1,1))-AVERAGE(OFFSET($H$3,0,0,'Données projet'!$E$11+1,1))</f>
        <v>250.17147737747007</v>
      </c>
      <c r="BJ82" s="62">
        <f t="shared" si="92"/>
        <v>172.25613380618552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256.00000000000011</v>
      </c>
      <c r="BZ82" s="14">
        <f>BY82*VLOOKUP('Données projet'!$B$12,Paramètres!$A$1:$I$89,3,0)*VLOOKUP('Données projet'!$B$12,Paramètres!$A$1:$I$89,5,0)</f>
        <v>275.55840000000012</v>
      </c>
      <c r="CA82" s="14">
        <f t="shared" si="93"/>
        <v>66.027499393879069</v>
      </c>
      <c r="CB82" s="22">
        <f t="shared" si="64"/>
        <v>594.92877477767286</v>
      </c>
      <c r="CC82" s="62">
        <f t="shared" si="65"/>
        <v>888.26210811100623</v>
      </c>
      <c r="CD82" s="62">
        <f ca="1">AVERAGE(OFFSET($CC$3,0,0,'Données projet'!$E$12+1,1))-AVERAGE(OFFSET($H$3,0,0,'Données projet'!$E$12+1,1))</f>
        <v>311.71521576048417</v>
      </c>
      <c r="CE82" s="62">
        <f t="shared" si="94"/>
        <v>208.54841796921403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8.875</v>
      </c>
      <c r="CT82" s="13">
        <f>IF('Données projet'!$A$140&gt;35,CT81+CS82-DB81,IF(A82&lt;'Données projet'!$A$140,$CQ$205^A82,IF(A82='Données projet'!$A$140,'Données projet'!$B$140,CT81+CS82-DB81)))</f>
        <v>528.375</v>
      </c>
      <c r="CU82" s="18">
        <f>CT82*VLOOKUP('Données projet'!$B$13,Paramètres!$A$1:$I$89,3,0)*VLOOKUP('Données projet'!$B$13,Paramètres!$A$1:$I$89,5,0)</f>
        <v>315.96825000000001</v>
      </c>
      <c r="CV82" s="14">
        <f t="shared" si="95"/>
        <v>74.513851630905478</v>
      </c>
      <c r="CW82" s="22">
        <f t="shared" si="67"/>
        <v>680.08966034049365</v>
      </c>
      <c r="CX82" s="62">
        <f t="shared" si="68"/>
        <v>973.42299367382702</v>
      </c>
      <c r="CY82" s="62">
        <f ca="1">AVERAGE(OFFSET($CX$3,0,0,'Données projet'!$E$13+1,1))-AVERAGE(OFFSET($H$3,0,0,'Données projet'!$E$13+1,1))</f>
        <v>280.47174439810988</v>
      </c>
      <c r="CZ82" s="62">
        <f t="shared" si="96"/>
        <v>231.19476400361157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0.62146806576792712</v>
      </c>
      <c r="DH82" s="23">
        <f>EXP(-LN(2)/2)*DH81+(1-EXP(-LN(2)/2))/(LN(2)/2)*DB82*DE82*VLOOKUP('Données projet'!$B$13,Paramètres!$A$1:$I$89,3,0)*0.475*44/12</f>
        <v>8.9048960261432786E-7</v>
      </c>
      <c r="DI82" s="24">
        <f t="shared" si="69"/>
        <v>0.62146895625752974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450.00000000000023</v>
      </c>
      <c r="DP82" s="18">
        <f>DO82*VLOOKUP('Données projet'!$B$14,Paramètres!$A$1:$I$89,3,0)*VLOOKUP('Données projet'!$B$14,Paramètres!$A$1:$I$89,5,0)</f>
        <v>269.10000000000014</v>
      </c>
      <c r="DQ82" s="14">
        <f t="shared" si="97"/>
        <v>64.658229472791049</v>
      </c>
      <c r="DR82" s="22">
        <f t="shared" si="70"/>
        <v>581.29558299844462</v>
      </c>
      <c r="DS82" s="62">
        <f t="shared" si="71"/>
        <v>874.62891633177787</v>
      </c>
      <c r="DT82" s="62">
        <f ca="1">AVERAGE(OFFSET($DS$3,0,0,'Données projet'!$E$14+1,1))-AVERAGE(OFFSET($H$3,0,0,'Données projet'!$E$14+1,1))</f>
        <v>282.98919020956595</v>
      </c>
      <c r="DU82" s="62">
        <f t="shared" si="98"/>
        <v>182.23565317232647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3.4511418972690499E-7</v>
      </c>
      <c r="ED82" s="24">
        <f t="shared" si="72"/>
        <v>3.4511418972690499E-7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9">
        <f t="shared" si="56"/>
        <v>415.31735020294059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10.962</v>
      </c>
      <c r="N83" s="14">
        <f>IF('Données projet'!$A$36&gt;35,N82+M83-V82,IF(A83&lt;'Données projet'!$A$36,$K$205^A83,IF(A83='Données projet'!$A$36,'Données projet'!$B$36,N82+M83-V82)))</f>
        <v>365.12199999999984</v>
      </c>
      <c r="O83" s="14">
        <f>N83*VLOOKUP('Données projet'!$B$9,Paramètres!$A$1:$I$89,3,0)*VLOOKUP('Données projet'!$B$9,Paramètres!$A$1:$I$89,5,0)</f>
        <v>170.87709599999991</v>
      </c>
      <c r="P83" s="14">
        <f t="shared" si="87"/>
        <v>43.286405038697346</v>
      </c>
      <c r="Q83" s="22">
        <f t="shared" si="54"/>
        <v>373.00143097573113</v>
      </c>
      <c r="R83" s="62">
        <f t="shared" si="55"/>
        <v>666.33476430906444</v>
      </c>
      <c r="S83" s="62">
        <f ca="1">AVERAGE(OFFSET($R$3,0,0,'Données projet'!$E$9+1,1))-AVERAGE(OFFSET($H$3,0,0,'Données projet'!$E$9+1,1))</f>
        <v>172.62653085905839</v>
      </c>
      <c r="T83" s="62">
        <f t="shared" si="88"/>
        <v>103.0747749312265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265.66800000000012</v>
      </c>
      <c r="AK83" s="14">
        <f t="shared" si="89"/>
        <v>63.929045899944406</v>
      </c>
      <c r="AL83" s="22">
        <f t="shared" si="58"/>
        <v>574.04818827573672</v>
      </c>
      <c r="AM83" s="62">
        <f t="shared" si="59"/>
        <v>867.38152160906998</v>
      </c>
      <c r="AN83" s="62">
        <f ca="1">AVERAGE(OFFSET($AM$3,0,0,'Données projet'!$E$10+1,1))-AVERAGE(OFFSET($H$3,0,0,'Données projet'!$E$10+1,1))</f>
        <v>289.36126704091066</v>
      </c>
      <c r="AO83" s="62">
        <f t="shared" si="90"/>
        <v>195.3674411454258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237.05760000000012</v>
      </c>
      <c r="BF83" s="14">
        <f t="shared" si="91"/>
        <v>57.806004997354698</v>
      </c>
      <c r="BG83" s="22">
        <f t="shared" si="61"/>
        <v>513.55411203705955</v>
      </c>
      <c r="BH83" s="62">
        <f t="shared" si="62"/>
        <v>806.88744537039292</v>
      </c>
      <c r="BI83" s="62">
        <f ca="1">AVERAGE(OFFSET($BH$3,0,0,'Données projet'!$E$11+1,1))-AVERAGE(OFFSET($H$3,0,0,'Données projet'!$E$11+1,1))</f>
        <v>250.17147737747007</v>
      </c>
      <c r="BJ83" s="62">
        <f t="shared" si="92"/>
        <v>172.25613380618552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262.00000000000011</v>
      </c>
      <c r="BZ83" s="14">
        <f>BY83*VLOOKUP('Données projet'!$B$12,Paramètres!$A$1:$I$89,3,0)*VLOOKUP('Données projet'!$B$12,Paramètres!$A$1:$I$89,5,0)</f>
        <v>282.0168000000001</v>
      </c>
      <c r="CA83" s="14">
        <f t="shared" si="93"/>
        <v>67.393038505342176</v>
      </c>
      <c r="CB83" s="22">
        <f t="shared" si="64"/>
        <v>608.55546873013782</v>
      </c>
      <c r="CC83" s="62">
        <f t="shared" si="65"/>
        <v>901.88880206347108</v>
      </c>
      <c r="CD83" s="62">
        <f ca="1">AVERAGE(OFFSET($CC$3,0,0,'Données projet'!$E$12+1,1))-AVERAGE(OFFSET($H$3,0,0,'Données projet'!$E$12+1,1))</f>
        <v>311.71521576048417</v>
      </c>
      <c r="CE83" s="62">
        <f t="shared" si="94"/>
        <v>208.54841796921403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8.875</v>
      </c>
      <c r="CT83" s="13">
        <f>IF('Données projet'!$A$140&gt;35,CT82+CS83-DB82,IF(A83&lt;'Données projet'!$A$140,$CQ$205^A83,IF(A83='Données projet'!$A$140,'Données projet'!$B$140,CT82+CS83-DB82)))</f>
        <v>537.25</v>
      </c>
      <c r="CU83" s="18">
        <f>CT83*VLOOKUP('Données projet'!$B$13,Paramètres!$A$1:$I$89,3,0)*VLOOKUP('Données projet'!$B$13,Paramètres!$A$1:$I$89,5,0)</f>
        <v>321.27550000000002</v>
      </c>
      <c r="CV83" s="14">
        <f t="shared" si="95"/>
        <v>75.618684768443416</v>
      </c>
      <c r="CW83" s="22">
        <f t="shared" si="67"/>
        <v>691.25737180503893</v>
      </c>
      <c r="CX83" s="62">
        <f t="shared" si="68"/>
        <v>984.59070513837219</v>
      </c>
      <c r="CY83" s="62">
        <f ca="1">AVERAGE(OFFSET($CX$3,0,0,'Données projet'!$E$13+1,1))-AVERAGE(OFFSET($H$3,0,0,'Données projet'!$E$13+1,1))</f>
        <v>280.47174439810988</v>
      </c>
      <c r="CZ83" s="62">
        <f t="shared" si="96"/>
        <v>231.19476400361157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0.60447398882791792</v>
      </c>
      <c r="DH83" s="23">
        <f>EXP(-LN(2)/2)*DH82+(1-EXP(-LN(2)/2))/(LN(2)/2)*DB83*DE83*VLOOKUP('Données projet'!$B$13,Paramètres!$A$1:$I$89,3,0)*0.475*44/12</f>
        <v>6.2967123658470519E-7</v>
      </c>
      <c r="DI83" s="24">
        <f t="shared" si="69"/>
        <v>0.60447461849915451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456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456.00000000000023</v>
      </c>
      <c r="DP83" s="18">
        <f>DO83*VLOOKUP('Données projet'!$B$14,Paramètres!$A$1:$I$89,3,0)*VLOOKUP('Données projet'!$B$14,Paramètres!$A$1:$I$89,5,0)</f>
        <v>272.68800000000016</v>
      </c>
      <c r="DQ83" s="14">
        <f t="shared" si="97"/>
        <v>65.419401413587593</v>
      </c>
      <c r="DR83" s="22">
        <f t="shared" si="70"/>
        <v>588.87039079533201</v>
      </c>
      <c r="DS83" s="62">
        <f t="shared" si="71"/>
        <v>882.20372412866527</v>
      </c>
      <c r="DT83" s="62">
        <f ca="1">AVERAGE(OFFSET($DS$3,0,0,'Données projet'!$E$14+1,1))-AVERAGE(OFFSET($H$3,0,0,'Données projet'!$E$14+1,1))</f>
        <v>282.98919020956595</v>
      </c>
      <c r="DU83" s="62">
        <f t="shared" si="98"/>
        <v>182.23565317232647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2.4403258383959525E-7</v>
      </c>
      <c r="ED83" s="24">
        <f t="shared" si="72"/>
        <v>2.4403258383959525E-7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9">
        <f t="shared" si="56"/>
        <v>417.24963654057308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10.962</v>
      </c>
      <c r="N84" s="14">
        <f>IF('Données projet'!$A$36&gt;35,N83+M84-V83,IF(A84&lt;'Données projet'!$A$36,$K$205^A84,IF(A84='Données projet'!$A$36,'Données projet'!$B$36,N83+M84-V83)))</f>
        <v>376.08399999999983</v>
      </c>
      <c r="O84" s="14">
        <f>N84*VLOOKUP('Données projet'!$B$9,Paramètres!$A$1:$I$89,3,0)*VLOOKUP('Données projet'!$B$9,Paramètres!$A$1:$I$89,5,0)</f>
        <v>176.00731199999993</v>
      </c>
      <c r="P84" s="14">
        <f t="shared" si="87"/>
        <v>44.432730301566856</v>
      </c>
      <c r="Q84" s="22">
        <f t="shared" si="54"/>
        <v>383.9330736752288</v>
      </c>
      <c r="R84" s="62">
        <f t="shared" si="55"/>
        <v>677.26640700856206</v>
      </c>
      <c r="S84" s="62">
        <f ca="1">AVERAGE(OFFSET($R$3,0,0,'Données projet'!$E$9+1,1))-AVERAGE(OFFSET($H$3,0,0,'Données projet'!$E$9+1,1))</f>
        <v>172.62653085905839</v>
      </c>
      <c r="T84" s="62">
        <f t="shared" si="88"/>
        <v>103.0747749312265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250.05240000000018</v>
      </c>
      <c r="AK84" s="14">
        <f t="shared" si="89"/>
        <v>60.597161386823522</v>
      </c>
      <c r="AL84" s="22">
        <f t="shared" si="58"/>
        <v>541.04798608205112</v>
      </c>
      <c r="AM84" s="62">
        <f t="shared" si="59"/>
        <v>834.3813194153845</v>
      </c>
      <c r="AN84" s="62">
        <f ca="1">AVERAGE(OFFSET($AM$3,0,0,'Données projet'!$E$10+1,1))-AVERAGE(OFFSET($H$3,0,0,'Données projet'!$E$10+1,1))</f>
        <v>289.36126704091066</v>
      </c>
      <c r="AO84" s="62">
        <f t="shared" si="90"/>
        <v>195.3674411454258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223.12368000000012</v>
      </c>
      <c r="BF84" s="14">
        <f t="shared" si="91"/>
        <v>54.793244051140647</v>
      </c>
      <c r="BG84" s="22">
        <f t="shared" si="61"/>
        <v>484.03864272240349</v>
      </c>
      <c r="BH84" s="62">
        <f t="shared" si="62"/>
        <v>777.37197605573681</v>
      </c>
      <c r="BI84" s="62">
        <f ca="1">AVERAGE(OFFSET($BH$3,0,0,'Données projet'!$E$11+1,1))-AVERAGE(OFFSET($H$3,0,0,'Données projet'!$E$11+1,1))</f>
        <v>250.17147737747007</v>
      </c>
      <c r="BJ84" s="62">
        <f t="shared" si="92"/>
        <v>172.25613380618552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246.60000000000014</v>
      </c>
      <c r="BZ84" s="14">
        <f>BY84*VLOOKUP('Données projet'!$B$12,Paramètres!$A$1:$I$89,3,0)*VLOOKUP('Données projet'!$B$12,Paramètres!$A$1:$I$89,5,0)</f>
        <v>265.44024000000013</v>
      </c>
      <c r="CA84" s="14">
        <f t="shared" si="93"/>
        <v>63.880615973031119</v>
      </c>
      <c r="CB84" s="22">
        <f t="shared" si="64"/>
        <v>573.5671574863627</v>
      </c>
      <c r="CC84" s="62">
        <f t="shared" si="65"/>
        <v>866.90049081969596</v>
      </c>
      <c r="CD84" s="62">
        <f ca="1">AVERAGE(OFFSET($CC$3,0,0,'Données projet'!$E$12+1,1))-AVERAGE(OFFSET($H$3,0,0,'Données projet'!$E$12+1,1))</f>
        <v>311.71521576048417</v>
      </c>
      <c r="CE84" s="62">
        <f t="shared" si="94"/>
        <v>208.54841796921403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8.875</v>
      </c>
      <c r="CT84" s="13">
        <f>IF('Données projet'!$A$140&gt;35,CT83+CS84-DB83,IF(A84&lt;'Données projet'!$A$140,$CQ$205^A84,IF(A84='Données projet'!$A$140,'Données projet'!$B$140,CT83+CS84-DB83)))</f>
        <v>546.125</v>
      </c>
      <c r="CU84" s="18">
        <f>CT84*VLOOKUP('Données projet'!$B$13,Paramètres!$A$1:$I$89,3,0)*VLOOKUP('Données projet'!$B$13,Paramètres!$A$1:$I$89,5,0)</f>
        <v>326.58275000000003</v>
      </c>
      <c r="CV84" s="14">
        <f t="shared" si="95"/>
        <v>76.72139541907876</v>
      </c>
      <c r="CW84" s="22">
        <f t="shared" si="67"/>
        <v>702.42138660489547</v>
      </c>
      <c r="CX84" s="62">
        <f t="shared" si="68"/>
        <v>995.75471993822885</v>
      </c>
      <c r="CY84" s="62">
        <f ca="1">AVERAGE(OFFSET($CX$3,0,0,'Données projet'!$E$13+1,1))-AVERAGE(OFFSET($H$3,0,0,'Données projet'!$E$13+1,1))</f>
        <v>280.47174439810988</v>
      </c>
      <c r="CZ84" s="62">
        <f t="shared" si="96"/>
        <v>231.19476400361157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0.58794461581551294</v>
      </c>
      <c r="DH84" s="23">
        <f>EXP(-LN(2)/2)*DH83+(1-EXP(-LN(2)/2))/(LN(2)/2)*DB84*DE84*VLOOKUP('Données projet'!$B$13,Paramètres!$A$1:$I$89,3,0)*0.475*44/12</f>
        <v>4.4524480130716393E-7</v>
      </c>
      <c r="DI84" s="24">
        <f t="shared" si="69"/>
        <v>0.5879450610603143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5.4</v>
      </c>
      <c r="DO84" s="13">
        <f>IF('Données projet'!$A$166&gt;35,DO83+DN84-DW83,IF(A84&lt;'Données projet'!$A$166,$DL$205^A84,IF(A84='Données projet'!$A$166,'Données projet'!$B$166,DO83+DN84-DW83)))</f>
        <v>437.4000000000002</v>
      </c>
      <c r="DP84" s="18">
        <f>DO84*VLOOKUP('Données projet'!$B$14,Paramètres!$A$1:$I$89,3,0)*VLOOKUP('Données projet'!$B$14,Paramètres!$A$1:$I$89,5,0)</f>
        <v>261.56520000000012</v>
      </c>
      <c r="DQ84" s="14">
        <f t="shared" si="97"/>
        <v>63.055898711509336</v>
      </c>
      <c r="DR84" s="22">
        <f t="shared" si="70"/>
        <v>565.38174692254552</v>
      </c>
      <c r="DS84" s="62">
        <f t="shared" si="71"/>
        <v>858.71508025587877</v>
      </c>
      <c r="DT84" s="62">
        <f ca="1">AVERAGE(OFFSET($DS$3,0,0,'Données projet'!$E$14+1,1))-AVERAGE(OFFSET($H$3,0,0,'Données projet'!$E$14+1,1))</f>
        <v>282.98919020956595</v>
      </c>
      <c r="DU84" s="62">
        <f t="shared" si="98"/>
        <v>182.23565317232647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1.7255709486345249E-7</v>
      </c>
      <c r="ED84" s="24">
        <f t="shared" si="72"/>
        <v>1.7255709486345249E-7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9">
        <f t="shared" si="56"/>
        <v>419.18137201715149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10.962</v>
      </c>
      <c r="N85" s="14">
        <f>IF('Données projet'!$A$36&gt;35,N84+M85-V84,IF(A85&lt;'Données projet'!$A$36,$K$205^A85,IF(A85='Données projet'!$A$36,'Données projet'!$B$36,N84+M85-V84)))</f>
        <v>387.04599999999982</v>
      </c>
      <c r="O85" s="14">
        <f>N85*VLOOKUP('Données projet'!$B$9,Paramètres!$A$1:$I$89,3,0)*VLOOKUP('Données projet'!$B$9,Paramètres!$A$1:$I$89,5,0)</f>
        <v>181.13752799999992</v>
      </c>
      <c r="P85" s="14">
        <f t="shared" si="87"/>
        <v>45.57517232438407</v>
      </c>
      <c r="Q85" s="22">
        <f t="shared" si="54"/>
        <v>394.8579530649688</v>
      </c>
      <c r="R85" s="62">
        <f t="shared" si="55"/>
        <v>688.19128639830205</v>
      </c>
      <c r="S85" s="62">
        <f ca="1">AVERAGE(OFFSET($R$3,0,0,'Données projet'!$E$9+1,1))-AVERAGE(OFFSET($H$3,0,0,'Données projet'!$E$9+1,1))</f>
        <v>172.62653085905839</v>
      </c>
      <c r="T85" s="62">
        <f t="shared" si="88"/>
        <v>103.0747749312265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255.73080000000016</v>
      </c>
      <c r="AK85" s="14">
        <f t="shared" si="89"/>
        <v>61.811482021795285</v>
      </c>
      <c r="AL85" s="22">
        <f t="shared" si="58"/>
        <v>553.05280785462708</v>
      </c>
      <c r="AM85" s="62">
        <f t="shared" si="59"/>
        <v>846.38614118796045</v>
      </c>
      <c r="AN85" s="62">
        <f ca="1">AVERAGE(OFFSET($AM$3,0,0,'Données projet'!$E$10+1,1))-AVERAGE(OFFSET($H$3,0,0,'Données projet'!$E$10+1,1))</f>
        <v>289.36126704091066</v>
      </c>
      <c r="AO85" s="62">
        <f t="shared" si="90"/>
        <v>195.3674411454258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228.19056000000012</v>
      </c>
      <c r="BF85" s="14">
        <f t="shared" si="91"/>
        <v>55.891258634424609</v>
      </c>
      <c r="BG85" s="22">
        <f t="shared" si="61"/>
        <v>494.77583412162312</v>
      </c>
      <c r="BH85" s="62">
        <f t="shared" si="62"/>
        <v>788.10916745495638</v>
      </c>
      <c r="BI85" s="62">
        <f ca="1">AVERAGE(OFFSET($BH$3,0,0,'Données projet'!$E$11+1,1))-AVERAGE(OFFSET($H$3,0,0,'Données projet'!$E$11+1,1))</f>
        <v>250.17147737747007</v>
      </c>
      <c r="BJ85" s="62">
        <f t="shared" si="92"/>
        <v>172.25613380618552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252.20000000000013</v>
      </c>
      <c r="BZ85" s="14">
        <f>BY85*VLOOKUP('Données projet'!$B$12,Paramètres!$A$1:$I$89,3,0)*VLOOKUP('Données projet'!$B$12,Paramètres!$A$1:$I$89,5,0)</f>
        <v>271.46808000000016</v>
      </c>
      <c r="CA85" s="14">
        <f t="shared" si="93"/>
        <v>65.160734519435991</v>
      </c>
      <c r="CB85" s="22">
        <f t="shared" si="64"/>
        <v>586.29518528801793</v>
      </c>
      <c r="CC85" s="62">
        <f t="shared" si="65"/>
        <v>879.6285186213513</v>
      </c>
      <c r="CD85" s="62">
        <f ca="1">AVERAGE(OFFSET($CC$3,0,0,'Données projet'!$E$12+1,1))-AVERAGE(OFFSET($H$3,0,0,'Données projet'!$E$12+1,1))</f>
        <v>311.71521576048417</v>
      </c>
      <c r="CE85" s="62">
        <f t="shared" si="94"/>
        <v>208.54841796921403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>
        <f>VLOOKUP(A85,'Données projet'!$A$139:$I$159,2,0)</f>
        <v>555</v>
      </c>
      <c r="CR85" s="13">
        <f>VLOOKUP(A85,'Données projet'!$A$139:$I$159,9,0)</f>
        <v>8.875</v>
      </c>
      <c r="CS85" s="13">
        <f t="array" ref="CS85">INDEX(CR:CR,MIN(IF(ISNUMBER(CR85:CR281),ROW(CR85:CR281),"")))</f>
        <v>8.875</v>
      </c>
      <c r="CT85" s="13">
        <f>IF('Données projet'!$A$140&gt;35,CT84+CS85-DB84,IF(A85&lt;'Données projet'!$A$140,$CQ$205^A85,IF(A85='Données projet'!$A$140,'Données projet'!$B$140,CT84+CS85-DB84)))</f>
        <v>555</v>
      </c>
      <c r="CU85" s="18">
        <f>CT85*VLOOKUP('Données projet'!$B$13,Paramètres!$A$1:$I$89,3,0)*VLOOKUP('Données projet'!$B$13,Paramètres!$A$1:$I$89,5,0)</f>
        <v>331.89000000000004</v>
      </c>
      <c r="CV85" s="14">
        <f t="shared" si="95"/>
        <v>77.822022056956186</v>
      </c>
      <c r="CW85" s="22">
        <f t="shared" si="67"/>
        <v>713.58177174919865</v>
      </c>
      <c r="CX85" s="62">
        <f t="shared" si="68"/>
        <v>1006.9151050825319</v>
      </c>
      <c r="CY85" s="62">
        <f ca="1">AVERAGE(OFFSET($CX$3,0,0,'Données projet'!$E$13+1,1))-AVERAGE(OFFSET($H$3,0,0,'Données projet'!$E$13+1,1))</f>
        <v>280.47174439810988</v>
      </c>
      <c r="CZ85" s="62">
        <f t="shared" si="96"/>
        <v>231.19476400361157</v>
      </c>
      <c r="DA85" s="16">
        <f>IF(ISNA(VLOOKUP(A85,'Données projet'!$A$139:$I$159,3,0)),0,VLOOKUP(A85,'Données projet'!$A$139:$I$159,3,0))</f>
        <v>11</v>
      </c>
      <c r="DB85" s="16">
        <f>IF(ISNA(VLOOKUP(A85,'Données projet'!$A$139:$I$159,4,0)),0,VLOOKUP(A85,'Données projet'!$A$139:$I$159,4,0))</f>
        <v>555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0.57186723937737416</v>
      </c>
      <c r="DH85" s="23">
        <f>EXP(-LN(2)/2)*DH84+(1-EXP(-LN(2)/2))/(LN(2)/2)*DB85*DE85*VLOOKUP('Données projet'!$B$13,Paramètres!$A$1:$I$89,3,0)*0.475*44/12</f>
        <v>3.1483561829235259E-7</v>
      </c>
      <c r="DI85" s="24">
        <f t="shared" si="69"/>
        <v>0.5718675542129924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5.4</v>
      </c>
      <c r="DO85" s="13">
        <f>IF('Données projet'!$A$166&gt;35,DO84+DN85-DW84,IF(A85&lt;'Données projet'!$A$166,$DL$205^A85,IF(A85='Données projet'!$A$166,'Données projet'!$B$166,DO84+DN85-DW84)))</f>
        <v>442.80000000000018</v>
      </c>
      <c r="DP85" s="18">
        <f>DO85*VLOOKUP('Données projet'!$B$14,Paramètres!$A$1:$I$89,3,0)*VLOOKUP('Données projet'!$B$14,Paramètres!$A$1:$I$89,5,0)</f>
        <v>264.79440000000017</v>
      </c>
      <c r="DQ85" s="14">
        <f t="shared" si="97"/>
        <v>63.743260954906233</v>
      </c>
      <c r="DR85" s="22">
        <f t="shared" si="70"/>
        <v>572.20309282979531</v>
      </c>
      <c r="DS85" s="62">
        <f t="shared" si="71"/>
        <v>865.53642616312868</v>
      </c>
      <c r="DT85" s="62">
        <f ca="1">AVERAGE(OFFSET($DS$3,0,0,'Données projet'!$E$14+1,1))-AVERAGE(OFFSET($H$3,0,0,'Données projet'!$E$14+1,1))</f>
        <v>282.98919020956595</v>
      </c>
      <c r="DU85" s="62">
        <f t="shared" si="98"/>
        <v>182.23565317232647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1.2201629191979763E-7</v>
      </c>
      <c r="ED85" s="24">
        <f t="shared" si="72"/>
        <v>1.2201629191979763E-7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9">
        <f t="shared" si="56"/>
        <v>421.1125641275006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10.962</v>
      </c>
      <c r="N86" s="14">
        <f>IF('Données projet'!$A$36&gt;35,N85+M86-V85,IF(A86&lt;'Données projet'!$A$36,$K$205^A86,IF(A86='Données projet'!$A$36,'Données projet'!$B$36,N85+M86-V85)))</f>
        <v>398.00799999999981</v>
      </c>
      <c r="O86" s="14">
        <f>N86*VLOOKUP('Données projet'!$B$9,Paramètres!$A$1:$I$89,3,0)*VLOOKUP('Données projet'!$B$9,Paramètres!$A$1:$I$89,5,0)</f>
        <v>186.26774399999991</v>
      </c>
      <c r="P86" s="14">
        <f t="shared" si="87"/>
        <v>46.713853722054672</v>
      </c>
      <c r="Q86" s="22">
        <f t="shared" si="54"/>
        <v>405.77628269924503</v>
      </c>
      <c r="R86" s="62">
        <f t="shared" si="55"/>
        <v>699.10961603257829</v>
      </c>
      <c r="S86" s="62">
        <f ca="1">AVERAGE(OFFSET($R$3,0,0,'Données projet'!$E$9+1,1))-AVERAGE(OFFSET($H$3,0,0,'Données projet'!$E$9+1,1))</f>
        <v>172.62653085905839</v>
      </c>
      <c r="T86" s="62">
        <f t="shared" si="88"/>
        <v>103.0747749312265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261.40920000000011</v>
      </c>
      <c r="AK86" s="14">
        <f t="shared" si="89"/>
        <v>63.022667885185157</v>
      </c>
      <c r="AL86" s="22">
        <f t="shared" si="58"/>
        <v>565.052169900031</v>
      </c>
      <c r="AM86" s="62">
        <f t="shared" si="59"/>
        <v>858.38550323336426</v>
      </c>
      <c r="AN86" s="62">
        <f ca="1">AVERAGE(OFFSET($AM$3,0,0,'Données projet'!$E$10+1,1))-AVERAGE(OFFSET($H$3,0,0,'Données projet'!$E$10+1,1))</f>
        <v>289.36126704091066</v>
      </c>
      <c r="AO86" s="62">
        <f t="shared" si="90"/>
        <v>195.3674411454258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233.25744000000009</v>
      </c>
      <c r="BF86" s="14">
        <f t="shared" si="91"/>
        <v>56.9864386904733</v>
      </c>
      <c r="BG86" s="22">
        <f t="shared" si="61"/>
        <v>505.50808871924113</v>
      </c>
      <c r="BH86" s="62">
        <f t="shared" si="62"/>
        <v>798.84142205257444</v>
      </c>
      <c r="BI86" s="62">
        <f ca="1">AVERAGE(OFFSET($BH$3,0,0,'Données projet'!$E$11+1,1))-AVERAGE(OFFSET($H$3,0,0,'Données projet'!$E$11+1,1))</f>
        <v>250.17147737747007</v>
      </c>
      <c r="BJ86" s="62">
        <f t="shared" si="92"/>
        <v>172.25613380618552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257.80000000000013</v>
      </c>
      <c r="BZ86" s="14">
        <f>BY86*VLOOKUP('Données projet'!$B$12,Paramètres!$A$1:$I$89,3,0)*VLOOKUP('Données projet'!$B$12,Paramètres!$A$1:$I$89,5,0)</f>
        <v>277.49592000000013</v>
      </c>
      <c r="CA86" s="14">
        <f t="shared" si="93"/>
        <v>66.437548436795439</v>
      </c>
      <c r="CB86" s="22">
        <f t="shared" si="64"/>
        <v>599.01745752741897</v>
      </c>
      <c r="CC86" s="62">
        <f t="shared" si="65"/>
        <v>892.35079086075234</v>
      </c>
      <c r="CD86" s="62">
        <f ca="1">AVERAGE(OFFSET($CC$3,0,0,'Données projet'!$E$12+1,1))-AVERAGE(OFFSET($H$3,0,0,'Données projet'!$E$12+1,1))</f>
        <v>311.71521576048417</v>
      </c>
      <c r="CE86" s="62">
        <f t="shared" si="94"/>
        <v>208.54841796921403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280.47174439810988</v>
      </c>
      <c r="CZ86" s="62">
        <f t="shared" si="96"/>
        <v>231.19476400361157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0.55622949964340873</v>
      </c>
      <c r="DH86" s="23">
        <f>EXP(-LN(2)/2)*DH85+(1-EXP(-LN(2)/2))/(LN(2)/2)*DB86*DE86*VLOOKUP('Données projet'!$B$13,Paramètres!$A$1:$I$89,3,0)*0.475*44/12</f>
        <v>2.2262240065358197E-7</v>
      </c>
      <c r="DI86" s="24">
        <f t="shared" si="69"/>
        <v>0.55622972226580936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5.4</v>
      </c>
      <c r="DO86" s="13">
        <f>IF('Données projet'!$A$166&gt;35,DO85+DN86-DW85,IF(A86&lt;'Données projet'!$A$166,$DL$205^A86,IF(A86='Données projet'!$A$166,'Données projet'!$B$166,DO85+DN86-DW85)))</f>
        <v>448.20000000000016</v>
      </c>
      <c r="DP86" s="18">
        <f>DO86*VLOOKUP('Données projet'!$B$14,Paramètres!$A$1:$I$89,3,0)*VLOOKUP('Données projet'!$B$14,Paramètres!$A$1:$I$89,5,0)</f>
        <v>268.0236000000001</v>
      </c>
      <c r="DQ86" s="14">
        <f t="shared" si="97"/>
        <v>64.429648145853221</v>
      </c>
      <c r="DR86" s="22">
        <f t="shared" si="70"/>
        <v>579.02274052069447</v>
      </c>
      <c r="DS86" s="62">
        <f t="shared" si="71"/>
        <v>872.35607385402773</v>
      </c>
      <c r="DT86" s="62">
        <f ca="1">AVERAGE(OFFSET($DS$3,0,0,'Données projet'!$E$14+1,1))-AVERAGE(OFFSET($H$3,0,0,'Données projet'!$E$14+1,1))</f>
        <v>282.98919020956595</v>
      </c>
      <c r="DU86" s="62">
        <f t="shared" si="98"/>
        <v>182.23565317232647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8.6278547431726247E-8</v>
      </c>
      <c r="ED86" s="24">
        <f t="shared" si="72"/>
        <v>8.6278547431726247E-8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9">
        <f t="shared" si="56"/>
        <v>423.0432201754565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408.97</v>
      </c>
      <c r="L87" s="13">
        <f>VLOOKUP(A87,'Données projet'!$A$35:$I$55,9,0)</f>
        <v>10.962</v>
      </c>
      <c r="M87" s="13">
        <f t="array" ref="M87">INDEX(L:L,MIN(IF(ISNUMBER(L87:L283),ROW(L87:L283),"")))</f>
        <v>10.962</v>
      </c>
      <c r="N87" s="14">
        <f>IF('Données projet'!$A$36&gt;35,N86+M87-V86,IF(A87&lt;'Données projet'!$A$36,$K$205^A87,IF(A87='Données projet'!$A$36,'Données projet'!$B$36,N86+M87-V86)))</f>
        <v>408.9699999999998</v>
      </c>
      <c r="O87" s="14">
        <f>N87*VLOOKUP('Données projet'!$B$9,Paramètres!$A$1:$I$89,3,0)*VLOOKUP('Données projet'!$B$9,Paramètres!$A$1:$I$89,5,0)</f>
        <v>191.39795999999993</v>
      </c>
      <c r="P87" s="14">
        <f t="shared" si="87"/>
        <v>47.848889970950232</v>
      </c>
      <c r="Q87" s="22">
        <f t="shared" si="54"/>
        <v>416.68826369940484</v>
      </c>
      <c r="R87" s="62">
        <f t="shared" si="55"/>
        <v>710.0215970327381</v>
      </c>
      <c r="S87" s="62">
        <f ca="1">AVERAGE(OFFSET($R$3,0,0,'Données projet'!$E$9+1,1))-AVERAGE(OFFSET($H$3,0,0,'Données projet'!$E$9+1,1))</f>
        <v>172.62653085905839</v>
      </c>
      <c r="T87" s="62">
        <f t="shared" si="88"/>
        <v>103.0747749312265</v>
      </c>
      <c r="U87" s="16">
        <f>IF(ISNA(VLOOKUP(A87,'Données projet'!$A$35:$I$55,3,0)),0,VLOOKUP(A87,'Données projet'!$A$35:$I$55,3,0))</f>
        <v>9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267.08760000000018</v>
      </c>
      <c r="AK87" s="14">
        <f t="shared" si="89"/>
        <v>64.230794913549914</v>
      </c>
      <c r="AL87" s="22">
        <f t="shared" si="58"/>
        <v>577.04620447443301</v>
      </c>
      <c r="AM87" s="62">
        <f t="shared" si="59"/>
        <v>870.37953780776638</v>
      </c>
      <c r="AN87" s="62">
        <f ca="1">AVERAGE(OFFSET($AM$3,0,0,'Données projet'!$E$10+1,1))-AVERAGE(OFFSET($H$3,0,0,'Données projet'!$E$10+1,1))</f>
        <v>289.36126704091066</v>
      </c>
      <c r="AO87" s="62">
        <f t="shared" si="90"/>
        <v>195.3674411454258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238.32432000000011</v>
      </c>
      <c r="BF87" s="14">
        <f t="shared" si="91"/>
        <v>58.078852882738808</v>
      </c>
      <c r="BG87" s="22">
        <f t="shared" si="61"/>
        <v>516.23552610410366</v>
      </c>
      <c r="BH87" s="62">
        <f t="shared" si="62"/>
        <v>809.56885943743691</v>
      </c>
      <c r="BI87" s="62">
        <f ca="1">AVERAGE(OFFSET($BH$3,0,0,'Données projet'!$E$11+1,1))-AVERAGE(OFFSET($H$3,0,0,'Données projet'!$E$11+1,1))</f>
        <v>250.17147737747007</v>
      </c>
      <c r="BJ87" s="62">
        <f t="shared" si="92"/>
        <v>172.25613380618552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263.40000000000015</v>
      </c>
      <c r="BZ87" s="14">
        <f>BY87*VLOOKUP('Données projet'!$B$12,Paramètres!$A$1:$I$89,3,0)*VLOOKUP('Données projet'!$B$12,Paramètres!$A$1:$I$89,5,0)</f>
        <v>283.52376000000015</v>
      </c>
      <c r="CA87" s="14">
        <f t="shared" si="93"/>
        <v>67.711137776285355</v>
      </c>
      <c r="CB87" s="22">
        <f t="shared" si="64"/>
        <v>611.73411362703052</v>
      </c>
      <c r="CC87" s="62">
        <f t="shared" si="65"/>
        <v>905.0674469603639</v>
      </c>
      <c r="CD87" s="62">
        <f ca="1">AVERAGE(OFFSET($CC$3,0,0,'Données projet'!$E$12+1,1))-AVERAGE(OFFSET($H$3,0,0,'Données projet'!$E$12+1,1))</f>
        <v>311.71521576048417</v>
      </c>
      <c r="CE87" s="62">
        <f t="shared" si="94"/>
        <v>208.54841796921403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280.47174439810988</v>
      </c>
      <c r="CZ87" s="62">
        <f t="shared" si="96"/>
        <v>231.19476400361157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0.54101937472482164</v>
      </c>
      <c r="DH87" s="23">
        <f>EXP(-LN(2)/2)*DH86+(1-EXP(-LN(2)/2))/(LN(2)/2)*DB87*DE87*VLOOKUP('Données projet'!$B$13,Paramètres!$A$1:$I$89,3,0)*0.475*44/12</f>
        <v>1.574178091461763E-7</v>
      </c>
      <c r="DI87" s="24">
        <f t="shared" si="69"/>
        <v>0.54101953214263077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5.4</v>
      </c>
      <c r="DO87" s="13">
        <f>IF('Données projet'!$A$166&gt;35,DO86+DN87-DW86,IF(A87&lt;'Données projet'!$A$166,$DL$205^A87,IF(A87='Données projet'!$A$166,'Données projet'!$B$166,DO86+DN87-DW86)))</f>
        <v>453.60000000000014</v>
      </c>
      <c r="DP87" s="18">
        <f>DO87*VLOOKUP('Données projet'!$B$14,Paramètres!$A$1:$I$89,3,0)*VLOOKUP('Données projet'!$B$14,Paramètres!$A$1:$I$89,5,0)</f>
        <v>271.25280000000009</v>
      </c>
      <c r="DQ87" s="14">
        <f t="shared" si="97"/>
        <v>65.115073390838916</v>
      </c>
      <c r="DR87" s="22">
        <f t="shared" si="70"/>
        <v>585.8407128223779</v>
      </c>
      <c r="DS87" s="62">
        <f t="shared" si="71"/>
        <v>879.17404615571127</v>
      </c>
      <c r="DT87" s="62">
        <f ca="1">AVERAGE(OFFSET($DS$3,0,0,'Données projet'!$E$14+1,1))-AVERAGE(OFFSET($H$3,0,0,'Données projet'!$E$14+1,1))</f>
        <v>282.98919020956595</v>
      </c>
      <c r="DU87" s="62">
        <f t="shared" si="98"/>
        <v>182.23565317232647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6.1008145959898813E-8</v>
      </c>
      <c r="ED87" s="24">
        <f t="shared" si="72"/>
        <v>6.1008145959898813E-8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9">
        <f t="shared" si="56"/>
        <v>424.97334728094779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420.16</v>
      </c>
      <c r="L88" s="13">
        <f>VLOOKUP(A88,'Données projet'!$A$35:$I$55,9,0)</f>
        <v>11.189999999999998</v>
      </c>
      <c r="M88" s="13">
        <f t="array" ref="M88">INDEX(L:L,MIN(IF(ISNUMBER(L88:L284),ROW(L88:L284),"")))</f>
        <v>11.189999999999998</v>
      </c>
      <c r="N88" s="14">
        <f>IF('Données projet'!$A$36&gt;35,N87+M88-V87,IF(A88&lt;'Données projet'!$A$36,$K$205^A88,IF(A88='Données projet'!$A$36,'Données projet'!$B$36,N87+M88-V87)))</f>
        <v>420.1599999999998</v>
      </c>
      <c r="O88" s="14">
        <f>N88*VLOOKUP('Données projet'!$B$9,Paramètres!$A$1:$I$89,3,0)*VLOOKUP('Données projet'!$B$9,Paramètres!$A$1:$I$89,5,0)</f>
        <v>196.6348799999999</v>
      </c>
      <c r="P88" s="14">
        <f t="shared" si="87"/>
        <v>49.003887420349052</v>
      </c>
      <c r="Q88" s="22">
        <f t="shared" si="54"/>
        <v>427.82085325710779</v>
      </c>
      <c r="R88" s="62">
        <f t="shared" si="55"/>
        <v>721.1541865904411</v>
      </c>
      <c r="S88" s="62">
        <f ca="1">AVERAGE(OFFSET($R$3,0,0,'Données projet'!$E$9+1,1))-AVERAGE(OFFSET($H$3,0,0,'Données projet'!$E$9+1,1))</f>
        <v>172.62653085905839</v>
      </c>
      <c r="T88" s="62">
        <f t="shared" si="88"/>
        <v>103.0747749312265</v>
      </c>
      <c r="U88" s="16">
        <f>IF(ISNA(VLOOKUP(A88,'Données projet'!$A$35:$I$55,3,0)),0,VLOOKUP(A88,'Données projet'!$A$35:$I$55,3,0))</f>
        <v>10</v>
      </c>
      <c r="V88" s="16">
        <f>IF(ISNA(VLOOKUP(A88,'Données projet'!$A$35:$I$55,4,0)),0,VLOOKUP(A88,'Données projet'!$A$35:$I$55,4,0))</f>
        <v>94.69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272.76600000000019</v>
      </c>
      <c r="AK88" s="14">
        <f t="shared" si="89"/>
        <v>65.435935630087627</v>
      </c>
      <c r="AL88" s="22">
        <f t="shared" si="58"/>
        <v>589.03503788906949</v>
      </c>
      <c r="AM88" s="62">
        <f t="shared" si="59"/>
        <v>882.36837122240286</v>
      </c>
      <c r="AN88" s="62">
        <f ca="1">AVERAGE(OFFSET($AM$3,0,0,'Données projet'!$E$10+1,1))-AVERAGE(OFFSET($H$3,0,0,'Données projet'!$E$10+1,1))</f>
        <v>289.36126704091066</v>
      </c>
      <c r="AO88" s="62">
        <f t="shared" si="90"/>
        <v>195.3674411454258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243.39120000000017</v>
      </c>
      <c r="BF88" s="14">
        <f t="shared" si="91"/>
        <v>59.168566788241577</v>
      </c>
      <c r="BG88" s="22">
        <f t="shared" si="61"/>
        <v>526.95826048952097</v>
      </c>
      <c r="BH88" s="62">
        <f t="shared" si="62"/>
        <v>820.29159382285434</v>
      </c>
      <c r="BI88" s="62">
        <f ca="1">AVERAGE(OFFSET($BH$3,0,0,'Données projet'!$E$11+1,1))-AVERAGE(OFFSET($H$3,0,0,'Données projet'!$E$11+1,1))</f>
        <v>250.17147737747007</v>
      </c>
      <c r="BJ88" s="62">
        <f t="shared" si="92"/>
        <v>172.25613380618552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5.6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269.00000000000017</v>
      </c>
      <c r="BZ88" s="14">
        <f>BY88*VLOOKUP('Données projet'!$B$12,Paramètres!$A$1:$I$89,3,0)*VLOOKUP('Données projet'!$B$12,Paramètres!$A$1:$I$89,5,0)</f>
        <v>289.55160000000018</v>
      </c>
      <c r="CA88" s="14">
        <f t="shared" si="93"/>
        <v>68.981578990770117</v>
      </c>
      <c r="CB88" s="22">
        <f t="shared" si="64"/>
        <v>624.44528674225819</v>
      </c>
      <c r="CC88" s="62">
        <f t="shared" si="65"/>
        <v>917.77862007559156</v>
      </c>
      <c r="CD88" s="62">
        <f ca="1">AVERAGE(OFFSET($CC$3,0,0,'Données projet'!$E$12+1,1))-AVERAGE(OFFSET($H$3,0,0,'Données projet'!$E$12+1,1))</f>
        <v>311.71521576048417</v>
      </c>
      <c r="CE88" s="62">
        <f t="shared" si="94"/>
        <v>208.54841796921403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280.47174439810988</v>
      </c>
      <c r="CZ88" s="62">
        <f t="shared" si="96"/>
        <v>231.19476400361157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0.52622517147199899</v>
      </c>
      <c r="DH88" s="23">
        <f>EXP(-LN(2)/2)*DH87+(1-EXP(-LN(2)/2))/(LN(2)/2)*DB88*DE88*VLOOKUP('Données projet'!$B$13,Paramètres!$A$1:$I$89,3,0)*0.475*44/12</f>
        <v>1.1131120032679098E-7</v>
      </c>
      <c r="DI88" s="24">
        <f t="shared" si="69"/>
        <v>0.52622528278319936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5.4</v>
      </c>
      <c r="DO88" s="13">
        <f>IF('Données projet'!$A$166&gt;35,DO87+DN88-DW87,IF(A88&lt;'Données projet'!$A$166,$DL$205^A88,IF(A88='Données projet'!$A$166,'Données projet'!$B$166,DO87+DN88-DW87)))</f>
        <v>459.00000000000011</v>
      </c>
      <c r="DP88" s="18">
        <f>DO88*VLOOKUP('Données projet'!$B$14,Paramètres!$A$1:$I$89,3,0)*VLOOKUP('Données projet'!$B$14,Paramètres!$A$1:$I$89,5,0)</f>
        <v>274.48200000000008</v>
      </c>
      <c r="DQ88" s="14">
        <f t="shared" si="97"/>
        <v>65.799549466335947</v>
      </c>
      <c r="DR88" s="22">
        <f t="shared" si="70"/>
        <v>592.65703198720189</v>
      </c>
      <c r="DS88" s="62">
        <f t="shared" si="71"/>
        <v>885.99036532053515</v>
      </c>
      <c r="DT88" s="62">
        <f ca="1">AVERAGE(OFFSET($DS$3,0,0,'Données projet'!$E$14+1,1))-AVERAGE(OFFSET($H$3,0,0,'Données projet'!$E$14+1,1))</f>
        <v>282.98919020956595</v>
      </c>
      <c r="DU88" s="62">
        <f t="shared" si="98"/>
        <v>182.23565317232647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4.3139273715863123E-8</v>
      </c>
      <c r="ED88" s="24">
        <f t="shared" si="72"/>
        <v>4.3139273715863123E-8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9">
        <f t="shared" si="56"/>
        <v>426.9029523867344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>
        <f>VLOOKUP(A89,'Données projet'!$A$35:$I$55,2,0)</f>
        <v>335.8</v>
      </c>
      <c r="L89" s="13">
        <f>VLOOKUP(A89,'Données projet'!$A$35:$I$55,9,0)</f>
        <v>10.329999999999984</v>
      </c>
      <c r="M89" s="13">
        <f t="array" ref="M89">INDEX(L:L,MIN(IF(ISNUMBER(L89:L285),ROW(L89:L285),"")))</f>
        <v>10.329999999999984</v>
      </c>
      <c r="N89" s="14">
        <f>IF('Données projet'!$A$36&gt;35,N88+M89-V88,IF(A89&lt;'Données projet'!$A$36,$K$205^A89,IF(A89='Données projet'!$A$36,'Données projet'!$B$36,N88+M89-V88)))</f>
        <v>335.79999999999978</v>
      </c>
      <c r="O89" s="14">
        <f>N89*VLOOKUP('Données projet'!$B$9,Paramètres!$A$1:$I$89,3,0)*VLOOKUP('Données projet'!$B$9,Paramètres!$A$1:$I$89,5,0)</f>
        <v>157.1543999999999</v>
      </c>
      <c r="P89" s="14">
        <f t="shared" si="87"/>
        <v>40.20001359187092</v>
      </c>
      <c r="Q89" s="22">
        <f t="shared" si="54"/>
        <v>343.72560367250827</v>
      </c>
      <c r="R89" s="62">
        <f t="shared" si="55"/>
        <v>637.05893700584159</v>
      </c>
      <c r="S89" s="62">
        <f ca="1">AVERAGE(OFFSET($R$3,0,0,'Données projet'!$E$9+1,1))-AVERAGE(OFFSET($H$3,0,0,'Données projet'!$E$9+1,1))</f>
        <v>172.62653085905839</v>
      </c>
      <c r="T89" s="62">
        <f t="shared" si="88"/>
        <v>103.0747749312265</v>
      </c>
      <c r="U89" s="16">
        <f>IF(ISNA(VLOOKUP(A89,'Données projet'!$A$35:$I$55,3,0)),0,VLOOKUP(A89,'Données projet'!$A$35:$I$55,3,0))</f>
        <v>11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256.94760000000014</v>
      </c>
      <c r="AK89" s="14">
        <f t="shared" si="89"/>
        <v>62.071283104858303</v>
      </c>
      <c r="AL89" s="22">
        <f t="shared" si="58"/>
        <v>555.6245547409618</v>
      </c>
      <c r="AM89" s="62">
        <f t="shared" si="59"/>
        <v>848.95788807429517</v>
      </c>
      <c r="AN89" s="62">
        <f ca="1">AVERAGE(OFFSET($AM$3,0,0,'Données projet'!$E$10+1,1))-AVERAGE(OFFSET($H$3,0,0,'Données projet'!$E$10+1,1))</f>
        <v>289.36126704091066</v>
      </c>
      <c r="AO89" s="62">
        <f t="shared" si="90"/>
        <v>195.3674411454258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229.27632000000011</v>
      </c>
      <c r="BF89" s="14">
        <f t="shared" si="91"/>
        <v>56.126176307517476</v>
      </c>
      <c r="BG89" s="22">
        <f t="shared" si="61"/>
        <v>497.07601440225977</v>
      </c>
      <c r="BH89" s="62">
        <f t="shared" si="62"/>
        <v>790.40934773559309</v>
      </c>
      <c r="BI89" s="62">
        <f ca="1">AVERAGE(OFFSET($BH$3,0,0,'Données projet'!$E$11+1,1))-AVERAGE(OFFSET($H$3,0,0,'Données projet'!$E$11+1,1))</f>
        <v>250.17147737747007</v>
      </c>
      <c r="BJ89" s="62">
        <f t="shared" si="92"/>
        <v>172.25613380618552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253.40000000000015</v>
      </c>
      <c r="BZ89" s="14">
        <f>BY89*VLOOKUP('Données projet'!$B$12,Paramètres!$A$1:$I$89,3,0)*VLOOKUP('Données projet'!$B$12,Paramètres!$A$1:$I$89,5,0)</f>
        <v>272.75976000000014</v>
      </c>
      <c r="CA89" s="14">
        <f t="shared" si="93"/>
        <v>65.434612913022562</v>
      </c>
      <c r="CB89" s="22">
        <f t="shared" si="64"/>
        <v>589.02186615684775</v>
      </c>
      <c r="CC89" s="62">
        <f t="shared" si="65"/>
        <v>882.35519949018112</v>
      </c>
      <c r="CD89" s="62">
        <f ca="1">AVERAGE(OFFSET($CC$3,0,0,'Données projet'!$E$12+1,1))-AVERAGE(OFFSET($H$3,0,0,'Données projet'!$E$12+1,1))</f>
        <v>311.71521576048417</v>
      </c>
      <c r="CE89" s="62">
        <f t="shared" si="94"/>
        <v>208.54841796921403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280.47174439810988</v>
      </c>
      <c r="CZ89" s="62">
        <f t="shared" si="96"/>
        <v>231.19476400361157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0.51183551648511816</v>
      </c>
      <c r="DH89" s="23">
        <f>EXP(-LN(2)/2)*DH88+(1-EXP(-LN(2)/2))/(LN(2)/2)*DB89*DE89*VLOOKUP('Données projet'!$B$13,Paramètres!$A$1:$I$89,3,0)*0.475*44/12</f>
        <v>7.8708904573088148E-8</v>
      </c>
      <c r="DI89" s="24">
        <f t="shared" si="69"/>
        <v>0.51183559519402277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464.40000000000009</v>
      </c>
      <c r="DP89" s="18">
        <f>DO89*VLOOKUP('Données projet'!$B$14,Paramètres!$A$1:$I$89,3,0)*VLOOKUP('Données projet'!$B$14,Paramètres!$A$1:$I$89,5,0)</f>
        <v>277.71120000000008</v>
      </c>
      <c r="DQ89" s="14">
        <f t="shared" si="97"/>
        <v>66.483088830894033</v>
      </c>
      <c r="DR89" s="22">
        <f t="shared" si="70"/>
        <v>599.47171971380715</v>
      </c>
      <c r="DS89" s="62">
        <f t="shared" si="71"/>
        <v>892.80505304714052</v>
      </c>
      <c r="DT89" s="62">
        <f ca="1">AVERAGE(OFFSET($DS$3,0,0,'Données projet'!$E$14+1,1))-AVERAGE(OFFSET($H$3,0,0,'Données projet'!$E$14+1,1))</f>
        <v>282.98919020956595</v>
      </c>
      <c r="DU89" s="62">
        <f t="shared" si="98"/>
        <v>182.23565317232647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3.0504072979949406E-8</v>
      </c>
      <c r="ED89" s="24">
        <f t="shared" si="72"/>
        <v>3.0504072979949406E-8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9">
        <f t="shared" si="56"/>
        <v>428.83204226482388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10.035454545454543</v>
      </c>
      <c r="N90" s="14">
        <f>IF('Données projet'!$A$36&gt;35,N89+M90-V89,IF(A90&lt;'Données projet'!$A$36,$K$205^A90,IF(A90='Données projet'!$A$36,'Données projet'!$B$36,N89+M90-V89)))</f>
        <v>345.83545454545435</v>
      </c>
      <c r="O90" s="14">
        <f>N90*VLOOKUP('Données projet'!$B$9,Paramètres!$A$1:$I$89,3,0)*VLOOKUP('Données projet'!$B$9,Paramètres!$A$1:$I$89,5,0)</f>
        <v>161.85099272727263</v>
      </c>
      <c r="P90" s="14">
        <f t="shared" si="87"/>
        <v>41.259732086016619</v>
      </c>
      <c r="Q90" s="22">
        <f t="shared" si="54"/>
        <v>353.75117904981204</v>
      </c>
      <c r="R90" s="62">
        <f t="shared" si="55"/>
        <v>647.08451238314535</v>
      </c>
      <c r="S90" s="62">
        <f ca="1">AVERAGE(OFFSET($R$3,0,0,'Données projet'!$E$9+1,1))-AVERAGE(OFFSET($H$3,0,0,'Données projet'!$E$9+1,1))</f>
        <v>172.62653085905839</v>
      </c>
      <c r="T90" s="62">
        <f t="shared" si="88"/>
        <v>103.0747749312265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262.42320000000012</v>
      </c>
      <c r="AK90" s="14">
        <f t="shared" si="89"/>
        <v>63.23862706204779</v>
      </c>
      <c r="AL90" s="22">
        <f t="shared" si="58"/>
        <v>567.19434879973335</v>
      </c>
      <c r="AM90" s="62">
        <f t="shared" si="59"/>
        <v>860.52768213306672</v>
      </c>
      <c r="AN90" s="62">
        <f ca="1">AVERAGE(OFFSET($AM$3,0,0,'Données projet'!$E$10+1,1))-AVERAGE(OFFSET($H$3,0,0,'Données projet'!$E$10+1,1))</f>
        <v>289.36126704091066</v>
      </c>
      <c r="AO90" s="62">
        <f t="shared" si="90"/>
        <v>195.3674411454258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234.16224000000011</v>
      </c>
      <c r="BF90" s="14">
        <f t="shared" si="91"/>
        <v>57.181713578143096</v>
      </c>
      <c r="BG90" s="22">
        <f t="shared" si="61"/>
        <v>507.42405248193273</v>
      </c>
      <c r="BH90" s="62">
        <f t="shared" si="62"/>
        <v>800.75738581526605</v>
      </c>
      <c r="BI90" s="62">
        <f ca="1">AVERAGE(OFFSET($BH$3,0,0,'Données projet'!$E$11+1,1))-AVERAGE(OFFSET($H$3,0,0,'Données projet'!$E$11+1,1))</f>
        <v>250.17147737747007</v>
      </c>
      <c r="BJ90" s="62">
        <f t="shared" si="92"/>
        <v>172.25613380618552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258.80000000000013</v>
      </c>
      <c r="BZ90" s="14">
        <f>BY90*VLOOKUP('Données projet'!$B$12,Paramètres!$A$1:$I$89,3,0)*VLOOKUP('Données projet'!$B$12,Paramètres!$A$1:$I$89,5,0)</f>
        <v>278.5723200000001</v>
      </c>
      <c r="CA90" s="14">
        <f t="shared" si="93"/>
        <v>66.665209352377815</v>
      </c>
      <c r="CB90" s="22">
        <f t="shared" si="64"/>
        <v>601.28869695539152</v>
      </c>
      <c r="CC90" s="62">
        <f t="shared" si="65"/>
        <v>894.62203028872477</v>
      </c>
      <c r="CD90" s="62">
        <f ca="1">AVERAGE(OFFSET($CC$3,0,0,'Données projet'!$E$12+1,1))-AVERAGE(OFFSET($H$3,0,0,'Données projet'!$E$12+1,1))</f>
        <v>311.71521576048417</v>
      </c>
      <c r="CE90" s="62">
        <f t="shared" si="94"/>
        <v>208.54841796921403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280.47174439810988</v>
      </c>
      <c r="CZ90" s="62">
        <f t="shared" si="96"/>
        <v>231.19476400361157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0.49783934737057262</v>
      </c>
      <c r="DH90" s="23">
        <f>EXP(-LN(2)/2)*DH89+(1-EXP(-LN(2)/2))/(LN(2)/2)*DB90*DE90*VLOOKUP('Données projet'!$B$13,Paramètres!$A$1:$I$89,3,0)*0.475*44/12</f>
        <v>5.5655600163395492E-8</v>
      </c>
      <c r="DI90" s="24">
        <f t="shared" si="69"/>
        <v>0.4978394030261728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469.80000000000007</v>
      </c>
      <c r="DP90" s="18">
        <f>DO90*VLOOKUP('Données projet'!$B$14,Paramètres!$A$1:$I$89,3,0)*VLOOKUP('Données projet'!$B$14,Paramètres!$A$1:$I$89,5,0)</f>
        <v>280.94040000000007</v>
      </c>
      <c r="DQ90" s="14">
        <f t="shared" si="97"/>
        <v>67.165703636653262</v>
      </c>
      <c r="DR90" s="22">
        <f t="shared" si="70"/>
        <v>606.28479716717118</v>
      </c>
      <c r="DS90" s="62">
        <f t="shared" si="71"/>
        <v>899.61813050050455</v>
      </c>
      <c r="DT90" s="62">
        <f ca="1">AVERAGE(OFFSET($DS$3,0,0,'Données projet'!$E$14+1,1))-AVERAGE(OFFSET($H$3,0,0,'Données projet'!$E$14+1,1))</f>
        <v>282.98919020956595</v>
      </c>
      <c r="DU90" s="62">
        <f t="shared" si="98"/>
        <v>182.23565317232647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2.1569636857931562E-8</v>
      </c>
      <c r="ED90" s="24">
        <f t="shared" si="72"/>
        <v>2.1569636857931562E-8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9">
        <f t="shared" si="56"/>
        <v>430.76062352258458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10.035454545454543</v>
      </c>
      <c r="N91" s="14">
        <f>IF('Données projet'!$A$36&gt;35,N90+M91-V90,IF(A91&lt;'Données projet'!$A$36,$K$205^A91,IF(A91='Données projet'!$A$36,'Données projet'!$B$36,N90+M91-V90)))</f>
        <v>355.87090909090892</v>
      </c>
      <c r="O91" s="14">
        <f>N91*VLOOKUP('Données projet'!$B$9,Paramètres!$A$1:$I$89,3,0)*VLOOKUP('Données projet'!$B$9,Paramètres!$A$1:$I$89,5,0)</f>
        <v>166.54758545454536</v>
      </c>
      <c r="P91" s="14">
        <f t="shared" si="87"/>
        <v>42.315876681924209</v>
      </c>
      <c r="Q91" s="22">
        <f t="shared" si="54"/>
        <v>363.77052988768446</v>
      </c>
      <c r="R91" s="62">
        <f t="shared" si="55"/>
        <v>657.10386322101772</v>
      </c>
      <c r="S91" s="62">
        <f ca="1">AVERAGE(OFFSET($R$3,0,0,'Données projet'!$E$9+1,1))-AVERAGE(OFFSET($H$3,0,0,'Données projet'!$E$9+1,1))</f>
        <v>172.62653085905839</v>
      </c>
      <c r="T91" s="62">
        <f t="shared" si="88"/>
        <v>103.0747749312265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267.89880000000011</v>
      </c>
      <c r="AK91" s="14">
        <f t="shared" si="89"/>
        <v>64.403139057834565</v>
      </c>
      <c r="AL91" s="22">
        <f t="shared" si="58"/>
        <v>578.75921052572869</v>
      </c>
      <c r="AM91" s="62">
        <f t="shared" si="59"/>
        <v>872.09254385906206</v>
      </c>
      <c r="AN91" s="62">
        <f ca="1">AVERAGE(OFFSET($AM$3,0,0,'Données projet'!$E$10+1,1))-AVERAGE(OFFSET($H$3,0,0,'Données projet'!$E$10+1,1))</f>
        <v>289.36126704091066</v>
      </c>
      <c r="AO91" s="62">
        <f t="shared" si="90"/>
        <v>195.3674411454258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239.04816000000008</v>
      </c>
      <c r="BF91" s="14">
        <f t="shared" si="91"/>
        <v>58.234690128947342</v>
      </c>
      <c r="BG91" s="22">
        <f t="shared" si="61"/>
        <v>517.76763064125009</v>
      </c>
      <c r="BH91" s="62">
        <f t="shared" si="62"/>
        <v>811.10096397458346</v>
      </c>
      <c r="BI91" s="62">
        <f ca="1">AVERAGE(OFFSET($BH$3,0,0,'Données projet'!$E$11+1,1))-AVERAGE(OFFSET($H$3,0,0,'Données projet'!$E$11+1,1))</f>
        <v>250.17147737747007</v>
      </c>
      <c r="BJ91" s="62">
        <f t="shared" si="92"/>
        <v>172.25613380618552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264.2000000000001</v>
      </c>
      <c r="BZ91" s="14">
        <f>BY91*VLOOKUP('Données projet'!$B$12,Paramètres!$A$1:$I$89,3,0)*VLOOKUP('Données projet'!$B$12,Paramètres!$A$1:$I$89,5,0)</f>
        <v>284.38488000000012</v>
      </c>
      <c r="CA91" s="14">
        <f t="shared" si="93"/>
        <v>67.892820380623348</v>
      </c>
      <c r="CB91" s="22">
        <f t="shared" si="64"/>
        <v>613.55032816291907</v>
      </c>
      <c r="CC91" s="62">
        <f t="shared" si="65"/>
        <v>906.88366149625244</v>
      </c>
      <c r="CD91" s="62">
        <f ca="1">AVERAGE(OFFSET($CC$3,0,0,'Données projet'!$E$12+1,1))-AVERAGE(OFFSET($H$3,0,0,'Données projet'!$E$12+1,1))</f>
        <v>311.71521576048417</v>
      </c>
      <c r="CE91" s="62">
        <f t="shared" si="94"/>
        <v>208.54841796921403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280.47174439810988</v>
      </c>
      <c r="CZ91" s="62">
        <f t="shared" si="96"/>
        <v>231.19476400361157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0.48422590423649087</v>
      </c>
      <c r="DH91" s="23">
        <f>EXP(-LN(2)/2)*DH90+(1-EXP(-LN(2)/2))/(LN(2)/2)*DB91*DE91*VLOOKUP('Données projet'!$B$13,Paramètres!$A$1:$I$89,3,0)*0.475*44/12</f>
        <v>3.9354452286544074E-8</v>
      </c>
      <c r="DI91" s="24">
        <f t="shared" si="69"/>
        <v>0.48422594359094318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475.20000000000005</v>
      </c>
      <c r="DP91" s="18">
        <f>DO91*VLOOKUP('Données projet'!$B$14,Paramètres!$A$1:$I$89,3,0)*VLOOKUP('Données projet'!$B$14,Paramètres!$A$1:$I$89,5,0)</f>
        <v>284.16960000000006</v>
      </c>
      <c r="DQ91" s="14">
        <f t="shared" si="97"/>
        <v>67.847405740313931</v>
      </c>
      <c r="DR91" s="22">
        <f t="shared" si="70"/>
        <v>613.0962849977135</v>
      </c>
      <c r="DS91" s="62">
        <f t="shared" si="71"/>
        <v>906.42961833104687</v>
      </c>
      <c r="DT91" s="62">
        <f ca="1">AVERAGE(OFFSET($DS$3,0,0,'Données projet'!$E$14+1,1))-AVERAGE(OFFSET($H$3,0,0,'Données projet'!$E$14+1,1))</f>
        <v>282.98919020956595</v>
      </c>
      <c r="DU91" s="62">
        <f t="shared" si="98"/>
        <v>182.23565317232647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1.5252036489974703E-8</v>
      </c>
      <c r="ED91" s="24">
        <f t="shared" si="72"/>
        <v>1.5252036489974703E-8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9">
        <f t="shared" si="56"/>
        <v>432.68870260857216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10.035454545454543</v>
      </c>
      <c r="N92" s="14">
        <f>IF('Données projet'!$A$36&gt;35,N91+M92-V91,IF(A92&lt;'Données projet'!$A$36,$K$205^A92,IF(A92='Données projet'!$A$36,'Données projet'!$B$36,N91+M92-V91)))</f>
        <v>365.90636363636349</v>
      </c>
      <c r="O92" s="14">
        <f>N92*VLOOKUP('Données projet'!$B$9,Paramètres!$A$1:$I$89,3,0)*VLOOKUP('Données projet'!$B$9,Paramètres!$A$1:$I$89,5,0)</f>
        <v>171.24417818181814</v>
      </c>
      <c r="P92" s="14">
        <f t="shared" si="87"/>
        <v>43.368559739309113</v>
      </c>
      <c r="Q92" s="22">
        <f t="shared" si="54"/>
        <v>373.78385187929661</v>
      </c>
      <c r="R92" s="62">
        <f t="shared" si="55"/>
        <v>667.11718521262992</v>
      </c>
      <c r="S92" s="62">
        <f ca="1">AVERAGE(OFFSET($R$3,0,0,'Données projet'!$E$9+1,1))-AVERAGE(OFFSET($H$3,0,0,'Données projet'!$E$9+1,1))</f>
        <v>172.62653085905839</v>
      </c>
      <c r="T92" s="62">
        <f t="shared" si="88"/>
        <v>103.0747749312265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273.37440000000009</v>
      </c>
      <c r="AK92" s="14">
        <f t="shared" si="89"/>
        <v>65.564883644654444</v>
      </c>
      <c r="AL92" s="22">
        <f t="shared" si="58"/>
        <v>590.31925234777327</v>
      </c>
      <c r="AM92" s="62">
        <f t="shared" si="59"/>
        <v>883.65258568110653</v>
      </c>
      <c r="AN92" s="62">
        <f ca="1">AVERAGE(OFFSET($AM$3,0,0,'Données projet'!$E$10+1,1))-AVERAGE(OFFSET($H$3,0,0,'Données projet'!$E$10+1,1))</f>
        <v>289.36126704091066</v>
      </c>
      <c r="AO92" s="62">
        <f t="shared" si="90"/>
        <v>195.3674411454258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243.93408000000005</v>
      </c>
      <c r="BF92" s="14">
        <f t="shared" si="91"/>
        <v>59.28516432961765</v>
      </c>
      <c r="BG92" s="22">
        <f t="shared" si="61"/>
        <v>528.10685054075077</v>
      </c>
      <c r="BH92" s="62">
        <f t="shared" si="62"/>
        <v>821.44018387408414</v>
      </c>
      <c r="BI92" s="62">
        <f ca="1">AVERAGE(OFFSET($BH$3,0,0,'Données projet'!$E$11+1,1))-AVERAGE(OFFSET($H$3,0,0,'Données projet'!$E$11+1,1))</f>
        <v>250.17147737747007</v>
      </c>
      <c r="BJ92" s="62">
        <f t="shared" si="92"/>
        <v>172.25613380618552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269.60000000000008</v>
      </c>
      <c r="BZ92" s="14">
        <f>BY92*VLOOKUP('Données projet'!$B$12,Paramètres!$A$1:$I$89,3,0)*VLOOKUP('Données projet'!$B$12,Paramètres!$A$1:$I$89,5,0)</f>
        <v>290.19744000000003</v>
      </c>
      <c r="CA92" s="14">
        <f t="shared" si="93"/>
        <v>69.117514047966083</v>
      </c>
      <c r="CB92" s="22">
        <f t="shared" si="64"/>
        <v>625.80687830020759</v>
      </c>
      <c r="CC92" s="62">
        <f t="shared" si="65"/>
        <v>919.14021163354096</v>
      </c>
      <c r="CD92" s="62">
        <f ca="1">AVERAGE(OFFSET($CC$3,0,0,'Données projet'!$E$12+1,1))-AVERAGE(OFFSET($H$3,0,0,'Données projet'!$E$12+1,1))</f>
        <v>311.71521576048417</v>
      </c>
      <c r="CE92" s="62">
        <f t="shared" si="94"/>
        <v>208.54841796921403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280.47174439810988</v>
      </c>
      <c r="CZ92" s="62">
        <f t="shared" si="96"/>
        <v>231.19476400361157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0.47098472142081044</v>
      </c>
      <c r="DH92" s="23">
        <f>EXP(-LN(2)/2)*DH91+(1-EXP(-LN(2)/2))/(LN(2)/2)*DB92*DE92*VLOOKUP('Données projet'!$B$13,Paramètres!$A$1:$I$89,3,0)*0.475*44/12</f>
        <v>2.7827800081697746E-8</v>
      </c>
      <c r="DI92" s="24">
        <f t="shared" si="69"/>
        <v>0.4709847492486105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480.6</v>
      </c>
      <c r="DP92" s="18">
        <f>DO92*VLOOKUP('Données projet'!$B$14,Paramètres!$A$1:$I$89,3,0)*VLOOKUP('Données projet'!$B$14,Paramètres!$A$1:$I$89,5,0)</f>
        <v>287.39880000000005</v>
      </c>
      <c r="DQ92" s="14">
        <f t="shared" si="97"/>
        <v>68.528206713592894</v>
      </c>
      <c r="DR92" s="22">
        <f t="shared" si="70"/>
        <v>619.90620335950769</v>
      </c>
      <c r="DS92" s="62">
        <f t="shared" si="71"/>
        <v>913.23953669284106</v>
      </c>
      <c r="DT92" s="62">
        <f ca="1">AVERAGE(OFFSET($DS$3,0,0,'Données projet'!$E$14+1,1))-AVERAGE(OFFSET($H$3,0,0,'Données projet'!$E$14+1,1))</f>
        <v>282.98919020956595</v>
      </c>
      <c r="DU92" s="62">
        <f t="shared" si="98"/>
        <v>182.23565317232647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1.0784818428965781E-8</v>
      </c>
      <c r="ED92" s="24">
        <f t="shared" si="72"/>
        <v>1.0784818428965781E-8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9">
        <f t="shared" si="56"/>
        <v>434.61628581808787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10.035454545454543</v>
      </c>
      <c r="N93" s="14">
        <f>IF('Données projet'!$A$36&gt;35,N92+M93-V92,IF(A93&lt;'Données projet'!$A$36,$K$205^A93,IF(A93='Données projet'!$A$36,'Données projet'!$B$36,N92+M93-V92)))</f>
        <v>375.94181818181806</v>
      </c>
      <c r="O93" s="14">
        <f>N93*VLOOKUP('Données projet'!$B$9,Paramètres!$A$1:$I$89,3,0)*VLOOKUP('Données projet'!$B$9,Paramètres!$A$1:$I$89,5,0)</f>
        <v>175.94077090909087</v>
      </c>
      <c r="P93" s="14">
        <f t="shared" si="87"/>
        <v>44.417887103898053</v>
      </c>
      <c r="Q93" s="22">
        <f t="shared" si="54"/>
        <v>383.79132937262239</v>
      </c>
      <c r="R93" s="62">
        <f t="shared" si="55"/>
        <v>677.12466270595564</v>
      </c>
      <c r="S93" s="62">
        <f ca="1">AVERAGE(OFFSET($R$3,0,0,'Données projet'!$E$9+1,1))-AVERAGE(OFFSET($H$3,0,0,'Données projet'!$E$9+1,1))</f>
        <v>172.62653085905839</v>
      </c>
      <c r="T93" s="62">
        <f t="shared" si="88"/>
        <v>103.0747749312265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278.85000000000008</v>
      </c>
      <c r="AK93" s="14">
        <f t="shared" si="89"/>
        <v>66.723922641152967</v>
      </c>
      <c r="AL93" s="22">
        <f t="shared" si="58"/>
        <v>601.87458193334146</v>
      </c>
      <c r="AM93" s="62">
        <f t="shared" si="59"/>
        <v>895.20791526667472</v>
      </c>
      <c r="AN93" s="62">
        <f ca="1">AVERAGE(OFFSET($AM$3,0,0,'Données projet'!$E$10+1,1))-AVERAGE(OFFSET($H$3,0,0,'Données projet'!$E$10+1,1))</f>
        <v>289.36126704091066</v>
      </c>
      <c r="AO93" s="62">
        <f t="shared" si="90"/>
        <v>195.3674411454258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248.82000000000005</v>
      </c>
      <c r="BF93" s="14">
        <f t="shared" si="91"/>
        <v>60.333192077890068</v>
      </c>
      <c r="BG93" s="22">
        <f t="shared" si="61"/>
        <v>538.44180953565865</v>
      </c>
      <c r="BH93" s="62">
        <f t="shared" si="62"/>
        <v>831.77514286899191</v>
      </c>
      <c r="BI93" s="62">
        <f ca="1">AVERAGE(OFFSET($BH$3,0,0,'Données projet'!$E$11+1,1))-AVERAGE(OFFSET($H$3,0,0,'Données projet'!$E$11+1,1))</f>
        <v>250.17147737747007</v>
      </c>
      <c r="BJ93" s="62">
        <f t="shared" si="92"/>
        <v>172.25613380618552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275.00000000000006</v>
      </c>
      <c r="BZ93" s="14">
        <f>BY93*VLOOKUP('Données projet'!$B$12,Paramètres!$A$1:$I$89,3,0)*VLOOKUP('Données projet'!$B$12,Paramètres!$A$1:$I$89,5,0)</f>
        <v>296.01000000000005</v>
      </c>
      <c r="CA93" s="14">
        <f t="shared" si="93"/>
        <v>70.339355522692159</v>
      </c>
      <c r="CB93" s="22">
        <f t="shared" si="64"/>
        <v>638.05846086868894</v>
      </c>
      <c r="CC93" s="62">
        <f t="shared" si="65"/>
        <v>931.39179420202231</v>
      </c>
      <c r="CD93" s="62">
        <f ca="1">AVERAGE(OFFSET($CC$3,0,0,'Données projet'!$E$12+1,1))-AVERAGE(OFFSET($H$3,0,0,'Données projet'!$E$12+1,1))</f>
        <v>311.71521576048417</v>
      </c>
      <c r="CE93" s="62">
        <f t="shared" si="94"/>
        <v>208.54841796921403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280.47174439810988</v>
      </c>
      <c r="CZ93" s="62">
        <f t="shared" si="96"/>
        <v>231.19476400361157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0.45810561944554834</v>
      </c>
      <c r="DH93" s="23">
        <f>EXP(-LN(2)/2)*DH92+(1-EXP(-LN(2)/2))/(LN(2)/2)*DB93*DE93*VLOOKUP('Données projet'!$B$13,Paramètres!$A$1:$I$89,3,0)*0.475*44/12</f>
        <v>1.9677226143272037E-8</v>
      </c>
      <c r="DI93" s="24">
        <f t="shared" si="69"/>
        <v>0.45810563912277447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486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486</v>
      </c>
      <c r="DP93" s="18">
        <f>DO93*VLOOKUP('Données projet'!$B$14,Paramètres!$A$1:$I$89,3,0)*VLOOKUP('Données projet'!$B$14,Paramètres!$A$1:$I$89,5,0)</f>
        <v>290.62799999999999</v>
      </c>
      <c r="DQ93" s="14">
        <f t="shared" si="97"/>
        <v>69.208117853196882</v>
      </c>
      <c r="DR93" s="22">
        <f t="shared" si="70"/>
        <v>626.71457192765126</v>
      </c>
      <c r="DS93" s="62">
        <f t="shared" si="71"/>
        <v>920.04790526098463</v>
      </c>
      <c r="DT93" s="62">
        <f ca="1">AVERAGE(OFFSET($DS$3,0,0,'Données projet'!$E$14+1,1))-AVERAGE(OFFSET($H$3,0,0,'Données projet'!$E$14+1,1))</f>
        <v>282.98919020956595</v>
      </c>
      <c r="DU93" s="62">
        <f t="shared" si="98"/>
        <v>182.23565317232647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24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7.6260182449873516E-9</v>
      </c>
      <c r="ED93" s="24">
        <f t="shared" si="72"/>
        <v>7.6260182449873516E-9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9">
        <f t="shared" si="56"/>
        <v>436.54337929848225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10.035454545454543</v>
      </c>
      <c r="N94" s="14">
        <f>IF('Données projet'!$A$36&gt;35,N93+M94-V93,IF(A94&lt;'Données projet'!$A$36,$K$205^A94,IF(A94='Données projet'!$A$36,'Données projet'!$B$36,N93+M94-V93)))</f>
        <v>385.97727272727263</v>
      </c>
      <c r="O94" s="14">
        <f>N94*VLOOKUP('Données projet'!$B$9,Paramètres!$A$1:$I$89,3,0)*VLOOKUP('Données projet'!$B$9,Paramètres!$A$1:$I$89,5,0)</f>
        <v>180.6373636363636</v>
      </c>
      <c r="P94" s="14">
        <f t="shared" si="87"/>
        <v>45.463958648744757</v>
      </c>
      <c r="Q94" s="22">
        <f t="shared" si="54"/>
        <v>393.79313631323038</v>
      </c>
      <c r="R94" s="62">
        <f t="shared" si="55"/>
        <v>687.12646964656369</v>
      </c>
      <c r="S94" s="62">
        <f ca="1">AVERAGE(OFFSET($R$3,0,0,'Données projet'!$E$9+1,1))-AVERAGE(OFFSET($H$3,0,0,'Données projet'!$E$9+1,1))</f>
        <v>172.62653085905839</v>
      </c>
      <c r="T94" s="62">
        <f t="shared" si="88"/>
        <v>103.0747749312265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262.62600000000009</v>
      </c>
      <c r="AK94" s="14">
        <f t="shared" si="89"/>
        <v>63.281807230823453</v>
      </c>
      <c r="AL94" s="22">
        <f t="shared" si="58"/>
        <v>567.622764260351</v>
      </c>
      <c r="AM94" s="62">
        <f t="shared" si="59"/>
        <v>860.95609759368426</v>
      </c>
      <c r="AN94" s="62">
        <f ca="1">AVERAGE(OFFSET($AM$3,0,0,'Données projet'!$E$10+1,1))-AVERAGE(OFFSET($H$3,0,0,'Données projet'!$E$10+1,1))</f>
        <v>289.36126704091066</v>
      </c>
      <c r="AO94" s="62">
        <f t="shared" si="90"/>
        <v>195.3674411454258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234.34320000000005</v>
      </c>
      <c r="BF94" s="14">
        <f t="shared" si="91"/>
        <v>57.220758006491664</v>
      </c>
      <c r="BG94" s="22">
        <f t="shared" si="61"/>
        <v>507.80722686130639</v>
      </c>
      <c r="BH94" s="62">
        <f t="shared" si="62"/>
        <v>801.14056019463965</v>
      </c>
      <c r="BI94" s="62">
        <f ca="1">AVERAGE(OFFSET($BH$3,0,0,'Données projet'!$E$11+1,1))-AVERAGE(OFFSET($H$3,0,0,'Données projet'!$E$11+1,1))</f>
        <v>250.17147737747007</v>
      </c>
      <c r="BJ94" s="62">
        <f t="shared" si="92"/>
        <v>172.25613380618552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259.00000000000006</v>
      </c>
      <c r="BZ94" s="14">
        <f>BY94*VLOOKUP('Données projet'!$B$12,Paramètres!$A$1:$I$89,3,0)*VLOOKUP('Données projet'!$B$12,Paramètres!$A$1:$I$89,5,0)</f>
        <v>278.78760000000005</v>
      </c>
      <c r="CA94" s="14">
        <f t="shared" si="93"/>
        <v>66.710729236743305</v>
      </c>
      <c r="CB94" s="22">
        <f t="shared" si="64"/>
        <v>601.74292342066133</v>
      </c>
      <c r="CC94" s="62">
        <f t="shared" si="65"/>
        <v>895.07625675399458</v>
      </c>
      <c r="CD94" s="62">
        <f ca="1">AVERAGE(OFFSET($CC$3,0,0,'Données projet'!$E$12+1,1))-AVERAGE(OFFSET($H$3,0,0,'Données projet'!$E$12+1,1))</f>
        <v>311.71521576048417</v>
      </c>
      <c r="CE94" s="62">
        <f t="shared" si="94"/>
        <v>208.54841796921403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280.47174439810988</v>
      </c>
      <c r="CZ94" s="62">
        <f t="shared" si="96"/>
        <v>231.19476400361157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0.44557869719108228</v>
      </c>
      <c r="DH94" s="23">
        <f>EXP(-LN(2)/2)*DH93+(1-EXP(-LN(2)/2))/(LN(2)/2)*DB94*DE94*VLOOKUP('Données projet'!$B$13,Paramètres!$A$1:$I$89,3,0)*0.475*44/12</f>
        <v>1.3913900040848873E-8</v>
      </c>
      <c r="DI94" s="24">
        <f t="shared" si="69"/>
        <v>0.44557871110498232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5.3</v>
      </c>
      <c r="DO94" s="13">
        <f>IF('Données projet'!$A$166&gt;35,DO93+DN94-DW93,IF(A94&lt;'Données projet'!$A$166,$DL$205^A94,IF(A94='Données projet'!$A$166,'Données projet'!$B$166,DO93+DN94-DW93)))</f>
        <v>467.3</v>
      </c>
      <c r="DP94" s="18">
        <f>DO94*VLOOKUP('Données projet'!$B$14,Paramètres!$A$1:$I$89,3,0)*VLOOKUP('Données projet'!$B$14,Paramètres!$A$1:$I$89,5,0)</f>
        <v>279.44540000000006</v>
      </c>
      <c r="DQ94" s="14">
        <f t="shared" si="97"/>
        <v>66.849792437407487</v>
      </c>
      <c r="DR94" s="22">
        <f t="shared" si="70"/>
        <v>603.13079349515147</v>
      </c>
      <c r="DS94" s="62">
        <f t="shared" si="71"/>
        <v>896.46412682848472</v>
      </c>
      <c r="DT94" s="62">
        <f ca="1">AVERAGE(OFFSET($DS$3,0,0,'Données projet'!$E$14+1,1))-AVERAGE(OFFSET($H$3,0,0,'Données projet'!$E$14+1,1))</f>
        <v>282.98919020956595</v>
      </c>
      <c r="DU94" s="62">
        <f t="shared" si="98"/>
        <v>182.23565317232647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5.3924092144828904E-9</v>
      </c>
      <c r="ED94" s="24">
        <f t="shared" si="72"/>
        <v>5.3924092144828904E-9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9">
        <f t="shared" si="56"/>
        <v>438.46998905421867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10.035454545454543</v>
      </c>
      <c r="N95" s="14">
        <f>IF('Données projet'!$A$36&gt;35,N94+M95-V94,IF(A95&lt;'Données projet'!$A$36,$K$205^A95,IF(A95='Données projet'!$A$36,'Données projet'!$B$36,N94+M95-V94)))</f>
        <v>396.0127272727272</v>
      </c>
      <c r="O95" s="14">
        <f>N95*VLOOKUP('Données projet'!$B$9,Paramètres!$A$1:$I$89,3,0)*VLOOKUP('Données projet'!$B$9,Paramètres!$A$1:$I$89,5,0)</f>
        <v>185.33395636363633</v>
      </c>
      <c r="P95" s="14">
        <f t="shared" si="87"/>
        <v>46.506868757664741</v>
      </c>
      <c r="Q95" s="22">
        <f t="shared" si="54"/>
        <v>403.78943708626599</v>
      </c>
      <c r="R95" s="62">
        <f t="shared" si="55"/>
        <v>697.12277041959931</v>
      </c>
      <c r="S95" s="62">
        <f ca="1">AVERAGE(OFFSET($R$3,0,0,'Données projet'!$E$9+1,1))-AVERAGE(OFFSET($H$3,0,0,'Données projet'!$E$9+1,1))</f>
        <v>172.62653085905839</v>
      </c>
      <c r="T95" s="62">
        <f t="shared" si="88"/>
        <v>103.0747749312265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267.69600000000008</v>
      </c>
      <c r="AK95" s="14">
        <f t="shared" si="89"/>
        <v>64.360058723585496</v>
      </c>
      <c r="AL95" s="22">
        <f t="shared" si="58"/>
        <v>578.33096894357823</v>
      </c>
      <c r="AM95" s="62">
        <f t="shared" si="59"/>
        <v>871.66430227691149</v>
      </c>
      <c r="AN95" s="62">
        <f ca="1">AVERAGE(OFFSET($AM$3,0,0,'Données projet'!$E$10+1,1))-AVERAGE(OFFSET($H$3,0,0,'Données projet'!$E$10+1,1))</f>
        <v>289.36126704091066</v>
      </c>
      <c r="AO95" s="62">
        <f t="shared" si="90"/>
        <v>195.3674411454258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238.86720000000005</v>
      </c>
      <c r="BF95" s="14">
        <f t="shared" si="91"/>
        <v>58.195735973104156</v>
      </c>
      <c r="BG95" s="22">
        <f t="shared" si="61"/>
        <v>517.3846134864898</v>
      </c>
      <c r="BH95" s="62">
        <f t="shared" si="62"/>
        <v>810.71794681982306</v>
      </c>
      <c r="BI95" s="62">
        <f ca="1">AVERAGE(OFFSET($BH$3,0,0,'Données projet'!$E$11+1,1))-AVERAGE(OFFSET($H$3,0,0,'Données projet'!$E$11+1,1))</f>
        <v>250.17147737747007</v>
      </c>
      <c r="BJ95" s="62">
        <f t="shared" si="92"/>
        <v>172.25613380618552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264.00000000000006</v>
      </c>
      <c r="BZ95" s="14">
        <f>BY95*VLOOKUP('Données projet'!$B$12,Paramètres!$A$1:$I$89,3,0)*VLOOKUP('Données projet'!$B$12,Paramètres!$A$1:$I$89,5,0)</f>
        <v>284.16960000000006</v>
      </c>
      <c r="CA95" s="14">
        <f t="shared" si="93"/>
        <v>67.847405740313931</v>
      </c>
      <c r="CB95" s="22">
        <f t="shared" si="64"/>
        <v>613.0962849977135</v>
      </c>
      <c r="CC95" s="62">
        <f t="shared" si="65"/>
        <v>906.42961833104687</v>
      </c>
      <c r="CD95" s="62">
        <f ca="1">AVERAGE(OFFSET($CC$3,0,0,'Données projet'!$E$12+1,1))-AVERAGE(OFFSET($H$3,0,0,'Données projet'!$E$12+1,1))</f>
        <v>311.71521576048417</v>
      </c>
      <c r="CE95" s="62">
        <f t="shared" si="94"/>
        <v>208.54841796921403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280.47174439810988</v>
      </c>
      <c r="CZ95" s="62">
        <f t="shared" si="96"/>
        <v>231.19476400361157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0.43339432428442681</v>
      </c>
      <c r="DH95" s="23">
        <f>EXP(-LN(2)/2)*DH94+(1-EXP(-LN(2)/2))/(LN(2)/2)*DB95*DE95*VLOOKUP('Données projet'!$B$13,Paramètres!$A$1:$I$89,3,0)*0.475*44/12</f>
        <v>9.8386130716360185E-9</v>
      </c>
      <c r="DI95" s="24">
        <f t="shared" si="69"/>
        <v>0.4333943341230399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5.3</v>
      </c>
      <c r="DO95" s="13">
        <f>IF('Données projet'!$A$166&gt;35,DO94+DN95-DW94,IF(A95&lt;'Données projet'!$A$166,$DL$205^A95,IF(A95='Données projet'!$A$166,'Données projet'!$B$166,DO94+DN95-DW94)))</f>
        <v>472.6</v>
      </c>
      <c r="DP95" s="18">
        <f>DO95*VLOOKUP('Données projet'!$B$14,Paramètres!$A$1:$I$89,3,0)*VLOOKUP('Données projet'!$B$14,Paramètres!$A$1:$I$89,5,0)</f>
        <v>282.6148</v>
      </c>
      <c r="DQ95" s="14">
        <f t="shared" si="97"/>
        <v>67.519291995071626</v>
      </c>
      <c r="DR95" s="22">
        <f t="shared" si="70"/>
        <v>609.81687689141643</v>
      </c>
      <c r="DS95" s="62">
        <f t="shared" si="71"/>
        <v>903.1502102247498</v>
      </c>
      <c r="DT95" s="62">
        <f ca="1">AVERAGE(OFFSET($DS$3,0,0,'Données projet'!$E$14+1,1))-AVERAGE(OFFSET($H$3,0,0,'Données projet'!$E$14+1,1))</f>
        <v>282.98919020956595</v>
      </c>
      <c r="DU95" s="62">
        <f t="shared" si="98"/>
        <v>182.23565317232647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3.8130091224936758E-9</v>
      </c>
      <c r="ED95" s="24">
        <f t="shared" si="72"/>
        <v>3.8130091224936758E-9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9">
        <f t="shared" si="56"/>
        <v>440.39612095171111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10.035454545454543</v>
      </c>
      <c r="N96" s="14">
        <f>IF('Données projet'!$A$36&gt;35,N95+M96-V95,IF(A96&lt;'Données projet'!$A$36,$K$205^A96,IF(A96='Données projet'!$A$36,'Données projet'!$B$36,N95+M96-V95)))</f>
        <v>406.04818181818177</v>
      </c>
      <c r="O96" s="14">
        <f>N96*VLOOKUP('Données projet'!$B$9,Paramètres!$A$1:$I$89,3,0)*VLOOKUP('Données projet'!$B$9,Paramètres!$A$1:$I$89,5,0)</f>
        <v>190.03054909090909</v>
      </c>
      <c r="P96" s="14">
        <f t="shared" si="87"/>
        <v>47.546706758287876</v>
      </c>
      <c r="Q96" s="22">
        <f t="shared" si="54"/>
        <v>413.78038727068468</v>
      </c>
      <c r="R96" s="62">
        <f t="shared" si="55"/>
        <v>707.113720604018</v>
      </c>
      <c r="S96" s="62">
        <f ca="1">AVERAGE(OFFSET($R$3,0,0,'Données projet'!$E$9+1,1))-AVERAGE(OFFSET($H$3,0,0,'Données projet'!$E$9+1,1))</f>
        <v>172.62653085905839</v>
      </c>
      <c r="T96" s="62">
        <f t="shared" si="88"/>
        <v>103.0747749312265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272.76600000000008</v>
      </c>
      <c r="AK96" s="14">
        <f t="shared" si="89"/>
        <v>65.435935630087627</v>
      </c>
      <c r="AL96" s="22">
        <f t="shared" si="58"/>
        <v>589.03503788906926</v>
      </c>
      <c r="AM96" s="62">
        <f t="shared" si="59"/>
        <v>882.36837122240263</v>
      </c>
      <c r="AN96" s="62">
        <f ca="1">AVERAGE(OFFSET($AM$3,0,0,'Données projet'!$E$10+1,1))-AVERAGE(OFFSET($H$3,0,0,'Données projet'!$E$10+1,1))</f>
        <v>289.36126704091066</v>
      </c>
      <c r="AO96" s="62">
        <f t="shared" si="90"/>
        <v>195.3674411454258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243.39120000000003</v>
      </c>
      <c r="BF96" s="14">
        <f t="shared" si="91"/>
        <v>59.168566788241527</v>
      </c>
      <c r="BG96" s="22">
        <f t="shared" si="61"/>
        <v>526.95826048952074</v>
      </c>
      <c r="BH96" s="62">
        <f t="shared" si="62"/>
        <v>820.29159382285411</v>
      </c>
      <c r="BI96" s="62">
        <f ca="1">AVERAGE(OFFSET($BH$3,0,0,'Données projet'!$E$11+1,1))-AVERAGE(OFFSET($H$3,0,0,'Données projet'!$E$11+1,1))</f>
        <v>250.17147737747007</v>
      </c>
      <c r="BJ96" s="62">
        <f t="shared" si="92"/>
        <v>172.25613380618552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269.00000000000006</v>
      </c>
      <c r="BZ96" s="14">
        <f>BY96*VLOOKUP('Données projet'!$B$12,Paramètres!$A$1:$I$89,3,0)*VLOOKUP('Données projet'!$B$12,Paramètres!$A$1:$I$89,5,0)</f>
        <v>289.55160000000001</v>
      </c>
      <c r="CA96" s="14">
        <f t="shared" si="93"/>
        <v>68.981578990770117</v>
      </c>
      <c r="CB96" s="22">
        <f t="shared" si="64"/>
        <v>624.44528674225796</v>
      </c>
      <c r="CC96" s="62">
        <f t="shared" si="65"/>
        <v>917.77862007559133</v>
      </c>
      <c r="CD96" s="62">
        <f ca="1">AVERAGE(OFFSET($CC$3,0,0,'Données projet'!$E$12+1,1))-AVERAGE(OFFSET($H$3,0,0,'Données projet'!$E$12+1,1))</f>
        <v>311.71521576048417</v>
      </c>
      <c r="CE96" s="62">
        <f t="shared" si="94"/>
        <v>208.54841796921403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280.47174439810988</v>
      </c>
      <c r="CZ96" s="62">
        <f t="shared" si="96"/>
        <v>231.19476400361157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0.42154313369565216</v>
      </c>
      <c r="DH96" s="23">
        <f>EXP(-LN(2)/2)*DH95+(1-EXP(-LN(2)/2))/(LN(2)/2)*DB96*DE96*VLOOKUP('Données projet'!$B$13,Paramètres!$A$1:$I$89,3,0)*0.475*44/12</f>
        <v>6.9569500204244364E-9</v>
      </c>
      <c r="DI96" s="24">
        <f t="shared" si="69"/>
        <v>0.42154314065260218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5.3</v>
      </c>
      <c r="DO96" s="13">
        <f>IF('Données projet'!$A$166&gt;35,DO95+DN96-DW95,IF(A96&lt;'Données projet'!$A$166,$DL$205^A96,IF(A96='Données projet'!$A$166,'Données projet'!$B$166,DO95+DN96-DW95)))</f>
        <v>477.90000000000003</v>
      </c>
      <c r="DP96" s="18">
        <f>DO96*VLOOKUP('Données projet'!$B$14,Paramètres!$A$1:$I$89,3,0)*VLOOKUP('Données projet'!$B$14,Paramètres!$A$1:$I$89,5,0)</f>
        <v>285.78420000000006</v>
      </c>
      <c r="DQ96" s="14">
        <f t="shared" si="97"/>
        <v>68.187918155875096</v>
      </c>
      <c r="DR96" s="22">
        <f t="shared" si="70"/>
        <v>616.50143912148258</v>
      </c>
      <c r="DS96" s="62">
        <f t="shared" si="71"/>
        <v>909.83477245481595</v>
      </c>
      <c r="DT96" s="62">
        <f ca="1">AVERAGE(OFFSET($DS$3,0,0,'Données projet'!$E$14+1,1))-AVERAGE(OFFSET($H$3,0,0,'Données projet'!$E$14+1,1))</f>
        <v>282.98919020956595</v>
      </c>
      <c r="DU96" s="62">
        <f t="shared" si="98"/>
        <v>182.23565317232647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2.6962046072414452E-9</v>
      </c>
      <c r="ED96" s="24">
        <f t="shared" si="72"/>
        <v>2.6962046072414452E-9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9">
        <f t="shared" si="56"/>
        <v>442.32178072394748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10.035454545454543</v>
      </c>
      <c r="N97" s="14">
        <f>IF('Données projet'!$A$36&gt;35,N96+M97-V96,IF(A97&lt;'Données projet'!$A$36,$K$205^A97,IF(A97='Données projet'!$A$36,'Données projet'!$B$36,N96+M97-V96)))</f>
        <v>416.08363636363634</v>
      </c>
      <c r="O97" s="14">
        <f>N97*VLOOKUP('Données projet'!$B$9,Paramètres!$A$1:$I$89,3,0)*VLOOKUP('Données projet'!$B$9,Paramètres!$A$1:$I$89,5,0)</f>
        <v>194.72714181818182</v>
      </c>
      <c r="P97" s="14">
        <f t="shared" si="87"/>
        <v>48.583557311093735</v>
      </c>
      <c r="Q97" s="22">
        <f t="shared" si="54"/>
        <v>423.76613431682154</v>
      </c>
      <c r="R97" s="62">
        <f t="shared" si="55"/>
        <v>717.09946765015479</v>
      </c>
      <c r="S97" s="62">
        <f ca="1">AVERAGE(OFFSET($R$3,0,0,'Données projet'!$E$9+1,1))-AVERAGE(OFFSET($H$3,0,0,'Données projet'!$E$9+1,1))</f>
        <v>172.62653085905839</v>
      </c>
      <c r="T97" s="62">
        <f t="shared" si="88"/>
        <v>103.0747749312265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277.83600000000007</v>
      </c>
      <c r="AK97" s="14">
        <f t="shared" si="89"/>
        <v>66.509487177652318</v>
      </c>
      <c r="AL97" s="22">
        <f t="shared" si="58"/>
        <v>599.73505683441124</v>
      </c>
      <c r="AM97" s="62">
        <f t="shared" si="59"/>
        <v>893.06839016774461</v>
      </c>
      <c r="AN97" s="62">
        <f ca="1">AVERAGE(OFFSET($AM$3,0,0,'Données projet'!$E$10+1,1))-AVERAGE(OFFSET($H$3,0,0,'Données projet'!$E$10+1,1))</f>
        <v>289.36126704091066</v>
      </c>
      <c r="AO97" s="62">
        <f t="shared" si="90"/>
        <v>195.3674411454258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247.91520000000003</v>
      </c>
      <c r="BF97" s="14">
        <f t="shared" si="91"/>
        <v>60.139294964297406</v>
      </c>
      <c r="BG97" s="22">
        <f t="shared" si="61"/>
        <v>536.52824539615131</v>
      </c>
      <c r="BH97" s="62">
        <f t="shared" si="62"/>
        <v>829.86157872948456</v>
      </c>
      <c r="BI97" s="62">
        <f ca="1">AVERAGE(OFFSET($BH$3,0,0,'Données projet'!$E$11+1,1))-AVERAGE(OFFSET($H$3,0,0,'Données projet'!$E$11+1,1))</f>
        <v>250.17147737747007</v>
      </c>
      <c r="BJ97" s="62">
        <f t="shared" si="92"/>
        <v>172.25613380618552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274.00000000000006</v>
      </c>
      <c r="BZ97" s="14">
        <f>BY97*VLOOKUP('Données projet'!$B$12,Paramètres!$A$1:$I$89,3,0)*VLOOKUP('Données projet'!$B$12,Paramètres!$A$1:$I$89,5,0)</f>
        <v>294.93360000000007</v>
      </c>
      <c r="CA97" s="14">
        <f t="shared" si="93"/>
        <v>70.113300882814869</v>
      </c>
      <c r="CB97" s="22">
        <f t="shared" si="64"/>
        <v>635.79001903756932</v>
      </c>
      <c r="CC97" s="62">
        <f t="shared" si="65"/>
        <v>929.12335237090269</v>
      </c>
      <c r="CD97" s="62">
        <f ca="1">AVERAGE(OFFSET($CC$3,0,0,'Données projet'!$E$12+1,1))-AVERAGE(OFFSET($H$3,0,0,'Données projet'!$E$12+1,1))</f>
        <v>311.71521576048417</v>
      </c>
      <c r="CE97" s="62">
        <f t="shared" si="94"/>
        <v>208.54841796921403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280.47174439810988</v>
      </c>
      <c r="CZ97" s="62">
        <f t="shared" si="96"/>
        <v>231.19476400361157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0.41001601453675462</v>
      </c>
      <c r="DH97" s="23">
        <f>EXP(-LN(2)/2)*DH96+(1-EXP(-LN(2)/2))/(LN(2)/2)*DB97*DE97*VLOOKUP('Données projet'!$B$13,Paramètres!$A$1:$I$89,3,0)*0.475*44/12</f>
        <v>4.9193065358180093E-9</v>
      </c>
      <c r="DI97" s="24">
        <f t="shared" si="69"/>
        <v>0.41001601945606114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5.3</v>
      </c>
      <c r="DO97" s="13">
        <f>IF('Données projet'!$A$166&gt;35,DO96+DN97-DW96,IF(A97&lt;'Données projet'!$A$166,$DL$205^A97,IF(A97='Données projet'!$A$166,'Données projet'!$B$166,DO96+DN97-DW96)))</f>
        <v>483.20000000000005</v>
      </c>
      <c r="DP97" s="18">
        <f>DO97*VLOOKUP('Données projet'!$B$14,Paramètres!$A$1:$I$89,3,0)*VLOOKUP('Données projet'!$B$14,Paramètres!$A$1:$I$89,5,0)</f>
        <v>288.95360000000005</v>
      </c>
      <c r="DQ97" s="14">
        <f t="shared" si="97"/>
        <v>68.855681726886303</v>
      </c>
      <c r="DR97" s="22">
        <f t="shared" si="70"/>
        <v>623.18449900766041</v>
      </c>
      <c r="DS97" s="62">
        <f t="shared" si="71"/>
        <v>916.51783234099366</v>
      </c>
      <c r="DT97" s="62">
        <f ca="1">AVERAGE(OFFSET($DS$3,0,0,'Données projet'!$E$14+1,1))-AVERAGE(OFFSET($H$3,0,0,'Données projet'!$E$14+1,1))</f>
        <v>282.98919020956595</v>
      </c>
      <c r="DU97" s="62">
        <f t="shared" si="98"/>
        <v>182.23565317232647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1.9065045612468379E-9</v>
      </c>
      <c r="ED97" s="24">
        <f t="shared" si="72"/>
        <v>1.9065045612468379E-9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9">
        <f t="shared" si="56"/>
        <v>444.24697397491065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10.035454545454543</v>
      </c>
      <c r="N98" s="14">
        <f>IF('Données projet'!$A$36&gt;35,N97+M98-V97,IF(A98&lt;'Données projet'!$A$36,$K$205^A98,IF(A98='Données projet'!$A$36,'Données projet'!$B$36,N97+M98-V97)))</f>
        <v>426.11909090909091</v>
      </c>
      <c r="O98" s="14">
        <f>N98*VLOOKUP('Données projet'!$B$9,Paramètres!$A$1:$I$89,3,0)*VLOOKUP('Données projet'!$B$9,Paramètres!$A$1:$I$89,5,0)</f>
        <v>199.42373454545455</v>
      </c>
      <c r="P98" s="14">
        <f t="shared" si="87"/>
        <v>49.617500759858309</v>
      </c>
      <c r="Q98" s="22">
        <f t="shared" si="54"/>
        <v>433.74681815675325</v>
      </c>
      <c r="R98" s="62">
        <f t="shared" si="55"/>
        <v>727.08015149008656</v>
      </c>
      <c r="S98" s="62">
        <f ca="1">AVERAGE(OFFSET($R$3,0,0,'Données projet'!$E$9+1,1))-AVERAGE(OFFSET($H$3,0,0,'Données projet'!$E$9+1,1))</f>
        <v>172.62653085905839</v>
      </c>
      <c r="T98" s="62">
        <f t="shared" si="88"/>
        <v>103.0747749312265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282.90600000000006</v>
      </c>
      <c r="AK98" s="14">
        <f t="shared" si="89"/>
        <v>67.580760694123512</v>
      </c>
      <c r="AL98" s="22">
        <f t="shared" si="58"/>
        <v>610.43110820893185</v>
      </c>
      <c r="AM98" s="62">
        <f t="shared" si="59"/>
        <v>903.7644415422651</v>
      </c>
      <c r="AN98" s="62">
        <f ca="1">AVERAGE(OFFSET($AM$3,0,0,'Données projet'!$E$10+1,1))-AVERAGE(OFFSET($H$3,0,0,'Données projet'!$E$10+1,1))</f>
        <v>289.36126704091066</v>
      </c>
      <c r="AO98" s="62">
        <f t="shared" si="90"/>
        <v>195.3674411454258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252.43920000000006</v>
      </c>
      <c r="BF98" s="14">
        <f t="shared" si="91"/>
        <v>61.107963296116274</v>
      </c>
      <c r="BG98" s="22">
        <f t="shared" si="61"/>
        <v>546.09464274073594</v>
      </c>
      <c r="BH98" s="62">
        <f t="shared" si="62"/>
        <v>839.42797607406919</v>
      </c>
      <c r="BI98" s="62">
        <f ca="1">AVERAGE(OFFSET($BH$3,0,0,'Données projet'!$E$11+1,1))-AVERAGE(OFFSET($H$3,0,0,'Données projet'!$E$11+1,1))</f>
        <v>250.17147737747007</v>
      </c>
      <c r="BJ98" s="62">
        <f t="shared" si="92"/>
        <v>172.25613380618552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279.00000000000006</v>
      </c>
      <c r="BZ98" s="14">
        <f>BY98*VLOOKUP('Données projet'!$B$12,Paramètres!$A$1:$I$89,3,0)*VLOOKUP('Données projet'!$B$12,Paramètres!$A$1:$I$89,5,0)</f>
        <v>300.31560000000002</v>
      </c>
      <c r="CA98" s="14">
        <f t="shared" si="93"/>
        <v>71.242621308749136</v>
      </c>
      <c r="CB98" s="22">
        <f t="shared" si="64"/>
        <v>647.1305687794046</v>
      </c>
      <c r="CC98" s="62">
        <f t="shared" si="65"/>
        <v>940.46390211273797</v>
      </c>
      <c r="CD98" s="62">
        <f ca="1">AVERAGE(OFFSET($CC$3,0,0,'Données projet'!$E$12+1,1))-AVERAGE(OFFSET($H$3,0,0,'Données projet'!$E$12+1,1))</f>
        <v>311.71521576048417</v>
      </c>
      <c r="CE98" s="62">
        <f t="shared" si="94"/>
        <v>208.54841796921403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280.47174439810988</v>
      </c>
      <c r="CZ98" s="62">
        <f t="shared" si="96"/>
        <v>231.19476400361157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0.39880410505744196</v>
      </c>
      <c r="DH98" s="23">
        <f>EXP(-LN(2)/2)*DH97+(1-EXP(-LN(2)/2))/(LN(2)/2)*DB98*DE98*VLOOKUP('Données projet'!$B$13,Paramètres!$A$1:$I$89,3,0)*0.475*44/12</f>
        <v>3.4784750102122182E-9</v>
      </c>
      <c r="DI98" s="24">
        <f t="shared" si="69"/>
        <v>0.39880410853591697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5.3</v>
      </c>
      <c r="DO98" s="13">
        <f>IF('Données projet'!$A$166&gt;35,DO97+DN98-DW97,IF(A98&lt;'Données projet'!$A$166,$DL$205^A98,IF(A98='Données projet'!$A$166,'Données projet'!$B$166,DO97+DN98-DW97)))</f>
        <v>488.50000000000006</v>
      </c>
      <c r="DP98" s="18">
        <f>DO98*VLOOKUP('Données projet'!$B$14,Paramètres!$A$1:$I$89,3,0)*VLOOKUP('Données projet'!$B$14,Paramètres!$A$1:$I$89,5,0)</f>
        <v>292.12300000000005</v>
      </c>
      <c r="DQ98" s="14">
        <f t="shared" si="97"/>
        <v>69.52259326444549</v>
      </c>
      <c r="DR98" s="22">
        <f t="shared" si="70"/>
        <v>629.86607493557597</v>
      </c>
      <c r="DS98" s="62">
        <f t="shared" si="71"/>
        <v>923.19940826890934</v>
      </c>
      <c r="DT98" s="62">
        <f ca="1">AVERAGE(OFFSET($DS$3,0,0,'Données projet'!$E$14+1,1))-AVERAGE(OFFSET($H$3,0,0,'Données projet'!$E$14+1,1))</f>
        <v>282.98919020956595</v>
      </c>
      <c r="DU98" s="62">
        <f t="shared" si="98"/>
        <v>182.23565317232647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1.3481023036207226E-9</v>
      </c>
      <c r="ED98" s="24">
        <f t="shared" si="72"/>
        <v>1.3481023036207226E-9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9">
        <f t="shared" si="56"/>
        <v>446.17170618380828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10.035454545454543</v>
      </c>
      <c r="N99" s="14">
        <f>IF('Données projet'!$A$36&gt;35,N98+M99-V98,IF(A99&lt;'Données projet'!$A$36,$K$205^A99,IF(A99='Données projet'!$A$36,'Données projet'!$B$36,N98+M99-V98)))</f>
        <v>436.15454545454548</v>
      </c>
      <c r="O99" s="14">
        <f>N99*VLOOKUP('Données projet'!$B$9,Paramètres!$A$1:$I$89,3,0)*VLOOKUP('Données projet'!$B$9,Paramètres!$A$1:$I$89,5,0)</f>
        <v>204.12032727272728</v>
      </c>
      <c r="P99" s="14">
        <f t="shared" si="87"/>
        <v>50.648613448156723</v>
      </c>
      <c r="Q99" s="22">
        <f t="shared" ref="Q99:Q130" si="107">(O99+P99)*0.475*44/12</f>
        <v>443.7225717555396</v>
      </c>
      <c r="R99" s="62">
        <f t="shared" si="55"/>
        <v>737.05590508887292</v>
      </c>
      <c r="S99" s="62">
        <f ca="1">AVERAGE(OFFSET($R$3,0,0,'Données projet'!$E$9+1,1))-AVERAGE(OFFSET($H$3,0,0,'Données projet'!$E$9+1,1))</f>
        <v>172.62653085905839</v>
      </c>
      <c r="T99" s="62">
        <f t="shared" si="88"/>
        <v>103.0747749312265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266.47920000000011</v>
      </c>
      <c r="AK99" s="14">
        <f t="shared" si="89"/>
        <v>64.101496824889679</v>
      </c>
      <c r="AL99" s="22">
        <f t="shared" si="58"/>
        <v>575.76138030334971</v>
      </c>
      <c r="AM99" s="62">
        <f t="shared" si="59"/>
        <v>869.09471363668308</v>
      </c>
      <c r="AN99" s="62">
        <f ca="1">AVERAGE(OFFSET($AM$3,0,0,'Données projet'!$E$10+1,1))-AVERAGE(OFFSET($H$3,0,0,'Données projet'!$E$10+1,1))</f>
        <v>289.36126704091066</v>
      </c>
      <c r="AO99" s="62">
        <f t="shared" si="90"/>
        <v>195.3674411454258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237.78144000000006</v>
      </c>
      <c r="BF99" s="14">
        <f t="shared" si="91"/>
        <v>57.96193879691095</v>
      </c>
      <c r="BG99" s="22">
        <f t="shared" si="61"/>
        <v>515.08638473795338</v>
      </c>
      <c r="BH99" s="62">
        <f t="shared" si="62"/>
        <v>808.41971807128675</v>
      </c>
      <c r="BI99" s="62">
        <f ca="1">AVERAGE(OFFSET($BH$3,0,0,'Données projet'!$E$11+1,1))-AVERAGE(OFFSET($H$3,0,0,'Données projet'!$E$11+1,1))</f>
        <v>250.17147737747007</v>
      </c>
      <c r="BJ99" s="62">
        <f t="shared" si="92"/>
        <v>172.25613380618552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262.80000000000007</v>
      </c>
      <c r="BZ99" s="14">
        <f>BY99*VLOOKUP('Données projet'!$B$12,Paramètres!$A$1:$I$89,3,0)*VLOOKUP('Données projet'!$B$12,Paramètres!$A$1:$I$89,5,0)</f>
        <v>282.87792000000002</v>
      </c>
      <c r="CA99" s="14">
        <f t="shared" si="93"/>
        <v>67.574833676246314</v>
      </c>
      <c r="CB99" s="22">
        <f t="shared" si="64"/>
        <v>610.37187931946244</v>
      </c>
      <c r="CC99" s="62">
        <f t="shared" si="65"/>
        <v>903.70521265279581</v>
      </c>
      <c r="CD99" s="62">
        <f ca="1">AVERAGE(OFFSET($CC$3,0,0,'Données projet'!$E$12+1,1))-AVERAGE(OFFSET($H$3,0,0,'Données projet'!$E$12+1,1))</f>
        <v>311.71521576048417</v>
      </c>
      <c r="CE99" s="62">
        <f t="shared" si="94"/>
        <v>208.54841796921403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280.47174439810988</v>
      </c>
      <c r="CZ99" s="62">
        <f t="shared" si="96"/>
        <v>231.19476400361157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0.3878987858324498</v>
      </c>
      <c r="DH99" s="23">
        <f>EXP(-LN(2)/2)*DH98+(1-EXP(-LN(2)/2))/(LN(2)/2)*DB99*DE99*VLOOKUP('Données projet'!$B$13,Paramètres!$A$1:$I$89,3,0)*0.475*44/12</f>
        <v>2.4596532679090046E-9</v>
      </c>
      <c r="DI99" s="24">
        <f t="shared" si="69"/>
        <v>0.38789878829210306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5.3</v>
      </c>
      <c r="DO99" s="13">
        <f>IF('Données projet'!$A$166&gt;35,DO98+DN99-DW98,IF(A99&lt;'Données projet'!$A$166,$DL$205^A99,IF(A99='Données projet'!$A$166,'Données projet'!$B$166,DO98+DN99-DW98)))</f>
        <v>493.80000000000007</v>
      </c>
      <c r="DP99" s="18">
        <f>DO99*VLOOKUP('Données projet'!$B$14,Paramètres!$A$1:$I$89,3,0)*VLOOKUP('Données projet'!$B$14,Paramètres!$A$1:$I$89,5,0)</f>
        <v>295.2924000000001</v>
      </c>
      <c r="DQ99" s="14">
        <f t="shared" si="97"/>
        <v>70.188663082637405</v>
      </c>
      <c r="DR99" s="22">
        <f t="shared" si="70"/>
        <v>636.54618486892696</v>
      </c>
      <c r="DS99" s="62">
        <f t="shared" si="71"/>
        <v>929.87951820226021</v>
      </c>
      <c r="DT99" s="62">
        <f ca="1">AVERAGE(OFFSET($DS$3,0,0,'Données projet'!$E$14+1,1))-AVERAGE(OFFSET($H$3,0,0,'Données projet'!$E$14+1,1))</f>
        <v>282.98919020956595</v>
      </c>
      <c r="DU99" s="62">
        <f t="shared" si="98"/>
        <v>182.23565317232647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9.5325228062341895E-10</v>
      </c>
      <c r="ED99" s="24">
        <f t="shared" si="72"/>
        <v>9.5325228062341895E-10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9">
        <f t="shared" si="56"/>
        <v>448.09598270912102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>
        <f>VLOOKUP(A100,'Données projet'!$A$35:$I$55,2,0)</f>
        <v>446.19</v>
      </c>
      <c r="L100" s="13">
        <f>VLOOKUP(A100,'Données projet'!$A$35:$I$55,9,0)</f>
        <v>10.035454545454543</v>
      </c>
      <c r="M100" s="13">
        <f t="array" ref="M100">INDEX(L:L,MIN(IF(ISNUMBER(L100:L296),ROW(L100:L296),"")))</f>
        <v>10.035454545454543</v>
      </c>
      <c r="N100" s="14">
        <f>IF('Données projet'!$A$36&gt;35,N99+M100-V99,IF(A100&lt;'Données projet'!$A$36,$K$205^A100,IF(A100='Données projet'!$A$36,'Données projet'!$B$36,N99+M100-V99)))</f>
        <v>446.19000000000005</v>
      </c>
      <c r="O100" s="14">
        <f>N100*VLOOKUP('Données projet'!$B$9,Paramètres!$A$1:$I$89,3,0)*VLOOKUP('Données projet'!$B$9,Paramètres!$A$1:$I$89,5,0)</f>
        <v>208.81692000000004</v>
      </c>
      <c r="P100" s="14">
        <f t="shared" si="87"/>
        <v>51.676968005916031</v>
      </c>
      <c r="Q100" s="22">
        <f t="shared" si="107"/>
        <v>453.69352161030378</v>
      </c>
      <c r="R100" s="62">
        <f t="shared" si="55"/>
        <v>747.02685494363709</v>
      </c>
      <c r="S100" s="62">
        <f ca="1">AVERAGE(OFFSET($R$3,0,0,'Données projet'!$E$9+1,1))-AVERAGE(OFFSET($H$3,0,0,'Données projet'!$E$9+1,1))</f>
        <v>172.62653085905839</v>
      </c>
      <c r="T100" s="62">
        <f t="shared" si="88"/>
        <v>103.0747749312265</v>
      </c>
      <c r="U100" s="16">
        <f>IF(ISNA(VLOOKUP(A100,'Données projet'!$A$35:$I$55,3,0)),0,VLOOKUP(A100,'Données projet'!$A$35:$I$55,3,0))</f>
        <v>12</v>
      </c>
      <c r="V100" s="16">
        <f>IF(ISNA(VLOOKUP(A100,'Données projet'!$A$35:$I$55,4,0)),0,VLOOKUP(A100,'Données projet'!$A$35:$I$55,4,0))</f>
        <v>89.6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271.34640000000007</v>
      </c>
      <c r="AK100" s="14">
        <f t="shared" si="89"/>
        <v>65.134926573557365</v>
      </c>
      <c r="AL100" s="22">
        <f t="shared" si="58"/>
        <v>586.03831044894594</v>
      </c>
      <c r="AM100" s="62">
        <f t="shared" si="59"/>
        <v>879.37164378227931</v>
      </c>
      <c r="AN100" s="62">
        <f ca="1">AVERAGE(OFFSET($AM$3,0,0,'Données projet'!$E$10+1,1))-AVERAGE(OFFSET($H$3,0,0,'Données projet'!$E$10+1,1))</f>
        <v>289.36126704091066</v>
      </c>
      <c r="AO100" s="62">
        <f t="shared" si="90"/>
        <v>195.3674411454258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242.12448000000006</v>
      </c>
      <c r="BF100" s="14">
        <f t="shared" si="91"/>
        <v>58.896387987806008</v>
      </c>
      <c r="BG100" s="22">
        <f t="shared" si="61"/>
        <v>524.2780117454289</v>
      </c>
      <c r="BH100" s="62">
        <f t="shared" si="62"/>
        <v>817.61134507876227</v>
      </c>
      <c r="BI100" s="62">
        <f ca="1">AVERAGE(OFFSET($BH$3,0,0,'Données projet'!$E$11+1,1))-AVERAGE(OFFSET($H$3,0,0,'Données projet'!$E$11+1,1))</f>
        <v>250.17147737747007</v>
      </c>
      <c r="BJ100" s="62">
        <f t="shared" si="92"/>
        <v>172.25613380618552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267.60000000000008</v>
      </c>
      <c r="BZ100" s="14">
        <f>BY100*VLOOKUP('Données projet'!$B$12,Paramètres!$A$1:$I$89,3,0)*VLOOKUP('Données projet'!$B$12,Paramètres!$A$1:$I$89,5,0)</f>
        <v>288.04464000000007</v>
      </c>
      <c r="CA100" s="14">
        <f t="shared" si="93"/>
        <v>68.664259771444577</v>
      </c>
      <c r="CB100" s="22">
        <f t="shared" si="64"/>
        <v>621.268000435266</v>
      </c>
      <c r="CC100" s="62">
        <f t="shared" si="65"/>
        <v>914.60133376859926</v>
      </c>
      <c r="CD100" s="62">
        <f ca="1">AVERAGE(OFFSET($CC$3,0,0,'Données projet'!$E$12+1,1))-AVERAGE(OFFSET($H$3,0,0,'Données projet'!$E$12+1,1))</f>
        <v>311.71521576048417</v>
      </c>
      <c r="CE100" s="62">
        <f t="shared" si="94"/>
        <v>208.54841796921403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280.47174439810988</v>
      </c>
      <c r="CZ100" s="62">
        <f t="shared" si="96"/>
        <v>231.19476400361157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0.37729167313515088</v>
      </c>
      <c r="DH100" s="23">
        <f>EXP(-LN(2)/2)*DH99+(1-EXP(-LN(2)/2))/(LN(2)/2)*DB100*DE100*VLOOKUP('Données projet'!$B$13,Paramètres!$A$1:$I$89,3,0)*0.475*44/12</f>
        <v>1.7392375051061091E-9</v>
      </c>
      <c r="DI100" s="24">
        <f t="shared" si="69"/>
        <v>0.37729167487438842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5.3</v>
      </c>
      <c r="DO100" s="13">
        <f>IF('Données projet'!$A$166&gt;35,DO99+DN100-DW99,IF(A100&lt;'Données projet'!$A$166,$DL$205^A100,IF(A100='Données projet'!$A$166,'Données projet'!$B$166,DO99+DN100-DW99)))</f>
        <v>499.10000000000008</v>
      </c>
      <c r="DP100" s="18">
        <f>DO100*VLOOKUP('Données projet'!$B$14,Paramètres!$A$1:$I$89,3,0)*VLOOKUP('Données projet'!$B$14,Paramètres!$A$1:$I$89,5,0)</f>
        <v>298.46180000000004</v>
      </c>
      <c r="DQ100" s="14">
        <f t="shared" si="97"/>
        <v>70.853901261389936</v>
      </c>
      <c r="DR100" s="22">
        <f t="shared" si="70"/>
        <v>643.22484636358752</v>
      </c>
      <c r="DS100" s="62">
        <f t="shared" si="71"/>
        <v>936.55817969692089</v>
      </c>
      <c r="DT100" s="62">
        <f ca="1">AVERAGE(OFFSET($DS$3,0,0,'Données projet'!$E$14+1,1))-AVERAGE(OFFSET($H$3,0,0,'Données projet'!$E$14+1,1))</f>
        <v>282.98919020956595</v>
      </c>
      <c r="DU100" s="62">
        <f t="shared" si="98"/>
        <v>182.23565317232647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6.740511518103613E-10</v>
      </c>
      <c r="ED100" s="24">
        <f t="shared" si="72"/>
        <v>6.740511518103613E-10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9">
        <f t="shared" si="56"/>
        <v>450.01980879247901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>
        <f>VLOOKUP(A101,'Données projet'!$A$35:$I$55,2,0)</f>
        <v>365.7</v>
      </c>
      <c r="L101" s="13">
        <f>VLOOKUP(A101,'Données projet'!$A$35:$I$55,9,0)</f>
        <v>9.1099999999999568</v>
      </c>
      <c r="M101" s="13">
        <f t="array" ref="M101">INDEX(L:L,MIN(IF(ISNUMBER(L101:L297),ROW(L101:L297),"")))</f>
        <v>9.1099999999999568</v>
      </c>
      <c r="N101" s="14">
        <f>IF('Données projet'!$A$36&gt;35,N100+M101-V100,IF(A101&lt;'Données projet'!$A$36,$K$205^A101,IF(A101='Données projet'!$A$36,'Données projet'!$B$36,N100+M101-V100)))</f>
        <v>365.70000000000005</v>
      </c>
      <c r="O101" s="14">
        <f>N101*VLOOKUP('Données projet'!$B$9,Paramètres!$A$1:$I$89,3,0)*VLOOKUP('Données projet'!$B$9,Paramètres!$A$1:$I$89,5,0)</f>
        <v>171.14760000000004</v>
      </c>
      <c r="P101" s="14">
        <f t="shared" si="87"/>
        <v>43.34694708166306</v>
      </c>
      <c r="Q101" s="22">
        <f t="shared" si="107"/>
        <v>373.57800283389651</v>
      </c>
      <c r="R101" s="62">
        <f t="shared" si="55"/>
        <v>666.91133616722982</v>
      </c>
      <c r="S101" s="62">
        <f ca="1">AVERAGE(OFFSET($R$3,0,0,'Données projet'!$E$9+1,1))-AVERAGE(OFFSET($H$3,0,0,'Données projet'!$E$9+1,1))</f>
        <v>172.62653085905839</v>
      </c>
      <c r="T101" s="62">
        <f t="shared" si="88"/>
        <v>103.0747749312265</v>
      </c>
      <c r="U101" s="16">
        <f>IF(ISNA(VLOOKUP(A101,'Données projet'!$A$35:$I$55,3,0)),0,VLOOKUP(A101,'Données projet'!$A$35:$I$55,3,0))</f>
        <v>13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276.2136000000001</v>
      </c>
      <c r="AK101" s="14">
        <f t="shared" si="89"/>
        <v>66.166200760877473</v>
      </c>
      <c r="AL101" s="22">
        <f t="shared" si="58"/>
        <v>596.31148632519512</v>
      </c>
      <c r="AM101" s="62">
        <f t="shared" si="59"/>
        <v>889.64481965852838</v>
      </c>
      <c r="AN101" s="62">
        <f ca="1">AVERAGE(OFFSET($AM$3,0,0,'Données projet'!$E$10+1,1))-AVERAGE(OFFSET($H$3,0,0,'Données projet'!$E$10+1,1))</f>
        <v>289.36126704091066</v>
      </c>
      <c r="AO101" s="62">
        <f t="shared" si="90"/>
        <v>195.3674411454258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246.46752000000009</v>
      </c>
      <c r="BF101" s="14">
        <f t="shared" si="91"/>
        <v>59.828888074217033</v>
      </c>
      <c r="BG101" s="22">
        <f t="shared" si="61"/>
        <v>533.4662440625948</v>
      </c>
      <c r="BH101" s="62">
        <f t="shared" si="62"/>
        <v>826.79957739592805</v>
      </c>
      <c r="BI101" s="62">
        <f ca="1">AVERAGE(OFFSET($BH$3,0,0,'Données projet'!$E$11+1,1))-AVERAGE(OFFSET($H$3,0,0,'Données projet'!$E$11+1,1))</f>
        <v>250.17147737747007</v>
      </c>
      <c r="BJ101" s="62">
        <f t="shared" si="92"/>
        <v>172.25613380618552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272.40000000000009</v>
      </c>
      <c r="BZ101" s="14">
        <f>BY101*VLOOKUP('Données projet'!$B$12,Paramètres!$A$1:$I$89,3,0)*VLOOKUP('Données projet'!$B$12,Paramètres!$A$1:$I$89,5,0)</f>
        <v>293.21136000000007</v>
      </c>
      <c r="CA101" s="14">
        <f t="shared" si="93"/>
        <v>69.751413506296274</v>
      </c>
      <c r="CB101" s="22">
        <f t="shared" si="64"/>
        <v>632.16016385679939</v>
      </c>
      <c r="CC101" s="62">
        <f t="shared" si="65"/>
        <v>925.49349719013276</v>
      </c>
      <c r="CD101" s="62">
        <f ca="1">AVERAGE(OFFSET($CC$3,0,0,'Données projet'!$E$12+1,1))-AVERAGE(OFFSET($H$3,0,0,'Données projet'!$E$12+1,1))</f>
        <v>311.71521576048417</v>
      </c>
      <c r="CE101" s="62">
        <f t="shared" si="94"/>
        <v>208.54841796921403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280.47174439810988</v>
      </c>
      <c r="CZ101" s="62">
        <f t="shared" si="96"/>
        <v>231.19476400361157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0.36697461249236341</v>
      </c>
      <c r="DH101" s="23">
        <f>EXP(-LN(2)/2)*DH100+(1-EXP(-LN(2)/2))/(LN(2)/2)*DB101*DE101*VLOOKUP('Données projet'!$B$13,Paramètres!$A$1:$I$89,3,0)*0.475*44/12</f>
        <v>1.2298266339545023E-9</v>
      </c>
      <c r="DI101" s="24">
        <f t="shared" si="69"/>
        <v>0.36697461372219004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5.3</v>
      </c>
      <c r="DO101" s="13">
        <f>IF('Données projet'!$A$166&gt;35,DO100+DN101-DW100,IF(A101&lt;'Données projet'!$A$166,$DL$205^A101,IF(A101='Données projet'!$A$166,'Données projet'!$B$166,DO100+DN101-DW100)))</f>
        <v>504.40000000000009</v>
      </c>
      <c r="DP101" s="18">
        <f>DO101*VLOOKUP('Données projet'!$B$14,Paramètres!$A$1:$I$89,3,0)*VLOOKUP('Données projet'!$B$14,Paramètres!$A$1:$I$89,5,0)</f>
        <v>301.63120000000009</v>
      </c>
      <c r="DQ101" s="14">
        <f t="shared" si="97"/>
        <v>71.518317654219274</v>
      </c>
      <c r="DR101" s="22">
        <f t="shared" si="70"/>
        <v>649.90207658109875</v>
      </c>
      <c r="DS101" s="62">
        <f t="shared" si="71"/>
        <v>943.23540991443201</v>
      </c>
      <c r="DT101" s="62">
        <f ca="1">AVERAGE(OFFSET($DS$3,0,0,'Données projet'!$E$14+1,1))-AVERAGE(OFFSET($H$3,0,0,'Données projet'!$E$14+1,1))</f>
        <v>282.98919020956595</v>
      </c>
      <c r="DU101" s="62">
        <f t="shared" si="98"/>
        <v>182.23565317232647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4.7662614031170948E-10</v>
      </c>
      <c r="ED101" s="24">
        <f t="shared" si="72"/>
        <v>4.7662614031170948E-10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9">
        <f t="shared" si="56"/>
        <v>451.94318956237618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9.0300000000000011</v>
      </c>
      <c r="N102" s="14">
        <f>IF('Données projet'!$A$36&gt;35,N101+M102-V101,IF(A102&lt;'Données projet'!$A$36,$K$205^A102,IF(A102='Données projet'!$A$36,'Données projet'!$B$36,N101+M102-V101)))</f>
        <v>374.73</v>
      </c>
      <c r="O102" s="14">
        <f>N102*VLOOKUP('Données projet'!$B$9,Paramètres!$A$1:$I$89,3,0)*VLOOKUP('Données projet'!$B$9,Paramètres!$A$1:$I$89,5,0)</f>
        <v>175.37364000000002</v>
      </c>
      <c r="P102" s="14">
        <f t="shared" si="87"/>
        <v>44.291351717653299</v>
      </c>
      <c r="Q102" s="22">
        <f t="shared" si="107"/>
        <v>382.58319390824619</v>
      </c>
      <c r="R102" s="62">
        <f t="shared" si="55"/>
        <v>675.9165272415795</v>
      </c>
      <c r="S102" s="62">
        <f ca="1">AVERAGE(OFFSET($R$3,0,0,'Données projet'!$E$9+1,1))-AVERAGE(OFFSET($H$3,0,0,'Données projet'!$E$9+1,1))</f>
        <v>172.62653085905839</v>
      </c>
      <c r="T102" s="62">
        <f t="shared" si="88"/>
        <v>103.0747749312265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281.08080000000012</v>
      </c>
      <c r="AK102" s="14">
        <f t="shared" si="89"/>
        <v>67.195361752546177</v>
      </c>
      <c r="AL102" s="22">
        <f t="shared" si="58"/>
        <v>606.58098171901804</v>
      </c>
      <c r="AM102" s="62">
        <f t="shared" si="59"/>
        <v>899.91431505235141</v>
      </c>
      <c r="AN102" s="62">
        <f ca="1">AVERAGE(OFFSET($AM$3,0,0,'Données projet'!$E$10+1,1))-AVERAGE(OFFSET($H$3,0,0,'Données projet'!$E$10+1,1))</f>
        <v>289.36126704091066</v>
      </c>
      <c r="AO102" s="62">
        <f t="shared" si="90"/>
        <v>195.3674411454258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250.81056000000007</v>
      </c>
      <c r="BF102" s="14">
        <f t="shared" si="91"/>
        <v>60.75947736410874</v>
      </c>
      <c r="BG102" s="22">
        <f t="shared" si="61"/>
        <v>542.65114840915612</v>
      </c>
      <c r="BH102" s="62">
        <f t="shared" si="62"/>
        <v>835.98448174248938</v>
      </c>
      <c r="BI102" s="62">
        <f ca="1">AVERAGE(OFFSET($BH$3,0,0,'Données projet'!$E$11+1,1))-AVERAGE(OFFSET($H$3,0,0,'Données projet'!$E$11+1,1))</f>
        <v>250.17147737747007</v>
      </c>
      <c r="BJ102" s="62">
        <f t="shared" si="92"/>
        <v>172.25613380618552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277.2000000000001</v>
      </c>
      <c r="BZ102" s="14">
        <f>BY102*VLOOKUP('Données projet'!$B$12,Paramètres!$A$1:$I$89,3,0)*VLOOKUP('Données projet'!$B$12,Paramètres!$A$1:$I$89,5,0)</f>
        <v>298.37808000000012</v>
      </c>
      <c r="CA102" s="14">
        <f t="shared" si="93"/>
        <v>70.836339542080978</v>
      </c>
      <c r="CB102" s="22">
        <f t="shared" si="64"/>
        <v>643.04844736912457</v>
      </c>
      <c r="CC102" s="62">
        <f t="shared" si="65"/>
        <v>936.38178070245795</v>
      </c>
      <c r="CD102" s="62">
        <f ca="1">AVERAGE(OFFSET($CC$3,0,0,'Données projet'!$E$12+1,1))-AVERAGE(OFFSET($H$3,0,0,'Données projet'!$E$12+1,1))</f>
        <v>311.71521576048417</v>
      </c>
      <c r="CE102" s="62">
        <f t="shared" si="94"/>
        <v>208.54841796921403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280.47174439810988</v>
      </c>
      <c r="CZ102" s="62">
        <f t="shared" si="96"/>
        <v>231.19476400361157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0.35693967241540359</v>
      </c>
      <c r="DH102" s="23">
        <f>EXP(-LN(2)/2)*DH101+(1-EXP(-LN(2)/2))/(LN(2)/2)*DB102*DE102*VLOOKUP('Données projet'!$B$13,Paramètres!$A$1:$I$89,3,0)*0.475*44/12</f>
        <v>8.6961875255305455E-10</v>
      </c>
      <c r="DI102" s="24">
        <f t="shared" si="69"/>
        <v>0.35693967328502235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5.3</v>
      </c>
      <c r="DO102" s="13">
        <f>IF('Données projet'!$A$166&gt;35,DO101+DN102-DW101,IF(A102&lt;'Données projet'!$A$166,$DL$205^A102,IF(A102='Données projet'!$A$166,'Données projet'!$B$166,DO101+DN102-DW101)))</f>
        <v>509.7000000000001</v>
      </c>
      <c r="DP102" s="18">
        <f>DO102*VLOOKUP('Données projet'!$B$14,Paramètres!$A$1:$I$89,3,0)*VLOOKUP('Données projet'!$B$14,Paramètres!$A$1:$I$89,5,0)</f>
        <v>304.80060000000009</v>
      </c>
      <c r="DQ102" s="14">
        <f t="shared" si="97"/>
        <v>72.181921895639363</v>
      </c>
      <c r="DR102" s="22">
        <f t="shared" si="70"/>
        <v>656.57789230157209</v>
      </c>
      <c r="DS102" s="62">
        <f t="shared" si="71"/>
        <v>949.91122563490535</v>
      </c>
      <c r="DT102" s="62">
        <f ca="1">AVERAGE(OFFSET($DS$3,0,0,'Données projet'!$E$14+1,1))-AVERAGE(OFFSET($H$3,0,0,'Données projet'!$E$14+1,1))</f>
        <v>282.98919020956595</v>
      </c>
      <c r="DU102" s="62">
        <f t="shared" si="98"/>
        <v>182.23565317232647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3.3702557590518065E-10</v>
      </c>
      <c r="ED102" s="24">
        <f t="shared" si="72"/>
        <v>3.3702557590518065E-10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9">
        <f t="shared" si="56"/>
        <v>453.86613003772942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9.0300000000000011</v>
      </c>
      <c r="N103" s="14">
        <f>IF('Données projet'!$A$36&gt;35,N102+M103-V102,IF(A103&lt;'Données projet'!$A$36,$K$205^A103,IF(A103='Données projet'!$A$36,'Données projet'!$B$36,N102+M103-V102)))</f>
        <v>383.76</v>
      </c>
      <c r="O103" s="14">
        <f>N103*VLOOKUP('Données projet'!$B$9,Paramètres!$A$1:$I$89,3,0)*VLOOKUP('Données projet'!$B$9,Paramètres!$A$1:$I$89,5,0)</f>
        <v>179.59967999999998</v>
      </c>
      <c r="P103" s="14">
        <f t="shared" si="87"/>
        <v>45.233110804333748</v>
      </c>
      <c r="Q103" s="22">
        <f t="shared" si="107"/>
        <v>391.58377731754786</v>
      </c>
      <c r="R103" s="62">
        <f t="shared" si="55"/>
        <v>684.91711065088111</v>
      </c>
      <c r="S103" s="62">
        <f ca="1">AVERAGE(OFFSET($R$3,0,0,'Données projet'!$E$9+1,1))-AVERAGE(OFFSET($H$3,0,0,'Données projet'!$E$9+1,1))</f>
        <v>172.62653085905839</v>
      </c>
      <c r="T103" s="62">
        <f t="shared" si="88"/>
        <v>103.0747749312265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285.94800000000009</v>
      </c>
      <c r="AK103" s="14">
        <f t="shared" si="89"/>
        <v>68.222450362989363</v>
      </c>
      <c r="AL103" s="22">
        <f t="shared" si="58"/>
        <v>616.84686771553993</v>
      </c>
      <c r="AM103" s="62">
        <f t="shared" si="59"/>
        <v>910.18020104887319</v>
      </c>
      <c r="AN103" s="62">
        <f ca="1">AVERAGE(OFFSET($AM$3,0,0,'Données projet'!$E$10+1,1))-AVERAGE(OFFSET($H$3,0,0,'Données projet'!$E$10+1,1))</f>
        <v>289.36126704091066</v>
      </c>
      <c r="AO103" s="62">
        <f t="shared" si="90"/>
        <v>195.3674411454258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255.1536000000001</v>
      </c>
      <c r="BF103" s="14">
        <f t="shared" si="91"/>
        <v>61.688192762754426</v>
      </c>
      <c r="BG103" s="22">
        <f t="shared" si="61"/>
        <v>551.83278906179737</v>
      </c>
      <c r="BH103" s="62">
        <f t="shared" si="62"/>
        <v>845.16612239513074</v>
      </c>
      <c r="BI103" s="62">
        <f ca="1">AVERAGE(OFFSET($BH$3,0,0,'Données projet'!$E$11+1,1))-AVERAGE(OFFSET($H$3,0,0,'Données projet'!$E$11+1,1))</f>
        <v>250.17147737747007</v>
      </c>
      <c r="BJ103" s="62">
        <f t="shared" si="92"/>
        <v>172.25613380618552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282.00000000000011</v>
      </c>
      <c r="BZ103" s="14">
        <f>BY103*VLOOKUP('Données projet'!$B$12,Paramètres!$A$1:$I$89,3,0)*VLOOKUP('Données projet'!$B$12,Paramètres!$A$1:$I$89,5,0)</f>
        <v>303.54480000000012</v>
      </c>
      <c r="CA103" s="14">
        <f t="shared" si="93"/>
        <v>71.919080904752576</v>
      </c>
      <c r="CB103" s="22">
        <f t="shared" si="64"/>
        <v>653.93292590911108</v>
      </c>
      <c r="CC103" s="62">
        <f t="shared" si="65"/>
        <v>947.26625924244445</v>
      </c>
      <c r="CD103" s="62">
        <f ca="1">AVERAGE(OFFSET($CC$3,0,0,'Données projet'!$E$12+1,1))-AVERAGE(OFFSET($H$3,0,0,'Données projet'!$E$12+1,1))</f>
        <v>311.71521576048417</v>
      </c>
      <c r="CE103" s="62">
        <f t="shared" si="94"/>
        <v>208.54841796921403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280.47174439810988</v>
      </c>
      <c r="CZ103" s="62">
        <f t="shared" si="96"/>
        <v>231.19476400361157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0.34717913830256281</v>
      </c>
      <c r="DH103" s="23">
        <f>EXP(-LN(2)/2)*DH102+(1-EXP(-LN(2)/2))/(LN(2)/2)*DB103*DE103*VLOOKUP('Données projet'!$B$13,Paramètres!$A$1:$I$89,3,0)*0.475*44/12</f>
        <v>6.1491331697725116E-10</v>
      </c>
      <c r="DI103" s="24">
        <f t="shared" si="69"/>
        <v>0.34717913891747615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515</v>
      </c>
      <c r="DM103" s="13">
        <f>VLOOKUP(A103,'Données projet'!$A$165:$I$185,9,0)</f>
        <v>5.3</v>
      </c>
      <c r="DN103" s="13">
        <f t="array" ref="DN103">INDEX(DM:DM,MIN(IF(ISNUMBER(DM103:DM299),ROW(DM103:DM299),"")))</f>
        <v>5.3</v>
      </c>
      <c r="DO103" s="13">
        <f>IF('Données projet'!$A$166&gt;35,DO102+DN103-DW102,IF(A103&lt;'Données projet'!$A$166,$DL$205^A103,IF(A103='Données projet'!$A$166,'Données projet'!$B$166,DO102+DN103-DW102)))</f>
        <v>515.00000000000011</v>
      </c>
      <c r="DP103" s="18">
        <f>DO103*VLOOKUP('Données projet'!$B$14,Paramètres!$A$1:$I$89,3,0)*VLOOKUP('Données projet'!$B$14,Paramètres!$A$1:$I$89,5,0)</f>
        <v>307.97000000000008</v>
      </c>
      <c r="DQ103" s="14">
        <f t="shared" si="97"/>
        <v>72.844723408255376</v>
      </c>
      <c r="DR103" s="22">
        <f t="shared" si="70"/>
        <v>663.25230993604498</v>
      </c>
      <c r="DS103" s="62">
        <f t="shared" si="71"/>
        <v>956.58564326937835</v>
      </c>
      <c r="DT103" s="62">
        <f ca="1">AVERAGE(OFFSET($DS$3,0,0,'Données projet'!$E$14+1,1))-AVERAGE(OFFSET($H$3,0,0,'Données projet'!$E$14+1,1))</f>
        <v>282.98919020956595</v>
      </c>
      <c r="DU103" s="62">
        <f t="shared" si="98"/>
        <v>182.23565317232647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515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2.3831307015585474E-10</v>
      </c>
      <c r="ED103" s="24">
        <f t="shared" si="72"/>
        <v>2.3831307015585474E-10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9">
        <f t="shared" si="56"/>
        <v>455.78863513129187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9.0300000000000011</v>
      </c>
      <c r="N104" s="14">
        <f>IF('Données projet'!$A$36&gt;35,N103+M104-V103,IF(A104&lt;'Données projet'!$A$36,$K$205^A104,IF(A104='Données projet'!$A$36,'Données projet'!$B$36,N103+M104-V103)))</f>
        <v>392.78999999999996</v>
      </c>
      <c r="O104" s="14">
        <f>N104*VLOOKUP('Données projet'!$B$9,Paramètres!$A$1:$I$89,3,0)*VLOOKUP('Données projet'!$B$9,Paramètres!$A$1:$I$89,5,0)</f>
        <v>183.82571999999999</v>
      </c>
      <c r="P104" s="14">
        <f t="shared" si="87"/>
        <v>46.172293756195444</v>
      </c>
      <c r="Q104" s="22">
        <f t="shared" si="107"/>
        <v>400.57987395870708</v>
      </c>
      <c r="R104" s="62">
        <f t="shared" si="55"/>
        <v>693.9132072920404</v>
      </c>
      <c r="S104" s="62">
        <f ca="1">AVERAGE(OFFSET($R$3,0,0,'Données projet'!$E$9+1,1))-AVERAGE(OFFSET($H$3,0,0,'Données projet'!$E$9+1,1))</f>
        <v>172.62653085905839</v>
      </c>
      <c r="T104" s="62">
        <f t="shared" si="88"/>
        <v>103.0747749312265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269.11560000000014</v>
      </c>
      <c r="AK104" s="14">
        <f t="shared" si="89"/>
        <v>64.661541462287133</v>
      </c>
      <c r="AL104" s="22">
        <f t="shared" si="58"/>
        <v>581.32852138015028</v>
      </c>
      <c r="AM104" s="62">
        <f t="shared" si="59"/>
        <v>874.66185471348354</v>
      </c>
      <c r="AN104" s="62">
        <f ca="1">AVERAGE(OFFSET($AM$3,0,0,'Données projet'!$E$10+1,1))-AVERAGE(OFFSET($H$3,0,0,'Données projet'!$E$10+1,1))</f>
        <v>289.36126704091066</v>
      </c>
      <c r="AO104" s="62">
        <f t="shared" si="90"/>
        <v>195.3674411454258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240.13392000000007</v>
      </c>
      <c r="BF104" s="14">
        <f t="shared" si="91"/>
        <v>58.468343087048616</v>
      </c>
      <c r="BG104" s="22">
        <f t="shared" si="61"/>
        <v>520.06560820994309</v>
      </c>
      <c r="BH104" s="62">
        <f t="shared" si="62"/>
        <v>813.39894154327635</v>
      </c>
      <c r="BI104" s="62">
        <f ca="1">AVERAGE(OFFSET($BH$3,0,0,'Données projet'!$E$11+1,1))-AVERAGE(OFFSET($H$3,0,0,'Données projet'!$E$11+1,1))</f>
        <v>250.17147737747007</v>
      </c>
      <c r="BJ104" s="62">
        <f t="shared" si="92"/>
        <v>172.25613380618552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265.40000000000009</v>
      </c>
      <c r="BZ104" s="14">
        <f>BY104*VLOOKUP('Données projet'!$B$12,Paramètres!$A$1:$I$89,3,0)*VLOOKUP('Données projet'!$B$12,Paramètres!$A$1:$I$89,5,0)</f>
        <v>285.67656000000011</v>
      </c>
      <c r="CA104" s="14">
        <f t="shared" si="93"/>
        <v>68.16522430825907</v>
      </c>
      <c r="CB104" s="22">
        <f t="shared" si="64"/>
        <v>616.27444100355149</v>
      </c>
      <c r="CC104" s="62">
        <f t="shared" si="65"/>
        <v>909.60777433688486</v>
      </c>
      <c r="CD104" s="62">
        <f ca="1">AVERAGE(OFFSET($CC$3,0,0,'Données projet'!$E$12+1,1))-AVERAGE(OFFSET($H$3,0,0,'Données projet'!$E$12+1,1))</f>
        <v>311.71521576048417</v>
      </c>
      <c r="CE104" s="62">
        <f t="shared" si="94"/>
        <v>208.54841796921403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280.47174439810988</v>
      </c>
      <c r="CZ104" s="62">
        <f t="shared" si="96"/>
        <v>231.19476400361157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0.33768550650832185</v>
      </c>
      <c r="DH104" s="23">
        <f>EXP(-LN(2)/2)*DH103+(1-EXP(-LN(2)/2))/(LN(2)/2)*DB104*DE104*VLOOKUP('Données projet'!$B$13,Paramètres!$A$1:$I$89,3,0)*0.475*44/12</f>
        <v>4.3480937627652728E-10</v>
      </c>
      <c r="DI104" s="24">
        <f t="shared" si="69"/>
        <v>0.33768550694313121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projet'!$B$14,Paramètres!$A$1:$I$89,3,0)*VLOOKUP('Données projet'!$B$14,Paramètres!$A$1:$I$89,5,0)</f>
        <v>6.7984728957526396E-14</v>
      </c>
      <c r="DQ104" s="14">
        <f t="shared" si="97"/>
        <v>1.0682447123141398E-12</v>
      </c>
      <c r="DR104" s="22">
        <f t="shared" si="70"/>
        <v>1.978932943548152E-12</v>
      </c>
      <c r="DS104" s="62">
        <f t="shared" si="71"/>
        <v>293.3333333333353</v>
      </c>
      <c r="DT104" s="62">
        <f ca="1">AVERAGE(OFFSET($DS$3,0,0,'Données projet'!$E$14+1,1))-AVERAGE(OFFSET($H$3,0,0,'Données projet'!$E$14+1,1))</f>
        <v>282.98919020956595</v>
      </c>
      <c r="DU104" s="62">
        <f t="shared" si="98"/>
        <v>182.23565317232647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1.6851278795259033E-10</v>
      </c>
      <c r="ED104" s="24">
        <f t="shared" si="72"/>
        <v>1.6851278795259033E-10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9">
        <f t="shared" si="56"/>
        <v>457.71070965292688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9.0300000000000011</v>
      </c>
      <c r="N105" s="14">
        <f>IF('Données projet'!$A$36&gt;35,N104+M105-V104,IF(A105&lt;'Données projet'!$A$36,$K$205^A105,IF(A105='Données projet'!$A$36,'Données projet'!$B$36,N104+M105-V104)))</f>
        <v>401.81999999999994</v>
      </c>
      <c r="O105" s="14">
        <f>N105*VLOOKUP('Données projet'!$B$9,Paramètres!$A$1:$I$89,3,0)*VLOOKUP('Données projet'!$B$9,Paramètres!$A$1:$I$89,5,0)</f>
        <v>188.05175999999997</v>
      </c>
      <c r="P105" s="14">
        <f t="shared" si="87"/>
        <v>47.10896661400681</v>
      </c>
      <c r="Q105" s="22">
        <f t="shared" si="107"/>
        <v>409.57159885272853</v>
      </c>
      <c r="R105" s="62">
        <f t="shared" si="55"/>
        <v>702.90493218606184</v>
      </c>
      <c r="S105" s="62">
        <f ca="1">AVERAGE(OFFSET($R$3,0,0,'Données projet'!$E$9+1,1))-AVERAGE(OFFSET($H$3,0,0,'Données projet'!$E$9+1,1))</f>
        <v>172.62653085905839</v>
      </c>
      <c r="T105" s="62">
        <f t="shared" si="88"/>
        <v>103.0747749312265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273.57720000000012</v>
      </c>
      <c r="AK105" s="14">
        <f t="shared" si="89"/>
        <v>65.607858889915107</v>
      </c>
      <c r="AL105" s="22">
        <f t="shared" si="58"/>
        <v>590.74731089993566</v>
      </c>
      <c r="AM105" s="62">
        <f t="shared" si="59"/>
        <v>884.08064423326891</v>
      </c>
      <c r="AN105" s="62">
        <f ca="1">AVERAGE(OFFSET($AM$3,0,0,'Données projet'!$E$10+1,1))-AVERAGE(OFFSET($H$3,0,0,'Données projet'!$E$10+1,1))</f>
        <v>289.36126704091066</v>
      </c>
      <c r="AO105" s="62">
        <f t="shared" si="90"/>
        <v>195.3674411454258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244.11504000000008</v>
      </c>
      <c r="BF105" s="14">
        <f t="shared" si="91"/>
        <v>59.324023461759062</v>
      </c>
      <c r="BG105" s="22">
        <f t="shared" si="61"/>
        <v>528.48970219589717</v>
      </c>
      <c r="BH105" s="62">
        <f t="shared" si="62"/>
        <v>821.82303552923054</v>
      </c>
      <c r="BI105" s="62">
        <f ca="1">AVERAGE(OFFSET($BH$3,0,0,'Données projet'!$E$11+1,1))-AVERAGE(OFFSET($H$3,0,0,'Données projet'!$E$11+1,1))</f>
        <v>250.17147737747007</v>
      </c>
      <c r="BJ105" s="62">
        <f t="shared" si="92"/>
        <v>172.25613380618552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269.80000000000007</v>
      </c>
      <c r="BZ105" s="14">
        <f>BY105*VLOOKUP('Données projet'!$B$12,Paramètres!$A$1:$I$89,3,0)*VLOOKUP('Données projet'!$B$12,Paramètres!$A$1:$I$89,5,0)</f>
        <v>290.41272000000004</v>
      </c>
      <c r="CA105" s="14">
        <f t="shared" si="93"/>
        <v>69.16281790504479</v>
      </c>
      <c r="CB105" s="22">
        <f t="shared" si="64"/>
        <v>626.260728517953</v>
      </c>
      <c r="CC105" s="62">
        <f t="shared" si="65"/>
        <v>919.59406185128637</v>
      </c>
      <c r="CD105" s="62">
        <f ca="1">AVERAGE(OFFSET($CC$3,0,0,'Données projet'!$E$12+1,1))-AVERAGE(OFFSET($H$3,0,0,'Données projet'!$E$12+1,1))</f>
        <v>311.71521576048417</v>
      </c>
      <c r="CE105" s="62">
        <f t="shared" si="94"/>
        <v>208.54841796921403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280.47174439810988</v>
      </c>
      <c r="CZ105" s="62">
        <f t="shared" si="96"/>
        <v>231.19476400361157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0.32845147857474277</v>
      </c>
      <c r="DH105" s="23">
        <f>EXP(-LN(2)/2)*DH104+(1-EXP(-LN(2)/2))/(LN(2)/2)*DB105*DE105*VLOOKUP('Données projet'!$B$13,Paramètres!$A$1:$I$89,3,0)*0.475*44/12</f>
        <v>3.0745665848862558E-10</v>
      </c>
      <c r="DI105" s="24">
        <f t="shared" si="69"/>
        <v>0.32845147888219944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projet'!$B$14,Paramètres!$A$1:$I$89,3,0)*VLOOKUP('Données projet'!$B$14,Paramètres!$A$1:$I$89,5,0)</f>
        <v>6.7984728957526396E-14</v>
      </c>
      <c r="DQ105" s="14">
        <f t="shared" si="97"/>
        <v>1.0682447123141398E-12</v>
      </c>
      <c r="DR105" s="22">
        <f t="shared" si="70"/>
        <v>1.978932943548152E-12</v>
      </c>
      <c r="DS105" s="62">
        <f t="shared" si="71"/>
        <v>293.3333333333353</v>
      </c>
      <c r="DT105" s="62">
        <f ca="1">AVERAGE(OFFSET($DS$3,0,0,'Données projet'!$E$14+1,1))-AVERAGE(OFFSET($H$3,0,0,'Données projet'!$E$14+1,1))</f>
        <v>282.98919020956595</v>
      </c>
      <c r="DU105" s="62">
        <f t="shared" si="98"/>
        <v>182.23565317232647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1.1915653507792737E-10</v>
      </c>
      <c r="ED105" s="24">
        <f t="shared" si="72"/>
        <v>1.1915653507792737E-10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9">
        <f t="shared" si="56"/>
        <v>459.63235831274994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9.0300000000000011</v>
      </c>
      <c r="N106" s="14">
        <f>IF('Données projet'!$A$36&gt;35,N105+M106-V105,IF(A106&lt;'Données projet'!$A$36,$K$205^A106,IF(A106='Données projet'!$A$36,'Données projet'!$B$36,N105+M106-V105)))</f>
        <v>410.84999999999991</v>
      </c>
      <c r="O106" s="14">
        <f>N106*VLOOKUP('Données projet'!$B$9,Paramètres!$A$1:$I$89,3,0)*VLOOKUP('Données projet'!$B$9,Paramètres!$A$1:$I$89,5,0)</f>
        <v>192.27779999999993</v>
      </c>
      <c r="P106" s="14">
        <f t="shared" si="87"/>
        <v>48.043192280860275</v>
      </c>
      <c r="Q106" s="22">
        <f t="shared" si="107"/>
        <v>418.55906155583148</v>
      </c>
      <c r="R106" s="62">
        <f t="shared" si="55"/>
        <v>711.89239488916473</v>
      </c>
      <c r="S106" s="62">
        <f ca="1">AVERAGE(OFFSET($R$3,0,0,'Données projet'!$E$9+1,1))-AVERAGE(OFFSET($H$3,0,0,'Données projet'!$E$9+1,1))</f>
        <v>172.62653085905839</v>
      </c>
      <c r="T106" s="62">
        <f t="shared" si="88"/>
        <v>103.0747749312265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278.03880000000009</v>
      </c>
      <c r="AK106" s="14">
        <f t="shared" si="89"/>
        <v>66.5523815477178</v>
      </c>
      <c r="AL106" s="22">
        <f t="shared" si="58"/>
        <v>600.16297452894207</v>
      </c>
      <c r="AM106" s="62">
        <f t="shared" si="59"/>
        <v>893.49630786227544</v>
      </c>
      <c r="AN106" s="62">
        <f ca="1">AVERAGE(OFFSET($AM$3,0,0,'Données projet'!$E$10+1,1))-AVERAGE(OFFSET($H$3,0,0,'Données projet'!$E$10+1,1))</f>
        <v>289.36126704091066</v>
      </c>
      <c r="AO106" s="62">
        <f t="shared" si="90"/>
        <v>195.3674411454258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248.09616</v>
      </c>
      <c r="BF106" s="14">
        <f t="shared" si="91"/>
        <v>60.178080967364686</v>
      </c>
      <c r="BG106" s="22">
        <f t="shared" si="61"/>
        <v>536.91096968482668</v>
      </c>
      <c r="BH106" s="62">
        <f t="shared" si="62"/>
        <v>830.24430301816005</v>
      </c>
      <c r="BI106" s="62">
        <f ca="1">AVERAGE(OFFSET($BH$3,0,0,'Données projet'!$E$11+1,1))-AVERAGE(OFFSET($H$3,0,0,'Données projet'!$E$11+1,1))</f>
        <v>250.17147737747007</v>
      </c>
      <c r="BJ106" s="62">
        <f t="shared" si="92"/>
        <v>172.25613380618552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274.20000000000005</v>
      </c>
      <c r="BZ106" s="14">
        <f>BY106*VLOOKUP('Données projet'!$B$12,Paramètres!$A$1:$I$89,3,0)*VLOOKUP('Données projet'!$B$12,Paramètres!$A$1:$I$89,5,0)</f>
        <v>295.14888000000002</v>
      </c>
      <c r="CA106" s="14">
        <f t="shared" si="93"/>
        <v>70.158519482479406</v>
      </c>
      <c r="CB106" s="22">
        <f t="shared" si="64"/>
        <v>636.24372076531824</v>
      </c>
      <c r="CC106" s="62">
        <f t="shared" si="65"/>
        <v>929.57705409865162</v>
      </c>
      <c r="CD106" s="62">
        <f ca="1">AVERAGE(OFFSET($CC$3,0,0,'Données projet'!$E$12+1,1))-AVERAGE(OFFSET($H$3,0,0,'Données projet'!$E$12+1,1))</f>
        <v>311.71521576048417</v>
      </c>
      <c r="CE106" s="62">
        <f t="shared" si="94"/>
        <v>208.54841796921403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280.47174439810988</v>
      </c>
      <c r="CZ106" s="62">
        <f t="shared" si="96"/>
        <v>231.19476400361157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0.31946995562060387</v>
      </c>
      <c r="DH106" s="23">
        <f>EXP(-LN(2)/2)*DH105+(1-EXP(-LN(2)/2))/(LN(2)/2)*DB106*DE106*VLOOKUP('Données projet'!$B$13,Paramètres!$A$1:$I$89,3,0)*0.475*44/12</f>
        <v>2.1740468813826364E-10</v>
      </c>
      <c r="DI106" s="24">
        <f t="shared" si="69"/>
        <v>0.31946995583800858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projet'!$B$14,Paramètres!$A$1:$I$89,3,0)*VLOOKUP('Données projet'!$B$14,Paramètres!$A$1:$I$89,5,0)</f>
        <v>6.7984728957526396E-14</v>
      </c>
      <c r="DQ106" s="14">
        <f t="shared" si="97"/>
        <v>1.0682447123141398E-12</v>
      </c>
      <c r="DR106" s="22">
        <f t="shared" si="70"/>
        <v>1.978932943548152E-12</v>
      </c>
      <c r="DS106" s="62">
        <f t="shared" si="71"/>
        <v>293.3333333333353</v>
      </c>
      <c r="DT106" s="62">
        <f ca="1">AVERAGE(OFFSET($DS$3,0,0,'Données projet'!$E$14+1,1))-AVERAGE(OFFSET($H$3,0,0,'Données projet'!$E$14+1,1))</f>
        <v>282.98919020956595</v>
      </c>
      <c r="DU106" s="62">
        <f t="shared" si="98"/>
        <v>182.23565317232647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8.4256393976295163E-11</v>
      </c>
      <c r="ED106" s="24">
        <f t="shared" si="72"/>
        <v>8.4256393976295163E-11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9">
        <f t="shared" si="56"/>
        <v>461.55358572414536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9.0300000000000011</v>
      </c>
      <c r="N107" s="14">
        <f>IF('Données projet'!$A$36&gt;35,N106+M107-V106,IF(A107&lt;'Données projet'!$A$36,$K$205^A107,IF(A107='Données projet'!$A$36,'Données projet'!$B$36,N106+M107-V106)))</f>
        <v>419.87999999999988</v>
      </c>
      <c r="O107" s="14">
        <f>N107*VLOOKUP('Données projet'!$B$9,Paramètres!$A$1:$I$89,3,0)*VLOOKUP('Données projet'!$B$9,Paramètres!$A$1:$I$89,5,0)</f>
        <v>196.50383999999994</v>
      </c>
      <c r="P107" s="14">
        <f t="shared" si="87"/>
        <v>48.975030736881259</v>
      </c>
      <c r="Q107" s="22">
        <f t="shared" si="107"/>
        <v>427.54236653340143</v>
      </c>
      <c r="R107" s="62">
        <f t="shared" si="55"/>
        <v>720.87569986673475</v>
      </c>
      <c r="S107" s="62">
        <f ca="1">AVERAGE(OFFSET($R$3,0,0,'Données projet'!$E$9+1,1))-AVERAGE(OFFSET($H$3,0,0,'Données projet'!$E$9+1,1))</f>
        <v>172.62653085905839</v>
      </c>
      <c r="T107" s="62">
        <f t="shared" si="88"/>
        <v>103.0747749312265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282.50040000000007</v>
      </c>
      <c r="AK107" s="14">
        <f t="shared" si="89"/>
        <v>67.495141560894439</v>
      </c>
      <c r="AL107" s="22">
        <f t="shared" si="58"/>
        <v>609.57556821855781</v>
      </c>
      <c r="AM107" s="62">
        <f t="shared" si="59"/>
        <v>902.90890155189118</v>
      </c>
      <c r="AN107" s="62">
        <f ca="1">AVERAGE(OFFSET($AM$3,0,0,'Données projet'!$E$10+1,1))-AVERAGE(OFFSET($H$3,0,0,'Données projet'!$E$10+1,1))</f>
        <v>289.36126704091066</v>
      </c>
      <c r="AO107" s="62">
        <f t="shared" si="90"/>
        <v>195.3674411454258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252.07728</v>
      </c>
      <c r="BF107" s="14">
        <f t="shared" si="91"/>
        <v>61.030544652154987</v>
      </c>
      <c r="BG107" s="22">
        <f t="shared" si="61"/>
        <v>545.32946126916988</v>
      </c>
      <c r="BH107" s="62">
        <f t="shared" si="62"/>
        <v>838.66279460250325</v>
      </c>
      <c r="BI107" s="62">
        <f ca="1">AVERAGE(OFFSET($BH$3,0,0,'Données projet'!$E$11+1,1))-AVERAGE(OFFSET($H$3,0,0,'Données projet'!$E$11+1,1))</f>
        <v>250.17147737747007</v>
      </c>
      <c r="BJ107" s="62">
        <f t="shared" si="92"/>
        <v>172.25613380618552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278.60000000000002</v>
      </c>
      <c r="BZ107" s="14">
        <f>BY107*VLOOKUP('Données projet'!$B$12,Paramètres!$A$1:$I$89,3,0)*VLOOKUP('Données projet'!$B$12,Paramètres!$A$1:$I$89,5,0)</f>
        <v>299.88504</v>
      </c>
      <c r="CA107" s="14">
        <f t="shared" si="93"/>
        <v>71.152362906464646</v>
      </c>
      <c r="CB107" s="22">
        <f t="shared" si="64"/>
        <v>646.22347672875924</v>
      </c>
      <c r="CC107" s="62">
        <f t="shared" si="65"/>
        <v>939.55681006209261</v>
      </c>
      <c r="CD107" s="62">
        <f ca="1">AVERAGE(OFFSET($CC$3,0,0,'Données projet'!$E$12+1,1))-AVERAGE(OFFSET($H$3,0,0,'Données projet'!$E$12+1,1))</f>
        <v>311.71521576048417</v>
      </c>
      <c r="CE107" s="62">
        <f t="shared" si="94"/>
        <v>208.54841796921403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280.47174439810988</v>
      </c>
      <c r="CZ107" s="62">
        <f t="shared" si="96"/>
        <v>231.19476400361157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0.31073403288396367</v>
      </c>
      <c r="DH107" s="23">
        <f>EXP(-LN(2)/2)*DH106+(1-EXP(-LN(2)/2))/(LN(2)/2)*DB107*DE107*VLOOKUP('Données projet'!$B$13,Paramètres!$A$1:$I$89,3,0)*0.475*44/12</f>
        <v>1.5372832924431279E-10</v>
      </c>
      <c r="DI107" s="24">
        <f t="shared" si="69"/>
        <v>0.31073403303769198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projet'!$B$14,Paramètres!$A$1:$I$89,3,0)*VLOOKUP('Données projet'!$B$14,Paramètres!$A$1:$I$89,5,0)</f>
        <v>6.7984728957526396E-14</v>
      </c>
      <c r="DQ107" s="14">
        <f t="shared" si="97"/>
        <v>1.0682447123141398E-12</v>
      </c>
      <c r="DR107" s="22">
        <f t="shared" si="70"/>
        <v>1.978932943548152E-12</v>
      </c>
      <c r="DS107" s="62">
        <f t="shared" si="71"/>
        <v>293.3333333333353</v>
      </c>
      <c r="DT107" s="62">
        <f ca="1">AVERAGE(OFFSET($DS$3,0,0,'Données projet'!$E$14+1,1))-AVERAGE(OFFSET($H$3,0,0,'Données projet'!$E$14+1,1))</f>
        <v>282.98919020956595</v>
      </c>
      <c r="DU107" s="62">
        <f t="shared" si="98"/>
        <v>182.23565317232647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5.9578267538963685E-11</v>
      </c>
      <c r="ED107" s="24">
        <f t="shared" si="72"/>
        <v>5.9578267538963685E-11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9">
        <f t="shared" si="56"/>
        <v>463.47439640666329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9.0300000000000011</v>
      </c>
      <c r="N108" s="14">
        <f>IF('Données projet'!$A$36&gt;35,N107+M108-V107,IF(A108&lt;'Données projet'!$A$36,$K$205^A108,IF(A108='Données projet'!$A$36,'Données projet'!$B$36,N107+M108-V107)))</f>
        <v>428.90999999999985</v>
      </c>
      <c r="O108" s="14">
        <f>N108*VLOOKUP('Données projet'!$B$9,Paramètres!$A$1:$I$89,3,0)*VLOOKUP('Données projet'!$B$9,Paramètres!$A$1:$I$89,5,0)</f>
        <v>200.72987999999992</v>
      </c>
      <c r="P108" s="14">
        <f t="shared" si="87"/>
        <v>49.904539234946299</v>
      </c>
      <c r="Q108" s="22">
        <f t="shared" si="107"/>
        <v>436.5216135008647</v>
      </c>
      <c r="R108" s="62">
        <f t="shared" si="55"/>
        <v>729.85494683419802</v>
      </c>
      <c r="S108" s="62">
        <f ca="1">AVERAGE(OFFSET($R$3,0,0,'Données projet'!$E$9+1,1))-AVERAGE(OFFSET($H$3,0,0,'Données projet'!$E$9+1,1))</f>
        <v>172.62653085905839</v>
      </c>
      <c r="T108" s="62">
        <f t="shared" si="88"/>
        <v>103.0747749312265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286.96200000000005</v>
      </c>
      <c r="AK108" s="14">
        <f t="shared" si="89"/>
        <v>68.436169981717853</v>
      </c>
      <c r="AL108" s="22">
        <f t="shared" si="58"/>
        <v>618.98514605149205</v>
      </c>
      <c r="AM108" s="62">
        <f t="shared" si="59"/>
        <v>912.31847938482542</v>
      </c>
      <c r="AN108" s="62">
        <f ca="1">AVERAGE(OFFSET($AM$3,0,0,'Données projet'!$E$10+1,1))-AVERAGE(OFFSET($H$3,0,0,'Données projet'!$E$10+1,1))</f>
        <v>289.36126704091066</v>
      </c>
      <c r="AO108" s="62">
        <f t="shared" si="90"/>
        <v>195.3674411454258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256.05840000000001</v>
      </c>
      <c r="BF108" s="14">
        <f t="shared" si="91"/>
        <v>61.881442594256484</v>
      </c>
      <c r="BG108" s="22">
        <f t="shared" si="61"/>
        <v>553.74522585166335</v>
      </c>
      <c r="BH108" s="62">
        <f t="shared" si="62"/>
        <v>847.07855918499672</v>
      </c>
      <c r="BI108" s="62">
        <f ca="1">AVERAGE(OFFSET($BH$3,0,0,'Données projet'!$E$11+1,1))-AVERAGE(OFFSET($H$3,0,0,'Données projet'!$E$11+1,1))</f>
        <v>250.17147737747007</v>
      </c>
      <c r="BJ108" s="62">
        <f t="shared" si="92"/>
        <v>172.25613380618552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283</v>
      </c>
      <c r="BW108" s="13">
        <f>VLOOKUP(A108,'Données projet'!$A$113:$I$133,9,0)</f>
        <v>4.4000000000000004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283</v>
      </c>
      <c r="BZ108" s="14">
        <f>BY108*VLOOKUP('Données projet'!$B$12,Paramètres!$A$1:$I$89,3,0)*VLOOKUP('Données projet'!$B$12,Paramètres!$A$1:$I$89,5,0)</f>
        <v>304.62119999999999</v>
      </c>
      <c r="CA108" s="14">
        <f t="shared" si="93"/>
        <v>72.144380911839406</v>
      </c>
      <c r="CB108" s="22">
        <f t="shared" si="64"/>
        <v>656.2000534214535</v>
      </c>
      <c r="CC108" s="62">
        <f t="shared" si="65"/>
        <v>949.53338675478676</v>
      </c>
      <c r="CD108" s="62">
        <f ca="1">AVERAGE(OFFSET($CC$3,0,0,'Données projet'!$E$12+1,1))-AVERAGE(OFFSET($H$3,0,0,'Données projet'!$E$12+1,1))</f>
        <v>311.71521576048417</v>
      </c>
      <c r="CE108" s="62">
        <f t="shared" si="94"/>
        <v>208.54841796921403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280.47174439810988</v>
      </c>
      <c r="CZ108" s="62">
        <f t="shared" si="96"/>
        <v>231.19476400361157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0.30223699441395907</v>
      </c>
      <c r="DH108" s="23">
        <f>EXP(-LN(2)/2)*DH107+(1-EXP(-LN(2)/2))/(LN(2)/2)*DB108*DE108*VLOOKUP('Données projet'!$B$13,Paramètres!$A$1:$I$89,3,0)*0.475*44/12</f>
        <v>1.0870234406913182E-10</v>
      </c>
      <c r="DI108" s="24">
        <f t="shared" si="69"/>
        <v>0.3022369945226614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projet'!$B$14,Paramètres!$A$1:$I$89,3,0)*VLOOKUP('Données projet'!$B$14,Paramètres!$A$1:$I$89,5,0)</f>
        <v>6.7984728957526396E-14</v>
      </c>
      <c r="DQ108" s="14">
        <f t="shared" si="97"/>
        <v>1.0682447123141398E-12</v>
      </c>
      <c r="DR108" s="22">
        <f t="shared" si="70"/>
        <v>1.978932943548152E-12</v>
      </c>
      <c r="DS108" s="62">
        <f t="shared" si="71"/>
        <v>293.3333333333353</v>
      </c>
      <c r="DT108" s="62">
        <f ca="1">AVERAGE(OFFSET($DS$3,0,0,'Données projet'!$E$14+1,1))-AVERAGE(OFFSET($H$3,0,0,'Données projet'!$E$14+1,1))</f>
        <v>282.98919020956595</v>
      </c>
      <c r="DU108" s="62">
        <f t="shared" si="98"/>
        <v>182.23565317232647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4.2128196988147581E-11</v>
      </c>
      <c r="ED108" s="24">
        <f t="shared" si="72"/>
        <v>4.2128196988147581E-11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9">
        <f t="shared" si="56"/>
        <v>465.39479478880332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9.0300000000000011</v>
      </c>
      <c r="N109" s="14">
        <f>IF('Données projet'!$A$36&gt;35,N108+M109-V108,IF(A109&lt;'Données projet'!$A$36,$K$205^A109,IF(A109='Données projet'!$A$36,'Données projet'!$B$36,N108+M109-V108)))</f>
        <v>437.93999999999983</v>
      </c>
      <c r="O109" s="14">
        <f>N109*VLOOKUP('Données projet'!$B$9,Paramètres!$A$1:$I$89,3,0)*VLOOKUP('Données projet'!$B$9,Paramètres!$A$1:$I$89,5,0)</f>
        <v>204.95591999999994</v>
      </c>
      <c r="P109" s="14">
        <f t="shared" si="87"/>
        <v>50.831772479453385</v>
      </c>
      <c r="Q109" s="22">
        <f t="shared" si="107"/>
        <v>445.49689773504787</v>
      </c>
      <c r="R109" s="62">
        <f t="shared" si="55"/>
        <v>738.83023106838118</v>
      </c>
      <c r="S109" s="62">
        <f ca="1">AVERAGE(OFFSET($R$3,0,0,'Données projet'!$E$9+1,1))-AVERAGE(OFFSET($H$3,0,0,'Données projet'!$E$9+1,1))</f>
        <v>172.62653085905839</v>
      </c>
      <c r="T109" s="62">
        <f t="shared" si="88"/>
        <v>103.0747749312265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270.94080000000002</v>
      </c>
      <c r="AK109" s="14">
        <f t="shared" si="89"/>
        <v>65.048890354155489</v>
      </c>
      <c r="AL109" s="22">
        <f t="shared" si="58"/>
        <v>585.1820440334875</v>
      </c>
      <c r="AM109" s="62">
        <f t="shared" si="59"/>
        <v>878.51537736682076</v>
      </c>
      <c r="AN109" s="62">
        <f ca="1">AVERAGE(OFFSET($AM$3,0,0,'Données projet'!$E$10+1,1))-AVERAGE(OFFSET($H$3,0,0,'Données projet'!$E$10+1,1))</f>
        <v>289.36126704091066</v>
      </c>
      <c r="AO109" s="62">
        <f t="shared" si="90"/>
        <v>195.3674411454258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241.76255999999995</v>
      </c>
      <c r="BF109" s="14">
        <f t="shared" si="91"/>
        <v>58.818592205643363</v>
      </c>
      <c r="BG109" s="22">
        <f t="shared" si="61"/>
        <v>523.5121734248288</v>
      </c>
      <c r="BH109" s="62">
        <f t="shared" si="62"/>
        <v>816.84550675816217</v>
      </c>
      <c r="BI109" s="62">
        <f ca="1">AVERAGE(OFFSET($BH$3,0,0,'Données projet'!$E$11+1,1))-AVERAGE(OFFSET($H$3,0,0,'Données projet'!$E$11+1,1))</f>
        <v>250.17147737747007</v>
      </c>
      <c r="BJ109" s="62">
        <f t="shared" si="92"/>
        <v>172.25613380618552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IF('Données projet'!$A$114&gt;35,BY108+BX109-CG108,IF(A109&lt;'Données projet'!$A$114,$BV$205^A109,IF(A109='Données projet'!$A$114,'Données projet'!$B$114,BY108+BX109-CG108)))</f>
        <v>267.2</v>
      </c>
      <c r="BZ109" s="14">
        <f>BY109*VLOOKUP('Données projet'!$B$12,Paramètres!$A$1:$I$89,3,0)*VLOOKUP('Données projet'!$B$12,Paramètres!$A$1:$I$89,5,0)</f>
        <v>287.61407999999994</v>
      </c>
      <c r="CA109" s="14">
        <f t="shared" si="93"/>
        <v>68.573561683190945</v>
      </c>
      <c r="CB109" s="22">
        <f t="shared" si="64"/>
        <v>620.36014259822412</v>
      </c>
      <c r="CC109" s="62">
        <f t="shared" si="65"/>
        <v>913.69347593155749</v>
      </c>
      <c r="CD109" s="62">
        <f ca="1">AVERAGE(OFFSET($CC$3,0,0,'Données projet'!$E$12+1,1))-AVERAGE(OFFSET($H$3,0,0,'Données projet'!$E$12+1,1))</f>
        <v>311.71521576048417</v>
      </c>
      <c r="CE109" s="62">
        <f t="shared" si="94"/>
        <v>208.54841796921403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280.47174439810988</v>
      </c>
      <c r="CZ109" s="62">
        <f t="shared" si="96"/>
        <v>231.19476400361157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0.29397230790775658</v>
      </c>
      <c r="DH109" s="23">
        <f>EXP(-LN(2)/2)*DH108+(1-EXP(-LN(2)/2))/(LN(2)/2)*DB109*DE109*VLOOKUP('Données projet'!$B$13,Paramètres!$A$1:$I$89,3,0)*0.475*44/12</f>
        <v>7.6864164622156395E-11</v>
      </c>
      <c r="DI109" s="24">
        <f t="shared" si="69"/>
        <v>0.29397230798462076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projet'!$B$14,Paramètres!$A$1:$I$89,3,0)*VLOOKUP('Données projet'!$B$14,Paramètres!$A$1:$I$89,5,0)</f>
        <v>6.7984728957526396E-14</v>
      </c>
      <c r="DQ109" s="14">
        <f t="shared" si="97"/>
        <v>1.0682447123141398E-12</v>
      </c>
      <c r="DR109" s="22">
        <f t="shared" si="70"/>
        <v>1.978932943548152E-12</v>
      </c>
      <c r="DS109" s="62">
        <f t="shared" si="71"/>
        <v>293.3333333333353</v>
      </c>
      <c r="DT109" s="62">
        <f ca="1">AVERAGE(OFFSET($DS$3,0,0,'Données projet'!$E$14+1,1))-AVERAGE(OFFSET($H$3,0,0,'Données projet'!$E$14+1,1))</f>
        <v>282.98919020956595</v>
      </c>
      <c r="DU109" s="62">
        <f t="shared" si="98"/>
        <v>182.23565317232647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2.9789133769481842E-11</v>
      </c>
      <c r="ED109" s="24">
        <f t="shared" si="72"/>
        <v>2.9789133769481842E-11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9">
        <f t="shared" si="56"/>
        <v>467.3147852106901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9.0300000000000011</v>
      </c>
      <c r="N110" s="14">
        <f>IF('Données projet'!$A$36&gt;35,N109+M110-V109,IF(A110&lt;'Données projet'!$A$36,$K$205^A110,IF(A110='Données projet'!$A$36,'Données projet'!$B$36,N109+M110-V109)))</f>
        <v>446.9699999999998</v>
      </c>
      <c r="O110" s="14">
        <f>N110*VLOOKUP('Données projet'!$B$9,Paramètres!$A$1:$I$89,3,0)*VLOOKUP('Données projet'!$B$9,Paramètres!$A$1:$I$89,5,0)</f>
        <v>209.18195999999989</v>
      </c>
      <c r="P110" s="14">
        <f t="shared" si="87"/>
        <v>51.756782789932231</v>
      </c>
      <c r="Q110" s="22">
        <f t="shared" si="107"/>
        <v>454.46831035913175</v>
      </c>
      <c r="R110" s="62">
        <f t="shared" si="55"/>
        <v>747.80164369246506</v>
      </c>
      <c r="S110" s="62">
        <f ca="1">AVERAGE(OFFSET($R$3,0,0,'Données projet'!$E$9+1,1))-AVERAGE(OFFSET($H$3,0,0,'Données projet'!$E$9+1,1))</f>
        <v>172.62653085905839</v>
      </c>
      <c r="T110" s="62">
        <f t="shared" si="88"/>
        <v>103.0747749312265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275.19960000000003</v>
      </c>
      <c r="AK110" s="14">
        <f t="shared" si="89"/>
        <v>65.951527620662617</v>
      </c>
      <c r="AL110" s="22">
        <f t="shared" si="58"/>
        <v>594.17154727265404</v>
      </c>
      <c r="AM110" s="62">
        <f t="shared" si="59"/>
        <v>887.50488060598741</v>
      </c>
      <c r="AN110" s="62">
        <f ca="1">AVERAGE(OFFSET($AM$3,0,0,'Données projet'!$E$10+1,1))-AVERAGE(OFFSET($H$3,0,0,'Données projet'!$E$10+1,1))</f>
        <v>289.36126704091066</v>
      </c>
      <c r="AO110" s="62">
        <f t="shared" si="90"/>
        <v>195.3674411454258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245.56271999999998</v>
      </c>
      <c r="BF110" s="14">
        <f t="shared" si="91"/>
        <v>59.634776048276898</v>
      </c>
      <c r="BG110" s="22">
        <f t="shared" si="61"/>
        <v>531.55230561741564</v>
      </c>
      <c r="BH110" s="62">
        <f t="shared" si="62"/>
        <v>824.8856389507489</v>
      </c>
      <c r="BI110" s="62">
        <f ca="1">AVERAGE(OFFSET($BH$3,0,0,'Données projet'!$E$11+1,1))-AVERAGE(OFFSET($H$3,0,0,'Données projet'!$E$11+1,1))</f>
        <v>250.17147737747007</v>
      </c>
      <c r="BJ110" s="62">
        <f t="shared" si="92"/>
        <v>172.25613380618552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IF('Données projet'!$A$114&gt;35,BY109+BX110-CG109,IF(A110&lt;'Données projet'!$A$114,$BV$205^A110,IF(A110='Données projet'!$A$114,'Données projet'!$B$114,BY109+BX110-CG109)))</f>
        <v>271.39999999999998</v>
      </c>
      <c r="BZ110" s="14">
        <f>BY110*VLOOKUP('Données projet'!$B$12,Paramètres!$A$1:$I$89,3,0)*VLOOKUP('Données projet'!$B$12,Paramètres!$A$1:$I$89,5,0)</f>
        <v>292.13495999999998</v>
      </c>
      <c r="CA110" s="14">
        <f t="shared" si="93"/>
        <v>69.525108311202231</v>
      </c>
      <c r="CB110" s="22">
        <f t="shared" si="64"/>
        <v>629.89128564201053</v>
      </c>
      <c r="CC110" s="62">
        <f t="shared" si="65"/>
        <v>923.2246189753439</v>
      </c>
      <c r="CD110" s="62">
        <f ca="1">AVERAGE(OFFSET($CC$3,0,0,'Données projet'!$E$12+1,1))-AVERAGE(OFFSET($H$3,0,0,'Données projet'!$E$12+1,1))</f>
        <v>311.71521576048417</v>
      </c>
      <c r="CE110" s="62">
        <f t="shared" si="94"/>
        <v>208.54841796921403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280.47174439810988</v>
      </c>
      <c r="CZ110" s="62">
        <f t="shared" si="96"/>
        <v>231.19476400361157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0.28593361968868719</v>
      </c>
      <c r="DH110" s="23">
        <f>EXP(-LN(2)/2)*DH109+(1-EXP(-LN(2)/2))/(LN(2)/2)*DB110*DE110*VLOOKUP('Données projet'!$B$13,Paramètres!$A$1:$I$89,3,0)*0.475*44/12</f>
        <v>5.435117203456591E-11</v>
      </c>
      <c r="DI110" s="24">
        <f t="shared" si="69"/>
        <v>0.28593361974303838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projet'!$B$14,Paramètres!$A$1:$I$89,3,0)*VLOOKUP('Données projet'!$B$14,Paramètres!$A$1:$I$89,5,0)</f>
        <v>6.7984728957526396E-14</v>
      </c>
      <c r="DQ110" s="14">
        <f t="shared" si="97"/>
        <v>1.0682447123141398E-12</v>
      </c>
      <c r="DR110" s="22">
        <f t="shared" si="70"/>
        <v>1.978932943548152E-12</v>
      </c>
      <c r="DS110" s="62">
        <f t="shared" si="71"/>
        <v>293.3333333333353</v>
      </c>
      <c r="DT110" s="62">
        <f ca="1">AVERAGE(OFFSET($DS$3,0,0,'Données projet'!$E$14+1,1))-AVERAGE(OFFSET($H$3,0,0,'Données projet'!$E$14+1,1))</f>
        <v>282.98919020956595</v>
      </c>
      <c r="DU110" s="62">
        <f t="shared" si="98"/>
        <v>182.23565317232647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2.1064098494073791E-11</v>
      </c>
      <c r="ED110" s="24">
        <f t="shared" si="72"/>
        <v>2.1064098494073791E-11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9">
        <f t="shared" si="56"/>
        <v>469.23437192664602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>
        <f>VLOOKUP(A111,'Données projet'!$A$35:$I$55,2,0)</f>
        <v>456</v>
      </c>
      <c r="L111" s="13">
        <f>VLOOKUP(A111,'Données projet'!$A$35:$I$55,9,0)</f>
        <v>9.0300000000000011</v>
      </c>
      <c r="M111" s="13">
        <f t="array" ref="M111">INDEX(L:L,MIN(IF(ISNUMBER(L111:L307),ROW(L111:L307),"")))</f>
        <v>9.0300000000000011</v>
      </c>
      <c r="N111" s="14">
        <f>IF('Données projet'!$A$36&gt;35,N110+M111-V110,IF(A111&lt;'Données projet'!$A$36,$K$205^A111,IF(A111='Données projet'!$A$36,'Données projet'!$B$36,N110+M111-V110)))</f>
        <v>455.99999999999977</v>
      </c>
      <c r="O111" s="14">
        <f>N111*VLOOKUP('Données projet'!$B$9,Paramètres!$A$1:$I$89,3,0)*VLOOKUP('Données projet'!$B$9,Paramètres!$A$1:$I$89,5,0)</f>
        <v>213.4079999999999</v>
      </c>
      <c r="P111" s="14">
        <f t="shared" si="87"/>
        <v>52.679620251058907</v>
      </c>
      <c r="Q111" s="22">
        <f t="shared" si="107"/>
        <v>463.43593860392735</v>
      </c>
      <c r="R111" s="62">
        <f t="shared" si="55"/>
        <v>756.76927193726067</v>
      </c>
      <c r="S111" s="62">
        <f ca="1">AVERAGE(OFFSET($R$3,0,0,'Données projet'!$E$9+1,1))-AVERAGE(OFFSET($H$3,0,0,'Données projet'!$E$9+1,1))</f>
        <v>172.62653085905839</v>
      </c>
      <c r="T111" s="62">
        <f t="shared" si="88"/>
        <v>103.0747749312265</v>
      </c>
      <c r="U111" s="16">
        <f>IF(ISNA(VLOOKUP(A111,'Données projet'!$A$35:$I$55,3,0)),0,VLOOKUP(A111,'Données projet'!$A$35:$I$55,3,0))</f>
        <v>14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279.45839999999998</v>
      </c>
      <c r="AK111" s="14">
        <f t="shared" si="89"/>
        <v>66.852540337772723</v>
      </c>
      <c r="AL111" s="22">
        <f t="shared" si="58"/>
        <v>603.15822108828741</v>
      </c>
      <c r="AM111" s="62">
        <f t="shared" si="59"/>
        <v>896.49155442162078</v>
      </c>
      <c r="AN111" s="62">
        <f ca="1">AVERAGE(OFFSET($AM$3,0,0,'Données projet'!$E$10+1,1))-AVERAGE(OFFSET($H$3,0,0,'Données projet'!$E$10+1,1))</f>
        <v>289.36126704091066</v>
      </c>
      <c r="AO111" s="62">
        <f t="shared" si="90"/>
        <v>195.3674411454258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249.36287999999993</v>
      </c>
      <c r="BF111" s="14">
        <f t="shared" si="91"/>
        <v>60.449490938742557</v>
      </c>
      <c r="BG111" s="22">
        <f t="shared" si="61"/>
        <v>539.58987938497648</v>
      </c>
      <c r="BH111" s="62">
        <f t="shared" si="62"/>
        <v>832.92321271830974</v>
      </c>
      <c r="BI111" s="62">
        <f ca="1">AVERAGE(OFFSET($BH$3,0,0,'Données projet'!$E$11+1,1))-AVERAGE(OFFSET($H$3,0,0,'Données projet'!$E$11+1,1))</f>
        <v>250.17147737747007</v>
      </c>
      <c r="BJ111" s="62">
        <f t="shared" si="92"/>
        <v>172.25613380618552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IF('Données projet'!$A$114&gt;35,BY110+BX111-CG110,IF(A111&lt;'Données projet'!$A$114,$BV$205^A111,IF(A111='Données projet'!$A$114,'Données projet'!$B$114,BY110+BX111-CG110)))</f>
        <v>275.59999999999997</v>
      </c>
      <c r="BZ111" s="14">
        <f>BY111*VLOOKUP('Données projet'!$B$12,Paramètres!$A$1:$I$89,3,0)*VLOOKUP('Données projet'!$B$12,Paramètres!$A$1:$I$89,5,0)</f>
        <v>296.65583999999996</v>
      </c>
      <c r="CA111" s="14">
        <f t="shared" si="93"/>
        <v>70.474942363677229</v>
      </c>
      <c r="CB111" s="22">
        <f t="shared" si="64"/>
        <v>639.41944595007112</v>
      </c>
      <c r="CC111" s="62">
        <f t="shared" si="65"/>
        <v>932.75277928340438</v>
      </c>
      <c r="CD111" s="62">
        <f ca="1">AVERAGE(OFFSET($CC$3,0,0,'Données projet'!$E$12+1,1))-AVERAGE(OFFSET($H$3,0,0,'Données projet'!$E$12+1,1))</f>
        <v>311.71521576048417</v>
      </c>
      <c r="CE111" s="62">
        <f t="shared" si="94"/>
        <v>208.54841796921403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280.47174439810988</v>
      </c>
      <c r="CZ111" s="62">
        <f t="shared" si="96"/>
        <v>231.19476400361157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0.27811474982170448</v>
      </c>
      <c r="DH111" s="23">
        <f>EXP(-LN(2)/2)*DH110+(1-EXP(-LN(2)/2))/(LN(2)/2)*DB111*DE111*VLOOKUP('Données projet'!$B$13,Paramètres!$A$1:$I$89,3,0)*0.475*44/12</f>
        <v>3.8432082311078197E-11</v>
      </c>
      <c r="DI111" s="24">
        <f t="shared" si="69"/>
        <v>0.27811474986013657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projet'!$B$14,Paramètres!$A$1:$I$89,3,0)*VLOOKUP('Données projet'!$B$14,Paramètres!$A$1:$I$89,5,0)</f>
        <v>6.7984728957526396E-14</v>
      </c>
      <c r="DQ111" s="14">
        <f t="shared" si="97"/>
        <v>1.0682447123141398E-12</v>
      </c>
      <c r="DR111" s="22">
        <f t="shared" si="70"/>
        <v>1.978932943548152E-12</v>
      </c>
      <c r="DS111" s="62">
        <f t="shared" si="71"/>
        <v>293.3333333333353</v>
      </c>
      <c r="DT111" s="62">
        <f ca="1">AVERAGE(OFFSET($DS$3,0,0,'Données projet'!$E$14+1,1))-AVERAGE(OFFSET($H$3,0,0,'Données projet'!$E$14+1,1))</f>
        <v>282.98919020956595</v>
      </c>
      <c r="DU111" s="62">
        <f t="shared" si="98"/>
        <v>182.23565317232647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1.4894566884740921E-11</v>
      </c>
      <c r="ED111" s="24">
        <f t="shared" si="72"/>
        <v>1.4894566884740921E-11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9">
        <f t="shared" si="56"/>
        <v>471.15355910766601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>
        <f>VLOOKUP(A112,'Données projet'!$A$35:$I$55,2,0)</f>
        <v>465.16</v>
      </c>
      <c r="L112" s="13">
        <f>VLOOKUP(A112,'Données projet'!$A$35:$I$55,9,0)</f>
        <v>9.160000000000025</v>
      </c>
      <c r="M112" s="13">
        <f t="array" ref="M112">INDEX(L:L,MIN(IF(ISNUMBER(L112:L308),ROW(L112:L308),"")))</f>
        <v>9.160000000000025</v>
      </c>
      <c r="N112" s="14">
        <f>IF('Données projet'!$A$36&gt;35,N111+M112-V111,IF(A112&lt;'Données projet'!$A$36,$K$205^A112,IF(A112='Données projet'!$A$36,'Données projet'!$B$36,N111+M112-V111)))</f>
        <v>465.1599999999998</v>
      </c>
      <c r="O112" s="14">
        <f>N112*VLOOKUP('Données projet'!$B$9,Paramètres!$A$1:$I$89,3,0)*VLOOKUP('Données projet'!$B$9,Paramètres!$A$1:$I$89,5,0)</f>
        <v>217.69487999999993</v>
      </c>
      <c r="P112" s="14">
        <f t="shared" si="87"/>
        <v>53.613572561591639</v>
      </c>
      <c r="Q112" s="22">
        <f t="shared" si="107"/>
        <v>472.52888821143864</v>
      </c>
      <c r="R112" s="62">
        <f t="shared" si="55"/>
        <v>765.86222154477196</v>
      </c>
      <c r="S112" s="62">
        <f ca="1">AVERAGE(OFFSET($R$3,0,0,'Données projet'!$E$9+1,1))-AVERAGE(OFFSET($H$3,0,0,'Données projet'!$E$9+1,1))</f>
        <v>172.62653085905839</v>
      </c>
      <c r="T112" s="62">
        <f t="shared" si="88"/>
        <v>103.0747749312265</v>
      </c>
      <c r="U112" s="16">
        <f>IF(ISNA(VLOOKUP(A112,'Données projet'!$A$35:$I$55,3,0)),0,VLOOKUP(A112,'Données projet'!$A$35:$I$55,3,0))</f>
        <v>15</v>
      </c>
      <c r="V112" s="16">
        <f>IF(ISNA(VLOOKUP(A112,'Données projet'!$A$35:$I$55,4,0)),0,VLOOKUP(A112,'Données projet'!$A$35:$I$55,4,0))</f>
        <v>91.09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283.71719999999999</v>
      </c>
      <c r="AK112" s="14">
        <f t="shared" si="89"/>
        <v>67.751956122170697</v>
      </c>
      <c r="AL112" s="22">
        <f t="shared" si="58"/>
        <v>612.14211357944725</v>
      </c>
      <c r="AM112" s="62">
        <f t="shared" si="59"/>
        <v>905.47544691278063</v>
      </c>
      <c r="AN112" s="62">
        <f ca="1">AVERAGE(OFFSET($AM$3,0,0,'Données projet'!$E$10+1,1))-AVERAGE(OFFSET($H$3,0,0,'Données projet'!$E$10+1,1))</f>
        <v>289.36126704091066</v>
      </c>
      <c r="AO112" s="62">
        <f t="shared" si="90"/>
        <v>195.3674411454258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253.16303999999994</v>
      </c>
      <c r="BF112" s="14">
        <f t="shared" si="91"/>
        <v>61.262761848635037</v>
      </c>
      <c r="BG112" s="22">
        <f t="shared" si="61"/>
        <v>547.62493821970588</v>
      </c>
      <c r="BH112" s="62">
        <f t="shared" si="62"/>
        <v>840.95827155303914</v>
      </c>
      <c r="BI112" s="62">
        <f ca="1">AVERAGE(OFFSET($BH$3,0,0,'Données projet'!$E$11+1,1))-AVERAGE(OFFSET($H$3,0,0,'Données projet'!$E$11+1,1))</f>
        <v>250.17147737747007</v>
      </c>
      <c r="BJ112" s="62">
        <f t="shared" si="92"/>
        <v>172.25613380618552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IF('Données projet'!$A$114&gt;35,BY111+BX112-CG111,IF(A112&lt;'Données projet'!$A$114,$BV$205^A112,IF(A112='Données projet'!$A$114,'Données projet'!$B$114,BY111+BX112-CG111)))</f>
        <v>279.79999999999995</v>
      </c>
      <c r="BZ112" s="14">
        <f>BY112*VLOOKUP('Données projet'!$B$12,Paramètres!$A$1:$I$89,3,0)*VLOOKUP('Données projet'!$B$12,Paramètres!$A$1:$I$89,5,0)</f>
        <v>301.17671999999993</v>
      </c>
      <c r="CA112" s="14">
        <f t="shared" si="93"/>
        <v>71.423092953709713</v>
      </c>
      <c r="CB112" s="22">
        <f t="shared" si="64"/>
        <v>648.94467422771106</v>
      </c>
      <c r="CC112" s="62">
        <f t="shared" si="65"/>
        <v>942.27800756104443</v>
      </c>
      <c r="CD112" s="62">
        <f ca="1">AVERAGE(OFFSET($CC$3,0,0,'Données projet'!$E$12+1,1))-AVERAGE(OFFSET($H$3,0,0,'Données projet'!$E$12+1,1))</f>
        <v>311.71521576048417</v>
      </c>
      <c r="CE112" s="62">
        <f t="shared" si="94"/>
        <v>208.54841796921403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280.47174439810988</v>
      </c>
      <c r="CZ112" s="62">
        <f t="shared" si="96"/>
        <v>231.19476400361157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0.27050968736241093</v>
      </c>
      <c r="DH112" s="23">
        <f>EXP(-LN(2)/2)*DH111+(1-EXP(-LN(2)/2))/(LN(2)/2)*DB112*DE112*VLOOKUP('Données projet'!$B$13,Paramètres!$A$1:$I$89,3,0)*0.475*44/12</f>
        <v>2.7175586017282955E-11</v>
      </c>
      <c r="DI112" s="24">
        <f t="shared" si="69"/>
        <v>0.27050968738958653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projet'!$B$14,Paramètres!$A$1:$I$89,3,0)*VLOOKUP('Données projet'!$B$14,Paramètres!$A$1:$I$89,5,0)</f>
        <v>6.7984728957526396E-14</v>
      </c>
      <c r="DQ112" s="14">
        <f t="shared" si="97"/>
        <v>1.0682447123141398E-12</v>
      </c>
      <c r="DR112" s="22">
        <f t="shared" si="70"/>
        <v>1.978932943548152E-12</v>
      </c>
      <c r="DS112" s="62">
        <f t="shared" si="71"/>
        <v>293.3333333333353</v>
      </c>
      <c r="DT112" s="62">
        <f ca="1">AVERAGE(OFFSET($DS$3,0,0,'Données projet'!$E$14+1,1))-AVERAGE(OFFSET($H$3,0,0,'Données projet'!$E$14+1,1))</f>
        <v>282.98919020956595</v>
      </c>
      <c r="DU112" s="62">
        <f t="shared" si="98"/>
        <v>182.23565317232647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1.0532049247036895E-11</v>
      </c>
      <c r="ED112" s="24">
        <f t="shared" si="72"/>
        <v>1.0532049247036895E-11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9">
        <f t="shared" si="56"/>
        <v>473.0723508437984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382.7</v>
      </c>
      <c r="L113" s="13">
        <f>VLOOKUP(A113,'Données projet'!$A$35:$I$55,9,0)</f>
        <v>8.6299999999999386</v>
      </c>
      <c r="M113" s="13">
        <f t="array" ref="M113">INDEX(L:L,MIN(IF(ISNUMBER(L113:L309),ROW(L113:L309),"")))</f>
        <v>8.6299999999999386</v>
      </c>
      <c r="N113" s="14">
        <f>IF('Données projet'!$A$36&gt;35,N112+M113-V112,IF(A113&lt;'Données projet'!$A$36,$K$205^A113,IF(A113='Données projet'!$A$36,'Données projet'!$B$36,N112+M113-V112)))</f>
        <v>382.6999999999997</v>
      </c>
      <c r="O113" s="14">
        <f>N113*VLOOKUP('Données projet'!$B$9,Paramètres!$A$1:$I$89,3,0)*VLOOKUP('Données projet'!$B$9,Paramètres!$A$1:$I$89,5,0)</f>
        <v>179.10359999999986</v>
      </c>
      <c r="P113" s="14">
        <f t="shared" si="87"/>
        <v>45.12269577163584</v>
      </c>
      <c r="Q113" s="22">
        <f t="shared" si="107"/>
        <v>390.52746513559879</v>
      </c>
      <c r="R113" s="62">
        <f t="shared" si="55"/>
        <v>683.8607984689321</v>
      </c>
      <c r="S113" s="62">
        <f ca="1">AVERAGE(OFFSET($R$3,0,0,'Données projet'!$E$9+1,1))-AVERAGE(OFFSET($H$3,0,0,'Données projet'!$E$9+1,1))</f>
        <v>172.62653085905839</v>
      </c>
      <c r="T113" s="62">
        <f t="shared" si="88"/>
        <v>103.0747749312265</v>
      </c>
      <c r="U113" s="16">
        <f>IF(ISNA(VLOOKUP(A113,'Données projet'!$A$35:$I$55,3,0)),0,VLOOKUP(A113,'Données projet'!$A$35:$I$55,3,0))</f>
        <v>16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287.97599999999994</v>
      </c>
      <c r="AK113" s="14">
        <f t="shared" si="89"/>
        <v>68.649801713863141</v>
      </c>
      <c r="AL113" s="22">
        <f t="shared" si="58"/>
        <v>621.12327131831148</v>
      </c>
      <c r="AM113" s="62">
        <f t="shared" si="59"/>
        <v>914.45660465164474</v>
      </c>
      <c r="AN113" s="62">
        <f ca="1">AVERAGE(OFFSET($AM$3,0,0,'Données projet'!$E$10+1,1))-AVERAGE(OFFSET($H$3,0,0,'Données projet'!$E$10+1,1))</f>
        <v>289.36126704091066</v>
      </c>
      <c r="AO113" s="62">
        <f t="shared" si="90"/>
        <v>195.3674411454258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256.96319999999992</v>
      </c>
      <c r="BF113" s="14">
        <f t="shared" si="91"/>
        <v>62.074612956838024</v>
      </c>
      <c r="BG113" s="22">
        <f t="shared" si="61"/>
        <v>555.65752423315928</v>
      </c>
      <c r="BH113" s="62">
        <f t="shared" si="62"/>
        <v>848.99085756649265</v>
      </c>
      <c r="BI113" s="62">
        <f ca="1">AVERAGE(OFFSET($BH$3,0,0,'Données projet'!$E$11+1,1))-AVERAGE(OFFSET($H$3,0,0,'Données projet'!$E$11+1,1))</f>
        <v>250.17147737747007</v>
      </c>
      <c r="BJ113" s="62">
        <f t="shared" si="92"/>
        <v>172.25613380618552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284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IF('Données projet'!$A$114&gt;35,BY112+BX113-CG112,IF(A113&lt;'Données projet'!$A$114,$BV$205^A113,IF(A113='Données projet'!$A$114,'Données projet'!$B$114,BY112+BX113-CG112)))</f>
        <v>283.99999999999994</v>
      </c>
      <c r="BZ113" s="14">
        <f>BY113*VLOOKUP('Données projet'!$B$12,Paramètres!$A$1:$I$89,3,0)*VLOOKUP('Données projet'!$B$12,Paramètres!$A$1:$I$89,5,0)</f>
        <v>305.69759999999991</v>
      </c>
      <c r="CA113" s="14">
        <f t="shared" si="93"/>
        <v>72.369588270212361</v>
      </c>
      <c r="CB113" s="22">
        <f t="shared" si="64"/>
        <v>658.46701957061964</v>
      </c>
      <c r="CC113" s="62">
        <f t="shared" si="65"/>
        <v>951.8003529039529</v>
      </c>
      <c r="CD113" s="62">
        <f ca="1">AVERAGE(OFFSET($CC$3,0,0,'Données projet'!$E$12+1,1))-AVERAGE(OFFSET($H$3,0,0,'Données projet'!$E$12+1,1))</f>
        <v>311.71521576048417</v>
      </c>
      <c r="CE113" s="62">
        <f t="shared" si="94"/>
        <v>208.54841796921403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280.47174439810988</v>
      </c>
      <c r="CZ113" s="62">
        <f t="shared" si="96"/>
        <v>231.19476400361157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0.2631125857359996</v>
      </c>
      <c r="DH113" s="23">
        <f>EXP(-LN(2)/2)*DH112+(1-EXP(-LN(2)/2))/(LN(2)/2)*DB113*DE113*VLOOKUP('Données projet'!$B$13,Paramètres!$A$1:$I$89,3,0)*0.475*44/12</f>
        <v>1.9216041155539099E-11</v>
      </c>
      <c r="DI113" s="24">
        <f t="shared" si="69"/>
        <v>0.26311258575521562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projet'!$B$14,Paramètres!$A$1:$I$89,3,0)*VLOOKUP('Données projet'!$B$14,Paramètres!$A$1:$I$89,5,0)</f>
        <v>6.7984728957526396E-14</v>
      </c>
      <c r="DQ113" s="14">
        <f t="shared" si="97"/>
        <v>1.0682447123141398E-12</v>
      </c>
      <c r="DR113" s="22">
        <f t="shared" si="70"/>
        <v>1.978932943548152E-12</v>
      </c>
      <c r="DS113" s="62">
        <f t="shared" si="71"/>
        <v>293.3333333333353</v>
      </c>
      <c r="DT113" s="62">
        <f ca="1">AVERAGE(OFFSET($DS$3,0,0,'Données projet'!$E$14+1,1))-AVERAGE(OFFSET($H$3,0,0,'Données projet'!$E$14+1,1))</f>
        <v>282.98919020956595</v>
      </c>
      <c r="DU113" s="62">
        <f t="shared" si="98"/>
        <v>182.23565317232647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7.4472834423704606E-12</v>
      </c>
      <c r="ED113" s="24">
        <f t="shared" si="72"/>
        <v>7.4472834423704606E-12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9">
        <f t="shared" si="56"/>
        <v>474.99075114643767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8.032</v>
      </c>
      <c r="N114" s="14">
        <f>IF('Données projet'!$A$36&gt;35,N113+M114-V113,IF(A114&lt;'Données projet'!$A$36,$K$205^A114,IF(A114='Données projet'!$A$36,'Données projet'!$B$36,N113+M114-V113)))</f>
        <v>390.73199999999969</v>
      </c>
      <c r="O114" s="14">
        <f>N114*VLOOKUP('Données projet'!$B$9,Paramètres!$A$1:$I$89,3,0)*VLOOKUP('Données projet'!$B$9,Paramètres!$A$1:$I$89,5,0)</f>
        <v>182.86257599999988</v>
      </c>
      <c r="P114" s="14">
        <f t="shared" si="87"/>
        <v>45.958470580428141</v>
      </c>
      <c r="Q114" s="22">
        <f t="shared" si="107"/>
        <v>398.52998946091208</v>
      </c>
      <c r="R114" s="62">
        <f t="shared" si="55"/>
        <v>691.86332279424539</v>
      </c>
      <c r="S114" s="62">
        <f ca="1">AVERAGE(OFFSET($R$3,0,0,'Données projet'!$E$9+1,1))-AVERAGE(OFFSET($H$3,0,0,'Données projet'!$E$9+1,1))</f>
        <v>172.62653085905839</v>
      </c>
      <c r="T114" s="62">
        <f t="shared" si="88"/>
        <v>103.0747749312265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272.56319999999994</v>
      </c>
      <c r="AK114" s="14">
        <f t="shared" si="89"/>
        <v>65.392945522034609</v>
      </c>
      <c r="AL114" s="22">
        <f t="shared" si="58"/>
        <v>588.60695345087686</v>
      </c>
      <c r="AM114" s="62">
        <f t="shared" si="59"/>
        <v>881.94028678421023</v>
      </c>
      <c r="AN114" s="62">
        <f ca="1">AVERAGE(OFFSET($AM$3,0,0,'Données projet'!$E$10+1,1))-AVERAGE(OFFSET($H$3,0,0,'Données projet'!$E$10+1,1))</f>
        <v>289.36126704091066</v>
      </c>
      <c r="AO114" s="62">
        <f t="shared" si="90"/>
        <v>195.3674411454258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243.21023999999997</v>
      </c>
      <c r="BF114" s="14">
        <f t="shared" si="91"/>
        <v>59.129694216846737</v>
      </c>
      <c r="BG114" s="22">
        <f t="shared" si="61"/>
        <v>526.57538542767463</v>
      </c>
      <c r="BH114" s="62">
        <f t="shared" si="62"/>
        <v>819.908718761008</v>
      </c>
      <c r="BI114" s="62">
        <f ca="1">AVERAGE(OFFSET($BH$3,0,0,'Données projet'!$E$11+1,1))-AVERAGE(OFFSET($H$3,0,0,'Données projet'!$E$11+1,1))</f>
        <v>250.17147737747007</v>
      </c>
      <c r="BJ114" s="62">
        <f t="shared" si="92"/>
        <v>172.25613380618552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268.79999999999995</v>
      </c>
      <c r="BZ114" s="14">
        <f>BY114*VLOOKUP('Données projet'!$B$12,Paramètres!$A$1:$I$89,3,0)*VLOOKUP('Données projet'!$B$12,Paramètres!$A$1:$I$89,5,0)</f>
        <v>289.33631999999994</v>
      </c>
      <c r="CA114" s="14">
        <f t="shared" si="93"/>
        <v>68.936259465559303</v>
      </c>
      <c r="CB114" s="22">
        <f t="shared" si="64"/>
        <v>623.99140923584901</v>
      </c>
      <c r="CC114" s="62">
        <f t="shared" si="65"/>
        <v>917.32474256918226</v>
      </c>
      <c r="CD114" s="62">
        <f ca="1">AVERAGE(OFFSET($CC$3,0,0,'Données projet'!$E$12+1,1))-AVERAGE(OFFSET($H$3,0,0,'Données projet'!$E$12+1,1))</f>
        <v>311.71521576048417</v>
      </c>
      <c r="CE114" s="62">
        <f t="shared" si="94"/>
        <v>208.54841796921403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280.47174439810988</v>
      </c>
      <c r="CZ114" s="62">
        <f t="shared" si="96"/>
        <v>231.19476400361157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0.25591775824255919</v>
      </c>
      <c r="DH114" s="23">
        <f>EXP(-LN(2)/2)*DH113+(1-EXP(-LN(2)/2))/(LN(2)/2)*DB114*DE114*VLOOKUP('Données projet'!$B$13,Paramètres!$A$1:$I$89,3,0)*0.475*44/12</f>
        <v>1.3587793008641477E-11</v>
      </c>
      <c r="DI114" s="24">
        <f t="shared" si="69"/>
        <v>0.25591775825614699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6.7984728957526396E-14</v>
      </c>
      <c r="DQ114" s="14">
        <f t="shared" si="97"/>
        <v>1.0682447123141398E-12</v>
      </c>
      <c r="DR114" s="22">
        <f t="shared" si="70"/>
        <v>1.978932943548152E-12</v>
      </c>
      <c r="DS114" s="62">
        <f t="shared" si="71"/>
        <v>293.3333333333353</v>
      </c>
      <c r="DT114" s="62">
        <f ca="1">AVERAGE(OFFSET($DS$3,0,0,'Données projet'!$E$14+1,1))-AVERAGE(OFFSET($H$3,0,0,'Données projet'!$E$14+1,1))</f>
        <v>282.98919020956595</v>
      </c>
      <c r="DU114" s="62">
        <f t="shared" si="98"/>
        <v>182.23565317232647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5.2660246235184477E-12</v>
      </c>
      <c r="ED114" s="24">
        <f t="shared" si="72"/>
        <v>5.2660246235184477E-12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9">
        <f t="shared" si="56"/>
        <v>476.90876395053112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8.032</v>
      </c>
      <c r="N115" s="14">
        <f>IF('Données projet'!$A$36&gt;35,N114+M115-V114,IF(A115&lt;'Données projet'!$A$36,$K$205^A115,IF(A115='Données projet'!$A$36,'Données projet'!$B$36,N114+M115-V114)))</f>
        <v>398.76399999999967</v>
      </c>
      <c r="O115" s="14">
        <f>N115*VLOOKUP('Données projet'!$B$9,Paramètres!$A$1:$I$89,3,0)*VLOOKUP('Données projet'!$B$9,Paramètres!$A$1:$I$89,5,0)</f>
        <v>186.62155199999984</v>
      </c>
      <c r="P115" s="14">
        <f t="shared" si="87"/>
        <v>46.792247829221743</v>
      </c>
      <c r="Q115" s="22">
        <f t="shared" si="107"/>
        <v>406.52903470256086</v>
      </c>
      <c r="R115" s="62">
        <f t="shared" si="55"/>
        <v>699.86236803589418</v>
      </c>
      <c r="S115" s="62">
        <f ca="1">AVERAGE(OFFSET($R$3,0,0,'Données projet'!$E$9+1,1))-AVERAGE(OFFSET($H$3,0,0,'Données projet'!$E$9+1,1))</f>
        <v>172.62653085905839</v>
      </c>
      <c r="T115" s="62">
        <f t="shared" si="88"/>
        <v>103.0747749312265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276.41640000000001</v>
      </c>
      <c r="AK115" s="14">
        <f t="shared" si="89"/>
        <v>66.209124371313408</v>
      </c>
      <c r="AL115" s="22">
        <f t="shared" si="58"/>
        <v>596.7394549467042</v>
      </c>
      <c r="AM115" s="62">
        <f t="shared" si="59"/>
        <v>890.07278828003746</v>
      </c>
      <c r="AN115" s="62">
        <f ca="1">AVERAGE(OFFSET($AM$3,0,0,'Données projet'!$E$10+1,1))-AVERAGE(OFFSET($H$3,0,0,'Données projet'!$E$10+1,1))</f>
        <v>289.36126704091066</v>
      </c>
      <c r="AO115" s="62">
        <f t="shared" si="90"/>
        <v>195.3674411454258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246.64847999999998</v>
      </c>
      <c r="BF115" s="14">
        <f t="shared" si="91"/>
        <v>59.867700517050096</v>
      </c>
      <c r="BG115" s="22">
        <f t="shared" si="61"/>
        <v>533.84901440052897</v>
      </c>
      <c r="BH115" s="62">
        <f t="shared" si="62"/>
        <v>827.18234773386234</v>
      </c>
      <c r="BI115" s="62">
        <f ca="1">AVERAGE(OFFSET($BH$3,0,0,'Données projet'!$E$11+1,1))-AVERAGE(OFFSET($H$3,0,0,'Données projet'!$E$11+1,1))</f>
        <v>250.17147737747007</v>
      </c>
      <c r="BJ115" s="62">
        <f t="shared" si="92"/>
        <v>172.25613380618552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272.59999999999997</v>
      </c>
      <c r="BZ115" s="14">
        <f>BY115*VLOOKUP('Données projet'!$B$12,Paramètres!$A$1:$I$89,3,0)*VLOOKUP('Données projet'!$B$12,Paramètres!$A$1:$I$89,5,0)</f>
        <v>293.42663999999996</v>
      </c>
      <c r="CA115" s="14">
        <f t="shared" si="93"/>
        <v>69.796662930719478</v>
      </c>
      <c r="CB115" s="22">
        <f t="shared" si="64"/>
        <v>632.61391927100306</v>
      </c>
      <c r="CC115" s="62">
        <f t="shared" si="65"/>
        <v>925.94725260433643</v>
      </c>
      <c r="CD115" s="62">
        <f ca="1">AVERAGE(OFFSET($CC$3,0,0,'Données projet'!$E$12+1,1))-AVERAGE(OFFSET($H$3,0,0,'Données projet'!$E$12+1,1))</f>
        <v>311.71521576048417</v>
      </c>
      <c r="CE115" s="62">
        <f t="shared" si="94"/>
        <v>208.54841796921403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280.47174439810988</v>
      </c>
      <c r="CZ115" s="62">
        <f t="shared" si="96"/>
        <v>231.19476400361157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0.24891967368528642</v>
      </c>
      <c r="DH115" s="23">
        <f>EXP(-LN(2)/2)*DH114+(1-EXP(-LN(2)/2))/(LN(2)/2)*DB115*DE115*VLOOKUP('Données projet'!$B$13,Paramètres!$A$1:$I$89,3,0)*0.475*44/12</f>
        <v>9.6080205777695493E-12</v>
      </c>
      <c r="DI115" s="24">
        <f t="shared" si="69"/>
        <v>0.24891967369489443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6.7984728957526396E-14</v>
      </c>
      <c r="DQ115" s="14">
        <f t="shared" si="97"/>
        <v>1.0682447123141398E-12</v>
      </c>
      <c r="DR115" s="22">
        <f t="shared" si="70"/>
        <v>1.978932943548152E-12</v>
      </c>
      <c r="DS115" s="62">
        <f t="shared" si="71"/>
        <v>293.3333333333353</v>
      </c>
      <c r="DT115" s="62">
        <f ca="1">AVERAGE(OFFSET($DS$3,0,0,'Données projet'!$E$14+1,1))-AVERAGE(OFFSET($H$3,0,0,'Données projet'!$E$14+1,1))</f>
        <v>282.98919020956595</v>
      </c>
      <c r="DU115" s="62">
        <f t="shared" si="98"/>
        <v>182.23565317232647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3.7236417211852303E-12</v>
      </c>
      <c r="ED115" s="24">
        <f t="shared" si="72"/>
        <v>3.7236417211852303E-12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9">
        <f t="shared" si="56"/>
        <v>478.82639311670562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8.032</v>
      </c>
      <c r="N116" s="14">
        <f>IF('Données projet'!$A$36&gt;35,N115+M116-V115,IF(A116&lt;'Données projet'!$A$36,$K$205^A116,IF(A116='Données projet'!$A$36,'Données projet'!$B$36,N115+M116-V115)))</f>
        <v>406.79599999999965</v>
      </c>
      <c r="O116" s="14">
        <f>N116*VLOOKUP('Données projet'!$B$9,Paramètres!$A$1:$I$89,3,0)*VLOOKUP('Données projet'!$B$9,Paramètres!$A$1:$I$89,5,0)</f>
        <v>190.38052799999983</v>
      </c>
      <c r="P116" s="14">
        <f t="shared" si="87"/>
        <v>47.624072390249324</v>
      </c>
      <c r="Q116" s="22">
        <f t="shared" si="107"/>
        <v>414.52467901301725</v>
      </c>
      <c r="R116" s="62">
        <f t="shared" si="55"/>
        <v>707.85801234635051</v>
      </c>
      <c r="S116" s="62">
        <f ca="1">AVERAGE(OFFSET($R$3,0,0,'Données projet'!$E$9+1,1))-AVERAGE(OFFSET($H$3,0,0,'Données projet'!$E$9+1,1))</f>
        <v>172.62653085905839</v>
      </c>
      <c r="T116" s="62">
        <f t="shared" si="88"/>
        <v>103.0747749312265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280.26960000000003</v>
      </c>
      <c r="AK116" s="14">
        <f t="shared" si="89"/>
        <v>67.023979919595945</v>
      </c>
      <c r="AL116" s="22">
        <f t="shared" si="58"/>
        <v>604.8696516932963</v>
      </c>
      <c r="AM116" s="62">
        <f t="shared" si="59"/>
        <v>898.20298502662968</v>
      </c>
      <c r="AN116" s="62">
        <f ca="1">AVERAGE(OFFSET($AM$3,0,0,'Données projet'!$E$10+1,1))-AVERAGE(OFFSET($H$3,0,0,'Données projet'!$E$10+1,1))</f>
        <v>289.36126704091066</v>
      </c>
      <c r="AO116" s="62">
        <f t="shared" si="90"/>
        <v>195.3674411454258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250.08671999999999</v>
      </c>
      <c r="BF116" s="14">
        <f t="shared" si="91"/>
        <v>60.604510260306157</v>
      </c>
      <c r="BG116" s="22">
        <f t="shared" si="61"/>
        <v>541.12055937003322</v>
      </c>
      <c r="BH116" s="62">
        <f t="shared" si="62"/>
        <v>834.45389270336659</v>
      </c>
      <c r="BI116" s="62">
        <f ca="1">AVERAGE(OFFSET($BH$3,0,0,'Données projet'!$E$11+1,1))-AVERAGE(OFFSET($H$3,0,0,'Données projet'!$E$11+1,1))</f>
        <v>250.17147737747007</v>
      </c>
      <c r="BJ116" s="62">
        <f t="shared" si="92"/>
        <v>172.25613380618552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276.39999999999998</v>
      </c>
      <c r="BZ116" s="14">
        <f>BY116*VLOOKUP('Données projet'!$B$12,Paramètres!$A$1:$I$89,3,0)*VLOOKUP('Données projet'!$B$12,Paramètres!$A$1:$I$89,5,0)</f>
        <v>297.51695999999998</v>
      </c>
      <c r="CA116" s="14">
        <f t="shared" si="93"/>
        <v>70.6556713918757</v>
      </c>
      <c r="CB116" s="22">
        <f t="shared" si="64"/>
        <v>641.23399967418345</v>
      </c>
      <c r="CC116" s="62">
        <f t="shared" si="65"/>
        <v>934.56733300751671</v>
      </c>
      <c r="CD116" s="62">
        <f ca="1">AVERAGE(OFFSET($CC$3,0,0,'Données projet'!$E$12+1,1))-AVERAGE(OFFSET($H$3,0,0,'Données projet'!$E$12+1,1))</f>
        <v>311.71521576048417</v>
      </c>
      <c r="CE116" s="62">
        <f t="shared" si="94"/>
        <v>208.54841796921403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280.47174439810988</v>
      </c>
      <c r="CZ116" s="62">
        <f t="shared" si="96"/>
        <v>231.19476400361157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0.24211295211824554</v>
      </c>
      <c r="DH116" s="23">
        <f>EXP(-LN(2)/2)*DH115+(1-EXP(-LN(2)/2))/(LN(2)/2)*DB116*DE116*VLOOKUP('Données projet'!$B$13,Paramètres!$A$1:$I$89,3,0)*0.475*44/12</f>
        <v>6.7938965043207387E-12</v>
      </c>
      <c r="DI116" s="24">
        <f t="shared" si="69"/>
        <v>0.24211295212503944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6.7984728957526396E-14</v>
      </c>
      <c r="DQ116" s="14">
        <f t="shared" si="97"/>
        <v>1.0682447123141398E-12</v>
      </c>
      <c r="DR116" s="22">
        <f t="shared" si="70"/>
        <v>1.978932943548152E-12</v>
      </c>
      <c r="DS116" s="62">
        <f t="shared" si="71"/>
        <v>293.3333333333353</v>
      </c>
      <c r="DT116" s="62">
        <f ca="1">AVERAGE(OFFSET($DS$3,0,0,'Données projet'!$E$14+1,1))-AVERAGE(OFFSET($H$3,0,0,'Données projet'!$E$14+1,1))</f>
        <v>282.98919020956595</v>
      </c>
      <c r="DU116" s="62">
        <f t="shared" si="98"/>
        <v>182.23565317232647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2.6330123117592238E-12</v>
      </c>
      <c r="ED116" s="24">
        <f t="shared" si="72"/>
        <v>2.6330123117592238E-12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9">
        <f t="shared" si="56"/>
        <v>480.74364243331581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8.032</v>
      </c>
      <c r="N117" s="14">
        <f>IF('Données projet'!$A$36&gt;35,N116+M117-V116,IF(A117&lt;'Données projet'!$A$36,$K$205^A117,IF(A117='Données projet'!$A$36,'Données projet'!$B$36,N116+M117-V116)))</f>
        <v>414.82799999999963</v>
      </c>
      <c r="O117" s="14">
        <f>N117*VLOOKUP('Données projet'!$B$9,Paramètres!$A$1:$I$89,3,0)*VLOOKUP('Données projet'!$B$9,Paramètres!$A$1:$I$89,5,0)</f>
        <v>194.13950399999982</v>
      </c>
      <c r="P117" s="14">
        <f t="shared" si="87"/>
        <v>48.453987262440087</v>
      </c>
      <c r="Q117" s="22">
        <f t="shared" si="107"/>
        <v>422.51699728208285</v>
      </c>
      <c r="R117" s="62">
        <f t="shared" si="55"/>
        <v>715.85033061541617</v>
      </c>
      <c r="S117" s="62">
        <f ca="1">AVERAGE(OFFSET($R$3,0,0,'Données projet'!$E$9+1,1))-AVERAGE(OFFSET($H$3,0,0,'Données projet'!$E$9+1,1))</f>
        <v>172.62653085905839</v>
      </c>
      <c r="T117" s="62">
        <f t="shared" si="88"/>
        <v>103.0747749312265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284.12279999999998</v>
      </c>
      <c r="AK117" s="14">
        <f t="shared" si="89"/>
        <v>67.837532462585557</v>
      </c>
      <c r="AL117" s="22">
        <f t="shared" si="58"/>
        <v>612.99757903900309</v>
      </c>
      <c r="AM117" s="62">
        <f t="shared" si="59"/>
        <v>906.33091237233634</v>
      </c>
      <c r="AN117" s="62">
        <f ca="1">AVERAGE(OFFSET($AM$3,0,0,'Données projet'!$E$10+1,1))-AVERAGE(OFFSET($H$3,0,0,'Données projet'!$E$10+1,1))</f>
        <v>289.36126704091066</v>
      </c>
      <c r="AO117" s="62">
        <f t="shared" si="90"/>
        <v>195.3674411454258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253.52495999999999</v>
      </c>
      <c r="BF117" s="14">
        <f t="shared" si="91"/>
        <v>61.340141798422209</v>
      </c>
      <c r="BG117" s="22">
        <f t="shared" si="61"/>
        <v>548.39005229891859</v>
      </c>
      <c r="BH117" s="62">
        <f t="shared" si="62"/>
        <v>841.72338563225185</v>
      </c>
      <c r="BI117" s="62">
        <f ca="1">AVERAGE(OFFSET($BH$3,0,0,'Données projet'!$E$11+1,1))-AVERAGE(OFFSET($H$3,0,0,'Données projet'!$E$11+1,1))</f>
        <v>250.17147737747007</v>
      </c>
      <c r="BJ117" s="62">
        <f t="shared" si="92"/>
        <v>172.25613380618552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280.2</v>
      </c>
      <c r="BZ117" s="14">
        <f>BY117*VLOOKUP('Données projet'!$B$12,Paramètres!$A$1:$I$89,3,0)*VLOOKUP('Données projet'!$B$12,Paramètres!$A$1:$I$89,5,0)</f>
        <v>301.60727999999995</v>
      </c>
      <c r="CA117" s="14">
        <f t="shared" si="93"/>
        <v>71.513306244453176</v>
      </c>
      <c r="CB117" s="22">
        <f t="shared" si="64"/>
        <v>649.85168770908911</v>
      </c>
      <c r="CC117" s="62">
        <f t="shared" si="65"/>
        <v>943.18502104242248</v>
      </c>
      <c r="CD117" s="62">
        <f ca="1">AVERAGE(OFFSET($CC$3,0,0,'Données projet'!$E$12+1,1))-AVERAGE(OFFSET($H$3,0,0,'Données projet'!$E$12+1,1))</f>
        <v>311.71521576048417</v>
      </c>
      <c r="CE117" s="62">
        <f t="shared" si="94"/>
        <v>208.54841796921403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280.47174439810988</v>
      </c>
      <c r="CZ117" s="62">
        <f t="shared" si="96"/>
        <v>231.19476400361157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0.23549236071040533</v>
      </c>
      <c r="DH117" s="23">
        <f>EXP(-LN(2)/2)*DH116+(1-EXP(-LN(2)/2))/(LN(2)/2)*DB117*DE117*VLOOKUP('Données projet'!$B$13,Paramètres!$A$1:$I$89,3,0)*0.475*44/12</f>
        <v>4.8040102888847747E-12</v>
      </c>
      <c r="DI117" s="24">
        <f t="shared" si="69"/>
        <v>0.23549236071520935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6.7984728957526396E-14</v>
      </c>
      <c r="DQ117" s="14">
        <f t="shared" si="97"/>
        <v>1.0682447123141398E-12</v>
      </c>
      <c r="DR117" s="22">
        <f t="shared" si="70"/>
        <v>1.978932943548152E-12</v>
      </c>
      <c r="DS117" s="62">
        <f t="shared" si="71"/>
        <v>293.3333333333353</v>
      </c>
      <c r="DT117" s="62">
        <f ca="1">AVERAGE(OFFSET($DS$3,0,0,'Données projet'!$E$14+1,1))-AVERAGE(OFFSET($H$3,0,0,'Données projet'!$E$14+1,1))</f>
        <v>282.98919020956595</v>
      </c>
      <c r="DU117" s="62">
        <f t="shared" si="98"/>
        <v>182.23565317232647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1.8618208605926151E-12</v>
      </c>
      <c r="ED117" s="24">
        <f t="shared" si="72"/>
        <v>1.8618208605926151E-12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9">
        <f t="shared" si="56"/>
        <v>482.66051561841903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8.032</v>
      </c>
      <c r="N118" s="14">
        <f>IF('Données projet'!$A$36&gt;35,N117+M118-V117,IF(A118&lt;'Données projet'!$A$36,$K$205^A118,IF(A118='Données projet'!$A$36,'Données projet'!$B$36,N117+M118-V117)))</f>
        <v>422.85999999999962</v>
      </c>
      <c r="O118" s="14">
        <f>N118*VLOOKUP('Données projet'!$B$9,Paramètres!$A$1:$I$89,3,0)*VLOOKUP('Données projet'!$B$9,Paramètres!$A$1:$I$89,5,0)</f>
        <v>197.89847999999984</v>
      </c>
      <c r="P118" s="14">
        <f t="shared" si="87"/>
        <v>49.282033684356875</v>
      </c>
      <c r="Q118" s="22">
        <f t="shared" si="107"/>
        <v>430.50606133358792</v>
      </c>
      <c r="R118" s="62">
        <f t="shared" si="55"/>
        <v>723.83939466692118</v>
      </c>
      <c r="S118" s="62">
        <f ca="1">AVERAGE(OFFSET($R$3,0,0,'Données projet'!$E$9+1,1))-AVERAGE(OFFSET($H$3,0,0,'Données projet'!$E$9+1,1))</f>
        <v>172.62653085905839</v>
      </c>
      <c r="T118" s="62">
        <f t="shared" si="88"/>
        <v>103.0747749312265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287.976</v>
      </c>
      <c r="AK118" s="14">
        <f t="shared" si="89"/>
        <v>68.649801713863141</v>
      </c>
      <c r="AL118" s="22">
        <f t="shared" si="58"/>
        <v>621.12327131831159</v>
      </c>
      <c r="AM118" s="62">
        <f t="shared" si="59"/>
        <v>914.45660465164497</v>
      </c>
      <c r="AN118" s="62">
        <f ca="1">AVERAGE(OFFSET($AM$3,0,0,'Données projet'!$E$10+1,1))-AVERAGE(OFFSET($H$3,0,0,'Données projet'!$E$10+1,1))</f>
        <v>289.36126704091066</v>
      </c>
      <c r="AO118" s="62">
        <f t="shared" si="90"/>
        <v>195.3674411454258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256.96320000000003</v>
      </c>
      <c r="BF118" s="14">
        <f t="shared" si="91"/>
        <v>62.074612956838024</v>
      </c>
      <c r="BG118" s="22">
        <f t="shared" si="61"/>
        <v>555.65752423315951</v>
      </c>
      <c r="BH118" s="62">
        <f t="shared" si="62"/>
        <v>848.99085756649288</v>
      </c>
      <c r="BI118" s="62">
        <f ca="1">AVERAGE(OFFSET($BH$3,0,0,'Données projet'!$E$11+1,1))-AVERAGE(OFFSET($H$3,0,0,'Données projet'!$E$11+1,1))</f>
        <v>250.17147737747007</v>
      </c>
      <c r="BJ118" s="62">
        <f t="shared" si="92"/>
        <v>172.25613380618552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284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284</v>
      </c>
      <c r="BZ118" s="14">
        <f>BY118*VLOOKUP('Données projet'!$B$12,Paramètres!$A$1:$I$89,3,0)*VLOOKUP('Données projet'!$B$12,Paramètres!$A$1:$I$89,5,0)</f>
        <v>305.69759999999997</v>
      </c>
      <c r="CA118" s="14">
        <f t="shared" si="93"/>
        <v>72.369588270212361</v>
      </c>
      <c r="CB118" s="22">
        <f t="shared" si="64"/>
        <v>658.46701957061975</v>
      </c>
      <c r="CC118" s="62">
        <f t="shared" si="65"/>
        <v>951.80035290395313</v>
      </c>
      <c r="CD118" s="62">
        <f ca="1">AVERAGE(OFFSET($CC$3,0,0,'Données projet'!$E$12+1,1))-AVERAGE(OFFSET($H$3,0,0,'Données projet'!$E$12+1,1))</f>
        <v>311.71521576048417</v>
      </c>
      <c r="CE118" s="62">
        <f t="shared" si="94"/>
        <v>208.54841796921403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280.47174439810988</v>
      </c>
      <c r="CZ118" s="62">
        <f t="shared" si="96"/>
        <v>231.19476400361157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0.22905280972277428</v>
      </c>
      <c r="DH118" s="23">
        <f>EXP(-LN(2)/2)*DH117+(1-EXP(-LN(2)/2))/(LN(2)/2)*DB118*DE118*VLOOKUP('Données projet'!$B$13,Paramètres!$A$1:$I$89,3,0)*0.475*44/12</f>
        <v>3.3969482521603694E-12</v>
      </c>
      <c r="DI118" s="24">
        <f t="shared" si="69"/>
        <v>0.22905280972617123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6.7984728957526396E-14</v>
      </c>
      <c r="DQ118" s="14">
        <f t="shared" si="97"/>
        <v>1.0682447123141398E-12</v>
      </c>
      <c r="DR118" s="22">
        <f t="shared" si="70"/>
        <v>1.978932943548152E-12</v>
      </c>
      <c r="DS118" s="62">
        <f t="shared" si="71"/>
        <v>293.3333333333353</v>
      </c>
      <c r="DT118" s="62">
        <f ca="1">AVERAGE(OFFSET($DS$3,0,0,'Données projet'!$E$14+1,1))-AVERAGE(OFFSET($H$3,0,0,'Données projet'!$E$14+1,1))</f>
        <v>282.98919020956595</v>
      </c>
      <c r="DU118" s="62">
        <f t="shared" si="98"/>
        <v>182.23565317232647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1.3165061558796119E-12</v>
      </c>
      <c r="ED118" s="24">
        <f t="shared" si="72"/>
        <v>1.3165061558796119E-12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9">
        <f t="shared" si="56"/>
        <v>484.57701632167959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8.032</v>
      </c>
      <c r="N119" s="14">
        <f>IF('Données projet'!$A$36&gt;35,N118+M119-V118,IF(A119&lt;'Données projet'!$A$36,$K$205^A119,IF(A119='Données projet'!$A$36,'Données projet'!$B$36,N118+M119-V118)))</f>
        <v>430.8919999999996</v>
      </c>
      <c r="O119" s="14">
        <f>N119*VLOOKUP('Données projet'!$B$9,Paramètres!$A$1:$I$89,3,0)*VLOOKUP('Données projet'!$B$9,Paramètres!$A$1:$I$89,5,0)</f>
        <v>201.6574559999998</v>
      </c>
      <c r="P119" s="14">
        <f t="shared" si="87"/>
        <v>50.108251238309741</v>
      </c>
      <c r="Q119" s="22">
        <f t="shared" si="107"/>
        <v>438.49194010672244</v>
      </c>
      <c r="R119" s="62">
        <f t="shared" si="55"/>
        <v>731.82527344005575</v>
      </c>
      <c r="S119" s="62">
        <f ca="1">AVERAGE(OFFSET($R$3,0,0,'Données projet'!$E$9+1,1))-AVERAGE(OFFSET($H$3,0,0,'Données projet'!$E$9+1,1))</f>
        <v>172.62653085905839</v>
      </c>
      <c r="T119" s="62">
        <f t="shared" si="88"/>
        <v>103.0747749312265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266</v>
      </c>
      <c r="AJ119" s="14">
        <f>AI119*VLOOKUP('Données projet'!$B$10,Paramètres!$A$1:$I$89,3,0)*VLOOKUP('Données projet'!$B$10,Paramètres!$A$1:$I$89,5,0)</f>
        <v>269.72400000000005</v>
      </c>
      <c r="AK119" s="14">
        <f t="shared" si="89"/>
        <v>64.790691635967406</v>
      </c>
      <c r="AL119" s="22">
        <f t="shared" si="58"/>
        <v>582.61308793264323</v>
      </c>
      <c r="AM119" s="62">
        <f t="shared" si="59"/>
        <v>875.9464212659766</v>
      </c>
      <c r="AN119" s="62">
        <f ca="1">AVERAGE(OFFSET($AM$3,0,0,'Données projet'!$E$10+1,1))-AVERAGE(OFFSET($H$3,0,0,'Données projet'!$E$10+1,1))</f>
        <v>289.36126704091066</v>
      </c>
      <c r="AO119" s="62">
        <f t="shared" si="90"/>
        <v>195.3674411454258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266</v>
      </c>
      <c r="BE119" s="14">
        <f>BD119*VLOOKUP('Données projet'!$B$11,Paramètres!$A$1:$I$89,3,0)*VLOOKUP('Données projet'!$B$11,Paramètres!$A$1:$I$89,5,0)</f>
        <v>240.67680000000001</v>
      </c>
      <c r="BF119" s="14">
        <f t="shared" si="91"/>
        <v>58.585123425001029</v>
      </c>
      <c r="BG119" s="22">
        <f t="shared" si="61"/>
        <v>521.21451663187679</v>
      </c>
      <c r="BH119" s="62">
        <f t="shared" si="62"/>
        <v>814.54784996521016</v>
      </c>
      <c r="BI119" s="62">
        <f ca="1">AVERAGE(OFFSET($BH$3,0,0,'Données projet'!$E$11+1,1))-AVERAGE(OFFSET($H$3,0,0,'Données projet'!$E$11+1,1))</f>
        <v>250.17147737747007</v>
      </c>
      <c r="BJ119" s="62">
        <f t="shared" si="92"/>
        <v>172.25613380618552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266</v>
      </c>
      <c r="BZ119" s="14">
        <f>BY119*VLOOKUP('Données projet'!$B$12,Paramètres!$A$1:$I$89,3,0)*VLOOKUP('Données projet'!$B$12,Paramètres!$A$1:$I$89,5,0)</f>
        <v>286.32240000000002</v>
      </c>
      <c r="CA119" s="14">
        <f t="shared" si="93"/>
        <v>68.301372478551315</v>
      </c>
      <c r="CB119" s="22">
        <f t="shared" si="64"/>
        <v>617.63640373347687</v>
      </c>
      <c r="CC119" s="62">
        <f t="shared" si="65"/>
        <v>910.96973706681024</v>
      </c>
      <c r="CD119" s="62">
        <f ca="1">AVERAGE(OFFSET($CC$3,0,0,'Données projet'!$E$12+1,1))-AVERAGE(OFFSET($H$3,0,0,'Données projet'!$E$12+1,1))</f>
        <v>311.71521576048417</v>
      </c>
      <c r="CE119" s="62">
        <f t="shared" si="94"/>
        <v>208.54841796921403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280.47174439810988</v>
      </c>
      <c r="CZ119" s="62">
        <f t="shared" si="96"/>
        <v>231.19476400361157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0.22278934859554125</v>
      </c>
      <c r="DH119" s="23">
        <f>EXP(-LN(2)/2)*DH118+(1-EXP(-LN(2)/2))/(LN(2)/2)*DB119*DE119*VLOOKUP('Données projet'!$B$13,Paramètres!$A$1:$I$89,3,0)*0.475*44/12</f>
        <v>2.4020051444423873E-12</v>
      </c>
      <c r="DI119" s="24">
        <f t="shared" si="69"/>
        <v>0.22278934859794325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6.7984728957526396E-14</v>
      </c>
      <c r="DQ119" s="14">
        <f t="shared" si="97"/>
        <v>1.0682447123141398E-12</v>
      </c>
      <c r="DR119" s="22">
        <f t="shared" si="70"/>
        <v>1.978932943548152E-12</v>
      </c>
      <c r="DS119" s="62">
        <f t="shared" si="71"/>
        <v>293.3333333333353</v>
      </c>
      <c r="DT119" s="62">
        <f ca="1">AVERAGE(OFFSET($DS$3,0,0,'Données projet'!$E$14+1,1))-AVERAGE(OFFSET($H$3,0,0,'Données projet'!$E$14+1,1))</f>
        <v>282.98919020956595</v>
      </c>
      <c r="DU119" s="62">
        <f t="shared" si="98"/>
        <v>182.23565317232647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9.3091043029630757E-13</v>
      </c>
      <c r="ED119" s="24">
        <f t="shared" si="72"/>
        <v>9.3091043029630757E-13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9">
        <f t="shared" si="56"/>
        <v>486.49314812620531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8.032</v>
      </c>
      <c r="N120" s="14">
        <f>IF('Données projet'!$A$36&gt;35,N119+M120-V119,IF(A120&lt;'Données projet'!$A$36,$K$205^A120,IF(A120='Données projet'!$A$36,'Données projet'!$B$36,N119+M120-V119)))</f>
        <v>438.92399999999958</v>
      </c>
      <c r="O120" s="14">
        <f>N120*VLOOKUP('Données projet'!$B$9,Paramètres!$A$1:$I$89,3,0)*VLOOKUP('Données projet'!$B$9,Paramètres!$A$1:$I$89,5,0)</f>
        <v>205.41643199999979</v>
      </c>
      <c r="P120" s="14">
        <f t="shared" si="87"/>
        <v>50.932677946487217</v>
      </c>
      <c r="Q120" s="22">
        <f t="shared" si="107"/>
        <v>446.47469982346485</v>
      </c>
      <c r="R120" s="62">
        <f t="shared" si="55"/>
        <v>739.80803315679816</v>
      </c>
      <c r="S120" s="62">
        <f ca="1">AVERAGE(OFFSET($R$3,0,0,'Données projet'!$E$9+1,1))-AVERAGE(OFFSET($H$3,0,0,'Données projet'!$E$9+1,1))</f>
        <v>172.62653085905839</v>
      </c>
      <c r="T120" s="62">
        <f t="shared" si="88"/>
        <v>103.0747749312265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266</v>
      </c>
      <c r="AJ120" s="14">
        <f>AI120*VLOOKUP('Données projet'!$B$10,Paramètres!$A$1:$I$89,3,0)*VLOOKUP('Données projet'!$B$10,Paramètres!$A$1:$I$89,5,0)</f>
        <v>269.72400000000005</v>
      </c>
      <c r="AK120" s="14">
        <f t="shared" si="89"/>
        <v>64.790691635967406</v>
      </c>
      <c r="AL120" s="22">
        <f t="shared" si="58"/>
        <v>582.61308793264323</v>
      </c>
      <c r="AM120" s="62">
        <f t="shared" si="59"/>
        <v>875.9464212659766</v>
      </c>
      <c r="AN120" s="62">
        <f ca="1">AVERAGE(OFFSET($AM$3,0,0,'Données projet'!$E$10+1,1))-AVERAGE(OFFSET($H$3,0,0,'Données projet'!$E$10+1,1))</f>
        <v>289.36126704091066</v>
      </c>
      <c r="AO120" s="62">
        <f t="shared" si="90"/>
        <v>195.3674411454258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266</v>
      </c>
      <c r="BE120" s="14">
        <f>BD120*VLOOKUP('Données projet'!$B$11,Paramètres!$A$1:$I$89,3,0)*VLOOKUP('Données projet'!$B$11,Paramètres!$A$1:$I$89,5,0)</f>
        <v>240.67680000000001</v>
      </c>
      <c r="BF120" s="14">
        <f t="shared" si="91"/>
        <v>58.585123425001029</v>
      </c>
      <c r="BG120" s="22">
        <f t="shared" si="61"/>
        <v>521.21451663187679</v>
      </c>
      <c r="BH120" s="62">
        <f t="shared" si="62"/>
        <v>814.54784996521016</v>
      </c>
      <c r="BI120" s="62">
        <f ca="1">AVERAGE(OFFSET($BH$3,0,0,'Données projet'!$E$11+1,1))-AVERAGE(OFFSET($H$3,0,0,'Données projet'!$E$11+1,1))</f>
        <v>250.17147737747007</v>
      </c>
      <c r="BJ120" s="62">
        <f t="shared" si="92"/>
        <v>172.25613380618552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266</v>
      </c>
      <c r="BZ120" s="14">
        <f>BY120*VLOOKUP('Données projet'!$B$12,Paramètres!$A$1:$I$89,3,0)*VLOOKUP('Données projet'!$B$12,Paramètres!$A$1:$I$89,5,0)</f>
        <v>286.32240000000002</v>
      </c>
      <c r="CA120" s="14">
        <f t="shared" si="93"/>
        <v>68.301372478551315</v>
      </c>
      <c r="CB120" s="22">
        <f t="shared" si="64"/>
        <v>617.63640373347687</v>
      </c>
      <c r="CC120" s="62">
        <f t="shared" si="65"/>
        <v>910.96973706681024</v>
      </c>
      <c r="CD120" s="62">
        <f ca="1">AVERAGE(OFFSET($CC$3,0,0,'Données projet'!$E$12+1,1))-AVERAGE(OFFSET($H$3,0,0,'Données projet'!$E$12+1,1))</f>
        <v>311.71521576048417</v>
      </c>
      <c r="CE120" s="62">
        <f t="shared" si="94"/>
        <v>208.54841796921403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280.47174439810988</v>
      </c>
      <c r="CZ120" s="62">
        <f t="shared" si="96"/>
        <v>231.19476400361157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0.21669716214221352</v>
      </c>
      <c r="DH120" s="23">
        <f>EXP(-LN(2)/2)*DH119+(1-EXP(-LN(2)/2))/(LN(2)/2)*DB120*DE120*VLOOKUP('Données projet'!$B$13,Paramètres!$A$1:$I$89,3,0)*0.475*44/12</f>
        <v>1.6984741260801847E-12</v>
      </c>
      <c r="DI120" s="24">
        <f t="shared" si="69"/>
        <v>0.21669716214391199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6.7984728957526396E-14</v>
      </c>
      <c r="DQ120" s="14">
        <f t="shared" si="97"/>
        <v>1.0682447123141398E-12</v>
      </c>
      <c r="DR120" s="22">
        <f t="shared" si="70"/>
        <v>1.978932943548152E-12</v>
      </c>
      <c r="DS120" s="62">
        <f t="shared" si="71"/>
        <v>293.3333333333353</v>
      </c>
      <c r="DT120" s="62">
        <f ca="1">AVERAGE(OFFSET($DS$3,0,0,'Données projet'!$E$14+1,1))-AVERAGE(OFFSET($H$3,0,0,'Données projet'!$E$14+1,1))</f>
        <v>282.98919020956595</v>
      </c>
      <c r="DU120" s="62">
        <f t="shared" si="98"/>
        <v>182.23565317232647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6.5825307793980596E-13</v>
      </c>
      <c r="ED120" s="24">
        <f t="shared" si="72"/>
        <v>6.5825307793980596E-13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9">
        <f t="shared" si="56"/>
        <v>488.40891455031931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8.032</v>
      </c>
      <c r="N121" s="14">
        <f>IF('Données projet'!$A$36&gt;35,N120+M121-V120,IF(A121&lt;'Données projet'!$A$36,$K$205^A121,IF(A121='Données projet'!$A$36,'Données projet'!$B$36,N120+M121-V120)))</f>
        <v>446.95599999999956</v>
      </c>
      <c r="O121" s="14">
        <f>N121*VLOOKUP('Données projet'!$B$9,Paramètres!$A$1:$I$89,3,0)*VLOOKUP('Données projet'!$B$9,Paramètres!$A$1:$I$89,5,0)</f>
        <v>209.17540799999981</v>
      </c>
      <c r="P121" s="14">
        <f t="shared" si="87"/>
        <v>51.755350359851938</v>
      </c>
      <c r="Q121" s="22">
        <f t="shared" si="107"/>
        <v>454.45440414340845</v>
      </c>
      <c r="R121" s="62">
        <f t="shared" si="55"/>
        <v>747.78773747674177</v>
      </c>
      <c r="S121" s="62">
        <f ca="1">AVERAGE(OFFSET($R$3,0,0,'Données projet'!$E$9+1,1))-AVERAGE(OFFSET($H$3,0,0,'Données projet'!$E$9+1,1))</f>
        <v>172.62653085905839</v>
      </c>
      <c r="T121" s="62">
        <f t="shared" si="88"/>
        <v>103.0747749312265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266</v>
      </c>
      <c r="AJ121" s="14">
        <f>AI121*VLOOKUP('Données projet'!$B$10,Paramètres!$A$1:$I$89,3,0)*VLOOKUP('Données projet'!$B$10,Paramètres!$A$1:$I$89,5,0)</f>
        <v>269.72400000000005</v>
      </c>
      <c r="AK121" s="14">
        <f t="shared" si="89"/>
        <v>64.790691635967406</v>
      </c>
      <c r="AL121" s="22">
        <f t="shared" si="58"/>
        <v>582.61308793264323</v>
      </c>
      <c r="AM121" s="62">
        <f t="shared" si="59"/>
        <v>875.9464212659766</v>
      </c>
      <c r="AN121" s="62">
        <f ca="1">AVERAGE(OFFSET($AM$3,0,0,'Données projet'!$E$10+1,1))-AVERAGE(OFFSET($H$3,0,0,'Données projet'!$E$10+1,1))</f>
        <v>289.36126704091066</v>
      </c>
      <c r="AO121" s="62">
        <f t="shared" si="90"/>
        <v>195.3674411454258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266</v>
      </c>
      <c r="BE121" s="14">
        <f>BD121*VLOOKUP('Données projet'!$B$11,Paramètres!$A$1:$I$89,3,0)*VLOOKUP('Données projet'!$B$11,Paramètres!$A$1:$I$89,5,0)</f>
        <v>240.67680000000001</v>
      </c>
      <c r="BF121" s="14">
        <f t="shared" si="91"/>
        <v>58.585123425001029</v>
      </c>
      <c r="BG121" s="22">
        <f t="shared" si="61"/>
        <v>521.21451663187679</v>
      </c>
      <c r="BH121" s="62">
        <f t="shared" si="62"/>
        <v>814.54784996521016</v>
      </c>
      <c r="BI121" s="62">
        <f ca="1">AVERAGE(OFFSET($BH$3,0,0,'Données projet'!$E$11+1,1))-AVERAGE(OFFSET($H$3,0,0,'Données projet'!$E$11+1,1))</f>
        <v>250.17147737747007</v>
      </c>
      <c r="BJ121" s="62">
        <f t="shared" si="92"/>
        <v>172.25613380618552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266</v>
      </c>
      <c r="BZ121" s="14">
        <f>BY121*VLOOKUP('Données projet'!$B$12,Paramètres!$A$1:$I$89,3,0)*VLOOKUP('Données projet'!$B$12,Paramètres!$A$1:$I$89,5,0)</f>
        <v>286.32240000000002</v>
      </c>
      <c r="CA121" s="14">
        <f t="shared" si="93"/>
        <v>68.301372478551315</v>
      </c>
      <c r="CB121" s="22">
        <f t="shared" si="64"/>
        <v>617.63640373347687</v>
      </c>
      <c r="CC121" s="62">
        <f t="shared" si="65"/>
        <v>910.96973706681024</v>
      </c>
      <c r="CD121" s="62">
        <f ca="1">AVERAGE(OFFSET($CC$3,0,0,'Données projet'!$E$12+1,1))-AVERAGE(OFFSET($H$3,0,0,'Données projet'!$E$12+1,1))</f>
        <v>311.71521576048417</v>
      </c>
      <c r="CE121" s="62">
        <f t="shared" si="94"/>
        <v>208.54841796921403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280.47174439810988</v>
      </c>
      <c r="CZ121" s="62">
        <f t="shared" si="96"/>
        <v>231.19476400361157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0.21077156684782619</v>
      </c>
      <c r="DH121" s="23">
        <f>EXP(-LN(2)/2)*DH120+(1-EXP(-LN(2)/2))/(LN(2)/2)*DB121*DE121*VLOOKUP('Données projet'!$B$13,Paramètres!$A$1:$I$89,3,0)*0.475*44/12</f>
        <v>1.2010025722211937E-12</v>
      </c>
      <c r="DI121" s="24">
        <f t="shared" si="69"/>
        <v>0.2107715668490272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6.7984728957526396E-14</v>
      </c>
      <c r="DQ121" s="14">
        <f t="shared" si="97"/>
        <v>1.0682447123141398E-12</v>
      </c>
      <c r="DR121" s="22">
        <f t="shared" si="70"/>
        <v>1.978932943548152E-12</v>
      </c>
      <c r="DS121" s="62">
        <f t="shared" si="71"/>
        <v>293.3333333333353</v>
      </c>
      <c r="DT121" s="62">
        <f ca="1">AVERAGE(OFFSET($DS$3,0,0,'Données projet'!$E$14+1,1))-AVERAGE(OFFSET($H$3,0,0,'Données projet'!$E$14+1,1))</f>
        <v>282.98919020956595</v>
      </c>
      <c r="DU121" s="62">
        <f t="shared" si="98"/>
        <v>182.23565317232647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4.6545521514815379E-13</v>
      </c>
      <c r="ED121" s="24">
        <f t="shared" si="72"/>
        <v>4.6545521514815379E-13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9">
        <f t="shared" si="56"/>
        <v>490.32431904927057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8.032</v>
      </c>
      <c r="N122" s="14">
        <f>IF('Données projet'!$A$36&gt;35,N121+M122-V121,IF(A122&lt;'Données projet'!$A$36,$K$205^A122,IF(A122='Données projet'!$A$36,'Données projet'!$B$36,N121+M122-V121)))</f>
        <v>454.98799999999954</v>
      </c>
      <c r="O122" s="14">
        <f>N122*VLOOKUP('Données projet'!$B$9,Paramètres!$A$1:$I$89,3,0)*VLOOKUP('Données projet'!$B$9,Paramètres!$A$1:$I$89,5,0)</f>
        <v>212.9343839999998</v>
      </c>
      <c r="P122" s="14">
        <f t="shared" si="87"/>
        <v>52.576303640465319</v>
      </c>
      <c r="Q122" s="22">
        <f t="shared" si="107"/>
        <v>462.43111430714339</v>
      </c>
      <c r="R122" s="62">
        <f t="shared" si="55"/>
        <v>755.76444764047665</v>
      </c>
      <c r="S122" s="62">
        <f ca="1">AVERAGE(OFFSET($R$3,0,0,'Données projet'!$E$9+1,1))-AVERAGE(OFFSET($H$3,0,0,'Données projet'!$E$9+1,1))</f>
        <v>172.62653085905839</v>
      </c>
      <c r="T122" s="62">
        <f t="shared" si="88"/>
        <v>103.0747749312265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266</v>
      </c>
      <c r="AJ122" s="14">
        <f>AI122*VLOOKUP('Données projet'!$B$10,Paramètres!$A$1:$I$89,3,0)*VLOOKUP('Données projet'!$B$10,Paramètres!$A$1:$I$89,5,0)</f>
        <v>269.72400000000005</v>
      </c>
      <c r="AK122" s="14">
        <f t="shared" si="89"/>
        <v>64.790691635967406</v>
      </c>
      <c r="AL122" s="22">
        <f t="shared" si="58"/>
        <v>582.61308793264323</v>
      </c>
      <c r="AM122" s="62">
        <f t="shared" si="59"/>
        <v>875.9464212659766</v>
      </c>
      <c r="AN122" s="62">
        <f ca="1">AVERAGE(OFFSET($AM$3,0,0,'Données projet'!$E$10+1,1))-AVERAGE(OFFSET($H$3,0,0,'Données projet'!$E$10+1,1))</f>
        <v>289.36126704091066</v>
      </c>
      <c r="AO122" s="62">
        <f t="shared" si="90"/>
        <v>195.3674411454258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266</v>
      </c>
      <c r="BE122" s="14">
        <f>BD122*VLOOKUP('Données projet'!$B$11,Paramètres!$A$1:$I$89,3,0)*VLOOKUP('Données projet'!$B$11,Paramètres!$A$1:$I$89,5,0)</f>
        <v>240.67680000000001</v>
      </c>
      <c r="BF122" s="14">
        <f t="shared" si="91"/>
        <v>58.585123425001029</v>
      </c>
      <c r="BG122" s="22">
        <f t="shared" si="61"/>
        <v>521.21451663187679</v>
      </c>
      <c r="BH122" s="62">
        <f t="shared" si="62"/>
        <v>814.54784996521016</v>
      </c>
      <c r="BI122" s="62">
        <f ca="1">AVERAGE(OFFSET($BH$3,0,0,'Données projet'!$E$11+1,1))-AVERAGE(OFFSET($H$3,0,0,'Données projet'!$E$11+1,1))</f>
        <v>250.17147737747007</v>
      </c>
      <c r="BJ122" s="62">
        <f t="shared" si="92"/>
        <v>172.25613380618552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266</v>
      </c>
      <c r="BZ122" s="14">
        <f>BY122*VLOOKUP('Données projet'!$B$12,Paramètres!$A$1:$I$89,3,0)*VLOOKUP('Données projet'!$B$12,Paramètres!$A$1:$I$89,5,0)</f>
        <v>286.32240000000002</v>
      </c>
      <c r="CA122" s="14">
        <f t="shared" si="93"/>
        <v>68.301372478551315</v>
      </c>
      <c r="CB122" s="22">
        <f t="shared" si="64"/>
        <v>617.63640373347687</v>
      </c>
      <c r="CC122" s="62">
        <f t="shared" si="65"/>
        <v>910.96973706681024</v>
      </c>
      <c r="CD122" s="62">
        <f ca="1">AVERAGE(OFFSET($CC$3,0,0,'Données projet'!$E$12+1,1))-AVERAGE(OFFSET($H$3,0,0,'Données projet'!$E$12+1,1))</f>
        <v>311.71521576048417</v>
      </c>
      <c r="CE122" s="62">
        <f t="shared" si="94"/>
        <v>208.54841796921403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280.47174439810988</v>
      </c>
      <c r="CZ122" s="62">
        <f t="shared" si="96"/>
        <v>231.19476400361157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0.2050080072683774</v>
      </c>
      <c r="DH122" s="23">
        <f>EXP(-LN(2)/2)*DH121+(1-EXP(-LN(2)/2))/(LN(2)/2)*DB122*DE122*VLOOKUP('Données projet'!$B$13,Paramètres!$A$1:$I$89,3,0)*0.475*44/12</f>
        <v>8.4923706304009234E-13</v>
      </c>
      <c r="DI122" s="24">
        <f t="shared" si="69"/>
        <v>0.20500800726922663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6.7984728957526396E-14</v>
      </c>
      <c r="DQ122" s="14">
        <f t="shared" si="97"/>
        <v>1.0682447123141398E-12</v>
      </c>
      <c r="DR122" s="22">
        <f t="shared" si="70"/>
        <v>1.978932943548152E-12</v>
      </c>
      <c r="DS122" s="62">
        <f t="shared" si="71"/>
        <v>293.3333333333353</v>
      </c>
      <c r="DT122" s="62">
        <f ca="1">AVERAGE(OFFSET($DS$3,0,0,'Données projet'!$E$14+1,1))-AVERAGE(OFFSET($H$3,0,0,'Données projet'!$E$14+1,1))</f>
        <v>282.98919020956595</v>
      </c>
      <c r="DU122" s="62">
        <f t="shared" si="98"/>
        <v>182.23565317232647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3.2912653896990298E-13</v>
      </c>
      <c r="ED122" s="24">
        <f t="shared" si="72"/>
        <v>3.2912653896990298E-13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9">
        <f t="shared" si="56"/>
        <v>492.23936501688451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463.02</v>
      </c>
      <c r="L123" s="13">
        <f>VLOOKUP(A123,'Données projet'!$A$35:$I$55,9,0)</f>
        <v>8.032</v>
      </c>
      <c r="M123" s="13">
        <f t="array" ref="M123">INDEX(L:L,MIN(IF(ISNUMBER(L123:L319),ROW(L123:L319),"")))</f>
        <v>8.032</v>
      </c>
      <c r="N123" s="14">
        <f>IF('Données projet'!$A$36&gt;35,N122+M123-V122,IF(A123&lt;'Données projet'!$A$36,$K$205^A123,IF(A123='Données projet'!$A$36,'Données projet'!$B$36,N122+M123-V122)))</f>
        <v>463.01999999999953</v>
      </c>
      <c r="O123" s="14">
        <f>N123*VLOOKUP('Données projet'!$B$9,Paramètres!$A$1:$I$89,3,0)*VLOOKUP('Données projet'!$B$9,Paramètres!$A$1:$I$89,5,0)</f>
        <v>216.69335999999979</v>
      </c>
      <c r="P123" s="14">
        <f t="shared" si="87"/>
        <v>53.395571637834742</v>
      </c>
      <c r="Q123" s="22">
        <f t="shared" si="107"/>
        <v>470.40488926922853</v>
      </c>
      <c r="R123" s="62">
        <f t="shared" si="55"/>
        <v>763.73822260256179</v>
      </c>
      <c r="S123" s="62">
        <f ca="1">AVERAGE(OFFSET($R$3,0,0,'Données projet'!$E$9+1,1))-AVERAGE(OFFSET($H$3,0,0,'Données projet'!$E$9+1,1))</f>
        <v>172.62653085905839</v>
      </c>
      <c r="T123" s="62">
        <f t="shared" si="88"/>
        <v>103.0747749312265</v>
      </c>
      <c r="U123" s="16">
        <f>IF(ISNA(VLOOKUP(A123,'Données projet'!$A$35:$I$55,3,0)),0,VLOOKUP(A123,'Données projet'!$A$35:$I$55,3,0))</f>
        <v>17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266</v>
      </c>
      <c r="AJ123" s="14">
        <f>AI123*VLOOKUP('Données projet'!$B$10,Paramètres!$A$1:$I$89,3,0)*VLOOKUP('Données projet'!$B$10,Paramètres!$A$1:$I$89,5,0)</f>
        <v>269.72400000000005</v>
      </c>
      <c r="AK123" s="14">
        <f t="shared" si="89"/>
        <v>64.790691635967406</v>
      </c>
      <c r="AL123" s="22">
        <f t="shared" si="58"/>
        <v>582.61308793264323</v>
      </c>
      <c r="AM123" s="62">
        <f t="shared" si="59"/>
        <v>875.9464212659766</v>
      </c>
      <c r="AN123" s="62">
        <f ca="1">AVERAGE(OFFSET($AM$3,0,0,'Données projet'!$E$10+1,1))-AVERAGE(OFFSET($H$3,0,0,'Données projet'!$E$10+1,1))</f>
        <v>289.36126704091066</v>
      </c>
      <c r="AO123" s="62">
        <f t="shared" si="90"/>
        <v>195.3674411454258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266</v>
      </c>
      <c r="BE123" s="14">
        <f>BD123*VLOOKUP('Données projet'!$B$11,Paramètres!$A$1:$I$89,3,0)*VLOOKUP('Données projet'!$B$11,Paramètres!$A$1:$I$89,5,0)</f>
        <v>240.67680000000001</v>
      </c>
      <c r="BF123" s="14">
        <f t="shared" si="91"/>
        <v>58.585123425001029</v>
      </c>
      <c r="BG123" s="22">
        <f t="shared" si="61"/>
        <v>521.21451663187679</v>
      </c>
      <c r="BH123" s="62">
        <f t="shared" si="62"/>
        <v>814.54784996521016</v>
      </c>
      <c r="BI123" s="62">
        <f ca="1">AVERAGE(OFFSET($BH$3,0,0,'Données projet'!$E$11+1,1))-AVERAGE(OFFSET($H$3,0,0,'Données projet'!$E$11+1,1))</f>
        <v>250.17147737747007</v>
      </c>
      <c r="BJ123" s="62">
        <f t="shared" si="92"/>
        <v>172.25613380618552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266</v>
      </c>
      <c r="BZ123" s="14">
        <f>BY123*VLOOKUP('Données projet'!$B$12,Paramètres!$A$1:$I$89,3,0)*VLOOKUP('Données projet'!$B$12,Paramètres!$A$1:$I$89,5,0)</f>
        <v>286.32240000000002</v>
      </c>
      <c r="CA123" s="14">
        <f t="shared" si="93"/>
        <v>68.301372478551315</v>
      </c>
      <c r="CB123" s="22">
        <f t="shared" si="64"/>
        <v>617.63640373347687</v>
      </c>
      <c r="CC123" s="62">
        <f t="shared" si="65"/>
        <v>910.96973706681024</v>
      </c>
      <c r="CD123" s="62">
        <f ca="1">AVERAGE(OFFSET($CC$3,0,0,'Données projet'!$E$12+1,1))-AVERAGE(OFFSET($H$3,0,0,'Données projet'!$E$12+1,1))</f>
        <v>311.71521576048417</v>
      </c>
      <c r="CE123" s="62">
        <f t="shared" si="94"/>
        <v>208.54841796921403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280.47174439810988</v>
      </c>
      <c r="CZ123" s="62">
        <f t="shared" si="96"/>
        <v>231.19476400361157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0.19940205252872106</v>
      </c>
      <c r="DH123" s="23">
        <f>EXP(-LN(2)/2)*DH122+(1-EXP(-LN(2)/2))/(LN(2)/2)*DB123*DE123*VLOOKUP('Données projet'!$B$13,Paramètres!$A$1:$I$89,3,0)*0.475*44/12</f>
        <v>6.0050128611059683E-13</v>
      </c>
      <c r="DI123" s="24">
        <f t="shared" si="69"/>
        <v>0.19940205252932156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6.7984728957526396E-14</v>
      </c>
      <c r="DQ123" s="14">
        <f t="shared" si="97"/>
        <v>1.0682447123141398E-12</v>
      </c>
      <c r="DR123" s="22">
        <f t="shared" si="70"/>
        <v>1.978932943548152E-12</v>
      </c>
      <c r="DS123" s="62">
        <f t="shared" si="71"/>
        <v>293.3333333333353</v>
      </c>
      <c r="DT123" s="62">
        <f ca="1">AVERAGE(OFFSET($DS$3,0,0,'Données projet'!$E$14+1,1))-AVERAGE(OFFSET($H$3,0,0,'Données projet'!$E$14+1,1))</f>
        <v>282.98919020956595</v>
      </c>
      <c r="DU123" s="62">
        <f t="shared" si="98"/>
        <v>182.23565317232647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2.3272760757407689E-13</v>
      </c>
      <c r="ED123" s="24">
        <f t="shared" si="72"/>
        <v>2.3272760757407689E-13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9">
        <f t="shared" si="56"/>
        <v>494.15405578715797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>
        <f>VLOOKUP(A124,'Données projet'!$A$35:$I$55,2,0)</f>
        <v>471.22</v>
      </c>
      <c r="L124" s="13">
        <f>VLOOKUP(A124,'Données projet'!$A$35:$I$55,9,0)</f>
        <v>8.2000000000000455</v>
      </c>
      <c r="M124" s="13">
        <f t="array" ref="M124">INDEX(L:L,MIN(IF(ISNUMBER(L124:L320),ROW(L124:L320),"")))</f>
        <v>8.2000000000000455</v>
      </c>
      <c r="N124" s="14">
        <f>IF('Données projet'!$A$36&gt;35,N123+M124-V123,IF(A124&lt;'Données projet'!$A$36,$K$205^A124,IF(A124='Données projet'!$A$36,'Données projet'!$B$36,N123+M124-V123)))</f>
        <v>471.21999999999957</v>
      </c>
      <c r="O124" s="14">
        <f>N124*VLOOKUP('Données projet'!$B$9,Paramètres!$A$1:$I$89,3,0)*VLOOKUP('Données projet'!$B$9,Paramètres!$A$1:$I$89,5,0)</f>
        <v>220.53095999999979</v>
      </c>
      <c r="P124" s="14">
        <f t="shared" si="87"/>
        <v>54.230271058113658</v>
      </c>
      <c r="Q124" s="22">
        <f t="shared" si="107"/>
        <v>478.54247742621436</v>
      </c>
      <c r="R124" s="62">
        <f t="shared" si="55"/>
        <v>771.87581075954768</v>
      </c>
      <c r="S124" s="62">
        <f ca="1">AVERAGE(OFFSET($R$3,0,0,'Données projet'!$E$9+1,1))-AVERAGE(OFFSET($H$3,0,0,'Données projet'!$E$9+1,1))</f>
        <v>172.62653085905839</v>
      </c>
      <c r="T124" s="62">
        <f t="shared" si="88"/>
        <v>103.0747749312265</v>
      </c>
      <c r="U124" s="16">
        <f>IF(ISNA(VLOOKUP(A124,'Données projet'!$A$35:$I$55,3,0)),0,VLOOKUP(A124,'Données projet'!$A$35:$I$55,3,0))</f>
        <v>18</v>
      </c>
      <c r="V124" s="16">
        <f>IF(ISNA(VLOOKUP(A124,'Données projet'!$A$35:$I$55,4,0)),0,VLOOKUP(A124,'Données projet'!$A$35:$I$55,4,0))</f>
        <v>233.54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266</v>
      </c>
      <c r="AJ124" s="14">
        <f>AI124*VLOOKUP('Données projet'!$B$10,Paramètres!$A$1:$I$89,3,0)*VLOOKUP('Données projet'!$B$10,Paramètres!$A$1:$I$89,5,0)</f>
        <v>269.72400000000005</v>
      </c>
      <c r="AK124" s="14">
        <f t="shared" si="89"/>
        <v>64.790691635967406</v>
      </c>
      <c r="AL124" s="22">
        <f t="shared" si="58"/>
        <v>582.61308793264323</v>
      </c>
      <c r="AM124" s="62">
        <f t="shared" si="59"/>
        <v>875.9464212659766</v>
      </c>
      <c r="AN124" s="62">
        <f ca="1">AVERAGE(OFFSET($AM$3,0,0,'Données projet'!$E$10+1,1))-AVERAGE(OFFSET($H$3,0,0,'Données projet'!$E$10+1,1))</f>
        <v>289.36126704091066</v>
      </c>
      <c r="AO124" s="62">
        <f t="shared" si="90"/>
        <v>195.3674411454258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266</v>
      </c>
      <c r="BE124" s="14">
        <f>BD124*VLOOKUP('Données projet'!$B$11,Paramètres!$A$1:$I$89,3,0)*VLOOKUP('Données projet'!$B$11,Paramètres!$A$1:$I$89,5,0)</f>
        <v>240.67680000000001</v>
      </c>
      <c r="BF124" s="14">
        <f t="shared" si="91"/>
        <v>58.585123425001029</v>
      </c>
      <c r="BG124" s="22">
        <f t="shared" si="61"/>
        <v>521.21451663187679</v>
      </c>
      <c r="BH124" s="62">
        <f t="shared" si="62"/>
        <v>814.54784996521016</v>
      </c>
      <c r="BI124" s="62">
        <f ca="1">AVERAGE(OFFSET($BH$3,0,0,'Données projet'!$E$11+1,1))-AVERAGE(OFFSET($H$3,0,0,'Données projet'!$E$11+1,1))</f>
        <v>250.17147737747007</v>
      </c>
      <c r="BJ124" s="62">
        <f t="shared" si="92"/>
        <v>172.25613380618552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266</v>
      </c>
      <c r="BZ124" s="14">
        <f>BY124*VLOOKUP('Données projet'!$B$12,Paramètres!$A$1:$I$89,3,0)*VLOOKUP('Données projet'!$B$12,Paramètres!$A$1:$I$89,5,0)</f>
        <v>286.32240000000002</v>
      </c>
      <c r="CA124" s="14">
        <f t="shared" si="93"/>
        <v>68.301372478551315</v>
      </c>
      <c r="CB124" s="22">
        <f t="shared" si="64"/>
        <v>617.63640373347687</v>
      </c>
      <c r="CC124" s="62">
        <f t="shared" si="65"/>
        <v>910.96973706681024</v>
      </c>
      <c r="CD124" s="62">
        <f ca="1">AVERAGE(OFFSET($CC$3,0,0,'Données projet'!$E$12+1,1))-AVERAGE(OFFSET($H$3,0,0,'Données projet'!$E$12+1,1))</f>
        <v>311.71521576048417</v>
      </c>
      <c r="CE124" s="62">
        <f t="shared" si="94"/>
        <v>208.54841796921403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280.47174439810988</v>
      </c>
      <c r="CZ124" s="62">
        <f t="shared" si="96"/>
        <v>231.19476400361157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0.19394939291622498</v>
      </c>
      <c r="DH124" s="23">
        <f>EXP(-LN(2)/2)*DH123+(1-EXP(-LN(2)/2))/(LN(2)/2)*DB124*DE124*VLOOKUP('Données projet'!$B$13,Paramètres!$A$1:$I$89,3,0)*0.475*44/12</f>
        <v>4.2461853152004617E-13</v>
      </c>
      <c r="DI124" s="24">
        <f t="shared" si="69"/>
        <v>0.19394939291664959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6.7984728957526396E-14</v>
      </c>
      <c r="DQ124" s="14">
        <f t="shared" si="97"/>
        <v>1.0682447123141398E-12</v>
      </c>
      <c r="DR124" s="22">
        <f t="shared" si="70"/>
        <v>1.978932943548152E-12</v>
      </c>
      <c r="DS124" s="62">
        <f t="shared" si="71"/>
        <v>293.3333333333353</v>
      </c>
      <c r="DT124" s="62">
        <f ca="1">AVERAGE(OFFSET($DS$3,0,0,'Données projet'!$E$14+1,1))-AVERAGE(OFFSET($H$3,0,0,'Données projet'!$E$14+1,1))</f>
        <v>282.98919020956595</v>
      </c>
      <c r="DU124" s="62">
        <f t="shared" si="98"/>
        <v>182.23565317232647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1.6456326948495149E-13</v>
      </c>
      <c r="ED124" s="24">
        <f t="shared" si="72"/>
        <v>1.6456326948495149E-13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9">
        <f t="shared" si="56"/>
        <v>496.06839463579934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>
        <f>VLOOKUP(A125,'Données projet'!$A$35:$I$55,2,0)</f>
        <v>247.23</v>
      </c>
      <c r="L125" s="13">
        <f>VLOOKUP(A125,'Données projet'!$A$35:$I$55,9,0)</f>
        <v>9.5499999999999545</v>
      </c>
      <c r="M125" s="13">
        <f t="array" ref="M125">INDEX(L:L,MIN(IF(ISNUMBER(L125:L321),ROW(L125:L321),"")))</f>
        <v>9.5499999999999545</v>
      </c>
      <c r="N125" s="14">
        <f>IF('Données projet'!$A$36&gt;35,N124+M125-V124,IF(A125&lt;'Données projet'!$A$36,$K$205^A125,IF(A125='Données projet'!$A$36,'Données projet'!$B$36,N124+M125-V124)))</f>
        <v>247.22999999999954</v>
      </c>
      <c r="O125" s="14">
        <f>N125*VLOOKUP('Données projet'!$B$9,Paramètres!$A$1:$I$89,3,0)*VLOOKUP('Données projet'!$B$9,Paramètres!$A$1:$I$89,5,0)</f>
        <v>115.70363999999978</v>
      </c>
      <c r="P125" s="14">
        <f t="shared" si="87"/>
        <v>30.670827502087405</v>
      </c>
      <c r="Q125" s="22">
        <f t="shared" si="107"/>
        <v>254.93553089946852</v>
      </c>
      <c r="R125" s="62">
        <f t="shared" si="55"/>
        <v>548.26886423280189</v>
      </c>
      <c r="S125" s="62">
        <f ca="1">AVERAGE(OFFSET($R$3,0,0,'Données projet'!$E$9+1,1))-AVERAGE(OFFSET($H$3,0,0,'Données projet'!$E$9+1,1))</f>
        <v>172.62653085905839</v>
      </c>
      <c r="T125" s="62">
        <f t="shared" si="88"/>
        <v>103.0747749312265</v>
      </c>
      <c r="U125" s="16">
        <f>IF(ISNA(VLOOKUP(A125,'Données projet'!$A$35:$I$55,3,0)),0,VLOOKUP(A125,'Données projet'!$A$35:$I$55,3,0))</f>
        <v>19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266</v>
      </c>
      <c r="AJ125" s="14">
        <f>AI125*VLOOKUP('Données projet'!$B$10,Paramètres!$A$1:$I$89,3,0)*VLOOKUP('Données projet'!$B$10,Paramètres!$A$1:$I$89,5,0)</f>
        <v>269.72400000000005</v>
      </c>
      <c r="AK125" s="14">
        <f t="shared" si="89"/>
        <v>64.790691635967406</v>
      </c>
      <c r="AL125" s="22">
        <f t="shared" si="58"/>
        <v>582.61308793264323</v>
      </c>
      <c r="AM125" s="62">
        <f t="shared" si="59"/>
        <v>875.9464212659766</v>
      </c>
      <c r="AN125" s="62">
        <f ca="1">AVERAGE(OFFSET($AM$3,0,0,'Données projet'!$E$10+1,1))-AVERAGE(OFFSET($H$3,0,0,'Données projet'!$E$10+1,1))</f>
        <v>289.36126704091066</v>
      </c>
      <c r="AO125" s="62">
        <f t="shared" si="90"/>
        <v>195.3674411454258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266</v>
      </c>
      <c r="BE125" s="14">
        <f>BD125*VLOOKUP('Données projet'!$B$11,Paramètres!$A$1:$I$89,3,0)*VLOOKUP('Données projet'!$B$11,Paramètres!$A$1:$I$89,5,0)</f>
        <v>240.67680000000001</v>
      </c>
      <c r="BF125" s="14">
        <f t="shared" si="91"/>
        <v>58.585123425001029</v>
      </c>
      <c r="BG125" s="22">
        <f t="shared" si="61"/>
        <v>521.21451663187679</v>
      </c>
      <c r="BH125" s="62">
        <f t="shared" si="62"/>
        <v>814.54784996521016</v>
      </c>
      <c r="BI125" s="62">
        <f ca="1">AVERAGE(OFFSET($BH$3,0,0,'Données projet'!$E$11+1,1))-AVERAGE(OFFSET($H$3,0,0,'Données projet'!$E$11+1,1))</f>
        <v>250.17147737747007</v>
      </c>
      <c r="BJ125" s="62">
        <f t="shared" si="92"/>
        <v>172.25613380618552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266</v>
      </c>
      <c r="BZ125" s="14">
        <f>BY125*VLOOKUP('Données projet'!$B$12,Paramètres!$A$1:$I$89,3,0)*VLOOKUP('Données projet'!$B$12,Paramètres!$A$1:$I$89,5,0)</f>
        <v>286.32240000000002</v>
      </c>
      <c r="CA125" s="14">
        <f t="shared" si="93"/>
        <v>68.301372478551315</v>
      </c>
      <c r="CB125" s="22">
        <f t="shared" si="64"/>
        <v>617.63640373347687</v>
      </c>
      <c r="CC125" s="62">
        <f t="shared" si="65"/>
        <v>910.96973706681024</v>
      </c>
      <c r="CD125" s="62">
        <f ca="1">AVERAGE(OFFSET($CC$3,0,0,'Données projet'!$E$12+1,1))-AVERAGE(OFFSET($H$3,0,0,'Données projet'!$E$12+1,1))</f>
        <v>311.71521576048417</v>
      </c>
      <c r="CE125" s="62">
        <f t="shared" si="94"/>
        <v>208.54841796921403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280.47174439810988</v>
      </c>
      <c r="CZ125" s="62">
        <f t="shared" si="96"/>
        <v>231.19476400361157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0.18864583656757553</v>
      </c>
      <c r="DH125" s="23">
        <f>EXP(-LN(2)/2)*DH124+(1-EXP(-LN(2)/2))/(LN(2)/2)*DB125*DE125*VLOOKUP('Données projet'!$B$13,Paramètres!$A$1:$I$89,3,0)*0.475*44/12</f>
        <v>3.0025064305529842E-13</v>
      </c>
      <c r="DI125" s="24">
        <f t="shared" si="69"/>
        <v>0.18864583656787579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6.7984728957526396E-14</v>
      </c>
      <c r="DQ125" s="14">
        <f t="shared" si="97"/>
        <v>1.0682447123141398E-12</v>
      </c>
      <c r="DR125" s="22">
        <f t="shared" si="70"/>
        <v>1.978932943548152E-12</v>
      </c>
      <c r="DS125" s="62">
        <f t="shared" si="71"/>
        <v>293.3333333333353</v>
      </c>
      <c r="DT125" s="62">
        <f ca="1">AVERAGE(OFFSET($DS$3,0,0,'Données projet'!$E$14+1,1))-AVERAGE(OFFSET($H$3,0,0,'Données projet'!$E$14+1,1))</f>
        <v>282.98919020956595</v>
      </c>
      <c r="DU125" s="62">
        <f t="shared" si="98"/>
        <v>182.23565317232647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1.1636380378703845E-13</v>
      </c>
      <c r="ED125" s="24">
        <f t="shared" si="72"/>
        <v>1.1636380378703845E-13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9">
        <f t="shared" si="56"/>
        <v>497.98238478171629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5.2066666666666652</v>
      </c>
      <c r="N126" s="14">
        <f>IF('Données projet'!$A$36&gt;35,N125+M126-V125,IF(A126&lt;'Données projet'!$A$36,$K$205^A126,IF(A126='Données projet'!$A$36,'Données projet'!$B$36,N125+M126-V125)))</f>
        <v>252.43666666666621</v>
      </c>
      <c r="O126" s="14">
        <f>N126*VLOOKUP('Données projet'!$B$9,Paramètres!$A$1:$I$89,3,0)*VLOOKUP('Données projet'!$B$9,Paramètres!$A$1:$I$89,5,0)</f>
        <v>118.14035999999979</v>
      </c>
      <c r="P126" s="14">
        <f t="shared" si="87"/>
        <v>31.240875335665432</v>
      </c>
      <c r="Q126" s="22">
        <f t="shared" si="107"/>
        <v>260.17231820961695</v>
      </c>
      <c r="R126" s="62">
        <f t="shared" si="55"/>
        <v>553.50565154295032</v>
      </c>
      <c r="S126" s="62">
        <f ca="1">AVERAGE(OFFSET($R$3,0,0,'Données projet'!$E$9+1,1))-AVERAGE(OFFSET($H$3,0,0,'Données projet'!$E$9+1,1))</f>
        <v>172.62653085905839</v>
      </c>
      <c r="T126" s="62">
        <f t="shared" si="88"/>
        <v>103.0747749312265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266</v>
      </c>
      <c r="AJ126" s="14">
        <f>AI126*VLOOKUP('Données projet'!$B$10,Paramètres!$A$1:$I$89,3,0)*VLOOKUP('Données projet'!$B$10,Paramètres!$A$1:$I$89,5,0)</f>
        <v>269.72400000000005</v>
      </c>
      <c r="AK126" s="14">
        <f t="shared" si="89"/>
        <v>64.790691635967406</v>
      </c>
      <c r="AL126" s="22">
        <f t="shared" si="58"/>
        <v>582.61308793264323</v>
      </c>
      <c r="AM126" s="62">
        <f t="shared" si="59"/>
        <v>875.9464212659766</v>
      </c>
      <c r="AN126" s="62">
        <f ca="1">AVERAGE(OFFSET($AM$3,0,0,'Données projet'!$E$10+1,1))-AVERAGE(OFFSET($H$3,0,0,'Données projet'!$E$10+1,1))</f>
        <v>289.36126704091066</v>
      </c>
      <c r="AO126" s="62">
        <f t="shared" si="90"/>
        <v>195.3674411454258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266</v>
      </c>
      <c r="BE126" s="14">
        <f>BD126*VLOOKUP('Données projet'!$B$11,Paramètres!$A$1:$I$89,3,0)*VLOOKUP('Données projet'!$B$11,Paramètres!$A$1:$I$89,5,0)</f>
        <v>240.67680000000001</v>
      </c>
      <c r="BF126" s="14">
        <f t="shared" si="91"/>
        <v>58.585123425001029</v>
      </c>
      <c r="BG126" s="22">
        <f t="shared" si="61"/>
        <v>521.21451663187679</v>
      </c>
      <c r="BH126" s="62">
        <f t="shared" si="62"/>
        <v>814.54784996521016</v>
      </c>
      <c r="BI126" s="62">
        <f ca="1">AVERAGE(OFFSET($BH$3,0,0,'Données projet'!$E$11+1,1))-AVERAGE(OFFSET($H$3,0,0,'Données projet'!$E$11+1,1))</f>
        <v>250.17147737747007</v>
      </c>
      <c r="BJ126" s="62">
        <f t="shared" si="92"/>
        <v>172.25613380618552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266</v>
      </c>
      <c r="BZ126" s="14">
        <f>BY126*VLOOKUP('Données projet'!$B$12,Paramètres!$A$1:$I$89,3,0)*VLOOKUP('Données projet'!$B$12,Paramètres!$A$1:$I$89,5,0)</f>
        <v>286.32240000000002</v>
      </c>
      <c r="CA126" s="14">
        <f t="shared" si="93"/>
        <v>68.301372478551315</v>
      </c>
      <c r="CB126" s="22">
        <f t="shared" si="64"/>
        <v>617.63640373347687</v>
      </c>
      <c r="CC126" s="62">
        <f t="shared" si="65"/>
        <v>910.96973706681024</v>
      </c>
      <c r="CD126" s="62">
        <f ca="1">AVERAGE(OFFSET($CC$3,0,0,'Données projet'!$E$12+1,1))-AVERAGE(OFFSET($H$3,0,0,'Données projet'!$E$12+1,1))</f>
        <v>311.71521576048417</v>
      </c>
      <c r="CE126" s="62">
        <f t="shared" si="94"/>
        <v>208.54841796921403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280.47174439810988</v>
      </c>
      <c r="CZ126" s="62">
        <f t="shared" si="96"/>
        <v>231.19476400361157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0.18348730624618179</v>
      </c>
      <c r="DH126" s="23">
        <f>EXP(-LN(2)/2)*DH125+(1-EXP(-LN(2)/2))/(LN(2)/2)*DB126*DE126*VLOOKUP('Données projet'!$B$13,Paramètres!$A$1:$I$89,3,0)*0.475*44/12</f>
        <v>2.1230926576002308E-13</v>
      </c>
      <c r="DI126" s="24">
        <f t="shared" si="69"/>
        <v>0.18348730624639409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6.7984728957526396E-14</v>
      </c>
      <c r="DQ126" s="14">
        <f t="shared" si="97"/>
        <v>1.0682447123141398E-12</v>
      </c>
      <c r="DR126" s="22">
        <f t="shared" si="70"/>
        <v>1.978932943548152E-12</v>
      </c>
      <c r="DS126" s="62">
        <f t="shared" si="71"/>
        <v>293.3333333333353</v>
      </c>
      <c r="DT126" s="62">
        <f ca="1">AVERAGE(OFFSET($DS$3,0,0,'Données projet'!$E$14+1,1))-AVERAGE(OFFSET($H$3,0,0,'Données projet'!$E$14+1,1))</f>
        <v>282.98919020956595</v>
      </c>
      <c r="DU126" s="62">
        <f t="shared" si="98"/>
        <v>182.23565317232647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8.2281634742475745E-14</v>
      </c>
      <c r="ED126" s="24">
        <f t="shared" si="72"/>
        <v>8.2281634742475745E-14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9">
        <f t="shared" si="56"/>
        <v>499.89602938845536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5.2066666666666652</v>
      </c>
      <c r="N127" s="14">
        <f>IF('Données projet'!$A$36&gt;35,N126+M127-V126,IF(A127&lt;'Données projet'!$A$36,$K$205^A127,IF(A127='Données projet'!$A$36,'Données projet'!$B$36,N126+M127-V126)))</f>
        <v>257.64333333333286</v>
      </c>
      <c r="O127" s="14">
        <f>N127*VLOOKUP('Données projet'!$B$9,Paramètres!$A$1:$I$89,3,0)*VLOOKUP('Données projet'!$B$9,Paramètres!$A$1:$I$89,5,0)</f>
        <v>120.57707999999978</v>
      </c>
      <c r="P127" s="14">
        <f t="shared" si="87"/>
        <v>31.809556123836359</v>
      </c>
      <c r="Q127" s="22">
        <f t="shared" si="107"/>
        <v>265.40672458234792</v>
      </c>
      <c r="R127" s="62">
        <f t="shared" si="55"/>
        <v>558.74005791568129</v>
      </c>
      <c r="S127" s="62">
        <f ca="1">AVERAGE(OFFSET($R$3,0,0,'Données projet'!$E$9+1,1))-AVERAGE(OFFSET($H$3,0,0,'Données projet'!$E$9+1,1))</f>
        <v>172.62653085905839</v>
      </c>
      <c r="T127" s="62">
        <f t="shared" si="88"/>
        <v>103.0747749312265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266</v>
      </c>
      <c r="AJ127" s="14">
        <f>AI127*VLOOKUP('Données projet'!$B$10,Paramètres!$A$1:$I$89,3,0)*VLOOKUP('Données projet'!$B$10,Paramètres!$A$1:$I$89,5,0)</f>
        <v>269.72400000000005</v>
      </c>
      <c r="AK127" s="14">
        <f t="shared" si="89"/>
        <v>64.790691635967406</v>
      </c>
      <c r="AL127" s="22">
        <f t="shared" si="58"/>
        <v>582.61308793264323</v>
      </c>
      <c r="AM127" s="62">
        <f t="shared" si="59"/>
        <v>875.9464212659766</v>
      </c>
      <c r="AN127" s="62">
        <f ca="1">AVERAGE(OFFSET($AM$3,0,0,'Données projet'!$E$10+1,1))-AVERAGE(OFFSET($H$3,0,0,'Données projet'!$E$10+1,1))</f>
        <v>289.36126704091066</v>
      </c>
      <c r="AO127" s="62">
        <f t="shared" si="90"/>
        <v>195.3674411454258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266</v>
      </c>
      <c r="BE127" s="14">
        <f>BD127*VLOOKUP('Données projet'!$B$11,Paramètres!$A$1:$I$89,3,0)*VLOOKUP('Données projet'!$B$11,Paramètres!$A$1:$I$89,5,0)</f>
        <v>240.67680000000001</v>
      </c>
      <c r="BF127" s="14">
        <f t="shared" si="91"/>
        <v>58.585123425001029</v>
      </c>
      <c r="BG127" s="22">
        <f t="shared" si="61"/>
        <v>521.21451663187679</v>
      </c>
      <c r="BH127" s="62">
        <f t="shared" si="62"/>
        <v>814.54784996521016</v>
      </c>
      <c r="BI127" s="62">
        <f ca="1">AVERAGE(OFFSET($BH$3,0,0,'Données projet'!$E$11+1,1))-AVERAGE(OFFSET($H$3,0,0,'Données projet'!$E$11+1,1))</f>
        <v>250.17147737747007</v>
      </c>
      <c r="BJ127" s="62">
        <f t="shared" si="92"/>
        <v>172.25613380618552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266</v>
      </c>
      <c r="BZ127" s="14">
        <f>BY127*VLOOKUP('Données projet'!$B$12,Paramètres!$A$1:$I$89,3,0)*VLOOKUP('Données projet'!$B$12,Paramètres!$A$1:$I$89,5,0)</f>
        <v>286.32240000000002</v>
      </c>
      <c r="CA127" s="14">
        <f t="shared" si="93"/>
        <v>68.301372478551315</v>
      </c>
      <c r="CB127" s="22">
        <f t="shared" si="64"/>
        <v>617.63640373347687</v>
      </c>
      <c r="CC127" s="62">
        <f t="shared" si="65"/>
        <v>910.96973706681024</v>
      </c>
      <c r="CD127" s="62">
        <f ca="1">AVERAGE(OFFSET($CC$3,0,0,'Données projet'!$E$12+1,1))-AVERAGE(OFFSET($H$3,0,0,'Données projet'!$E$12+1,1))</f>
        <v>311.71521576048417</v>
      </c>
      <c r="CE127" s="62">
        <f t="shared" si="94"/>
        <v>208.54841796921403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280.47174439810988</v>
      </c>
      <c r="CZ127" s="62">
        <f t="shared" si="96"/>
        <v>231.19476400361157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0.17846983620770188</v>
      </c>
      <c r="DH127" s="23">
        <f>EXP(-LN(2)/2)*DH126+(1-EXP(-LN(2)/2))/(LN(2)/2)*DB127*DE127*VLOOKUP('Données projet'!$B$13,Paramètres!$A$1:$I$89,3,0)*0.475*44/12</f>
        <v>1.5012532152764921E-13</v>
      </c>
      <c r="DI127" s="24">
        <f t="shared" si="69"/>
        <v>0.17846983620785201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6.7984728957526396E-14</v>
      </c>
      <c r="DQ127" s="14">
        <f t="shared" si="97"/>
        <v>1.0682447123141398E-12</v>
      </c>
      <c r="DR127" s="22">
        <f t="shared" si="70"/>
        <v>1.978932943548152E-12</v>
      </c>
      <c r="DS127" s="62">
        <f t="shared" si="71"/>
        <v>293.3333333333353</v>
      </c>
      <c r="DT127" s="62">
        <f ca="1">AVERAGE(OFFSET($DS$3,0,0,'Données projet'!$E$14+1,1))-AVERAGE(OFFSET($H$3,0,0,'Données projet'!$E$14+1,1))</f>
        <v>282.98919020956595</v>
      </c>
      <c r="DU127" s="62">
        <f t="shared" si="98"/>
        <v>182.23565317232647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5.8181901893519223E-14</v>
      </c>
      <c r="ED127" s="24">
        <f t="shared" si="72"/>
        <v>5.8181901893519223E-14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9">
        <f t="shared" si="56"/>
        <v>501.80933156559138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5.2066666666666652</v>
      </c>
      <c r="N128" s="14">
        <f>IF('Données projet'!$A$36&gt;35,N127+M128-V127,IF(A128&lt;'Données projet'!$A$36,$K$205^A128,IF(A128='Données projet'!$A$36,'Données projet'!$B$36,N127+M128-V127)))</f>
        <v>262.84999999999951</v>
      </c>
      <c r="O128" s="14">
        <f>N128*VLOOKUP('Données projet'!$B$9,Paramètres!$A$1:$I$89,3,0)*VLOOKUP('Données projet'!$B$9,Paramètres!$A$1:$I$89,5,0)</f>
        <v>123.01379999999978</v>
      </c>
      <c r="P128" s="14">
        <f t="shared" si="87"/>
        <v>32.376900676664697</v>
      </c>
      <c r="Q128" s="22">
        <f t="shared" si="107"/>
        <v>270.63880367852397</v>
      </c>
      <c r="R128" s="62">
        <f t="shared" si="55"/>
        <v>563.97213701185728</v>
      </c>
      <c r="S128" s="62">
        <f ca="1">AVERAGE(OFFSET($R$3,0,0,'Données projet'!$E$9+1,1))-AVERAGE(OFFSET($H$3,0,0,'Données projet'!$E$9+1,1))</f>
        <v>172.62653085905839</v>
      </c>
      <c r="T128" s="62">
        <f t="shared" si="88"/>
        <v>103.0747749312265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266</v>
      </c>
      <c r="AJ128" s="14">
        <f>AI128*VLOOKUP('Données projet'!$B$10,Paramètres!$A$1:$I$89,3,0)*VLOOKUP('Données projet'!$B$10,Paramètres!$A$1:$I$89,5,0)</f>
        <v>269.72400000000005</v>
      </c>
      <c r="AK128" s="14">
        <f t="shared" si="89"/>
        <v>64.790691635967406</v>
      </c>
      <c r="AL128" s="22">
        <f t="shared" si="58"/>
        <v>582.61308793264323</v>
      </c>
      <c r="AM128" s="62">
        <f t="shared" si="59"/>
        <v>875.9464212659766</v>
      </c>
      <c r="AN128" s="62">
        <f ca="1">AVERAGE(OFFSET($AM$3,0,0,'Données projet'!$E$10+1,1))-AVERAGE(OFFSET($H$3,0,0,'Données projet'!$E$10+1,1))</f>
        <v>289.36126704091066</v>
      </c>
      <c r="AO128" s="62">
        <f t="shared" si="90"/>
        <v>195.3674411454258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266</v>
      </c>
      <c r="BE128" s="14">
        <f>BD128*VLOOKUP('Données projet'!$B$11,Paramètres!$A$1:$I$89,3,0)*VLOOKUP('Données projet'!$B$11,Paramètres!$A$1:$I$89,5,0)</f>
        <v>240.67680000000001</v>
      </c>
      <c r="BF128" s="14">
        <f t="shared" si="91"/>
        <v>58.585123425001029</v>
      </c>
      <c r="BG128" s="22">
        <f t="shared" si="61"/>
        <v>521.21451663187679</v>
      </c>
      <c r="BH128" s="62">
        <f t="shared" si="62"/>
        <v>814.54784996521016</v>
      </c>
      <c r="BI128" s="62">
        <f ca="1">AVERAGE(OFFSET($BH$3,0,0,'Données projet'!$E$11+1,1))-AVERAGE(OFFSET($H$3,0,0,'Données projet'!$E$11+1,1))</f>
        <v>250.17147737747007</v>
      </c>
      <c r="BJ128" s="62">
        <f t="shared" si="92"/>
        <v>172.25613380618552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266</v>
      </c>
      <c r="BZ128" s="14">
        <f>BY128*VLOOKUP('Données projet'!$B$12,Paramètres!$A$1:$I$89,3,0)*VLOOKUP('Données projet'!$B$12,Paramètres!$A$1:$I$89,5,0)</f>
        <v>286.32240000000002</v>
      </c>
      <c r="CA128" s="14">
        <f t="shared" si="93"/>
        <v>68.301372478551315</v>
      </c>
      <c r="CB128" s="22">
        <f t="shared" si="64"/>
        <v>617.63640373347687</v>
      </c>
      <c r="CC128" s="62">
        <f t="shared" si="65"/>
        <v>910.96973706681024</v>
      </c>
      <c r="CD128" s="62">
        <f ca="1">AVERAGE(OFFSET($CC$3,0,0,'Données projet'!$E$12+1,1))-AVERAGE(OFFSET($H$3,0,0,'Données projet'!$E$12+1,1))</f>
        <v>311.71521576048417</v>
      </c>
      <c r="CE128" s="62">
        <f t="shared" si="94"/>
        <v>208.54841796921403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280.47174439810988</v>
      </c>
      <c r="CZ128" s="62">
        <f t="shared" si="96"/>
        <v>231.19476400361157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0.17358956915128149</v>
      </c>
      <c r="DH128" s="23">
        <f>EXP(-LN(2)/2)*DH127+(1-EXP(-LN(2)/2))/(LN(2)/2)*DB128*DE128*VLOOKUP('Données projet'!$B$13,Paramètres!$A$1:$I$89,3,0)*0.475*44/12</f>
        <v>1.0615463288001154E-13</v>
      </c>
      <c r="DI128" s="24">
        <f t="shared" si="69"/>
        <v>0.17358956915138765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6.7984728957526396E-14</v>
      </c>
      <c r="DQ128" s="14">
        <f t="shared" si="97"/>
        <v>1.0682447123141398E-12</v>
      </c>
      <c r="DR128" s="22">
        <f t="shared" si="70"/>
        <v>1.978932943548152E-12</v>
      </c>
      <c r="DS128" s="62">
        <f t="shared" si="71"/>
        <v>293.3333333333353</v>
      </c>
      <c r="DT128" s="62">
        <f ca="1">AVERAGE(OFFSET($DS$3,0,0,'Données projet'!$E$14+1,1))-AVERAGE(OFFSET($H$3,0,0,'Données projet'!$E$14+1,1))</f>
        <v>282.98919020956595</v>
      </c>
      <c r="DU128" s="62">
        <f t="shared" si="98"/>
        <v>182.23565317232647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4.1140817371237873E-14</v>
      </c>
      <c r="ED128" s="24">
        <f t="shared" si="72"/>
        <v>4.1140817371237873E-14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9">
        <f t="shared" si="56"/>
        <v>503.72229437007394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5.2066666666666652</v>
      </c>
      <c r="N129" s="14">
        <f>IF('Données projet'!$A$36&gt;35,N128+M129-V128,IF(A129&lt;'Données projet'!$A$36,$K$205^A129,IF(A129='Données projet'!$A$36,'Données projet'!$B$36,N128+M129-V128)))</f>
        <v>268.05666666666616</v>
      </c>
      <c r="O129" s="14">
        <f>N129*VLOOKUP('Données projet'!$B$9,Paramètres!$A$1:$I$89,3,0)*VLOOKUP('Données projet'!$B$9,Paramètres!$A$1:$I$89,5,0)</f>
        <v>125.45051999999977</v>
      </c>
      <c r="P129" s="14">
        <f t="shared" si="87"/>
        <v>32.942938513807817</v>
      </c>
      <c r="Q129" s="22">
        <f t="shared" si="107"/>
        <v>275.86860691154823</v>
      </c>
      <c r="R129" s="62">
        <f t="shared" si="55"/>
        <v>569.2019402448816</v>
      </c>
      <c r="S129" s="62">
        <f ca="1">AVERAGE(OFFSET($R$3,0,0,'Données projet'!$E$9+1,1))-AVERAGE(OFFSET($H$3,0,0,'Données projet'!$E$9+1,1))</f>
        <v>172.62653085905839</v>
      </c>
      <c r="T129" s="62">
        <f t="shared" si="88"/>
        <v>103.0747749312265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266</v>
      </c>
      <c r="AJ129" s="14">
        <f>AI129*VLOOKUP('Données projet'!$B$10,Paramètres!$A$1:$I$89,3,0)*VLOOKUP('Données projet'!$B$10,Paramètres!$A$1:$I$89,5,0)</f>
        <v>269.72400000000005</v>
      </c>
      <c r="AK129" s="14">
        <f t="shared" si="89"/>
        <v>64.790691635967406</v>
      </c>
      <c r="AL129" s="22">
        <f t="shared" si="58"/>
        <v>582.61308793264323</v>
      </c>
      <c r="AM129" s="62">
        <f t="shared" si="59"/>
        <v>875.9464212659766</v>
      </c>
      <c r="AN129" s="62">
        <f ca="1">AVERAGE(OFFSET($AM$3,0,0,'Données projet'!$E$10+1,1))-AVERAGE(OFFSET($H$3,0,0,'Données projet'!$E$10+1,1))</f>
        <v>289.36126704091066</v>
      </c>
      <c r="AO129" s="62">
        <f t="shared" si="90"/>
        <v>195.3674411454258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266</v>
      </c>
      <c r="BE129" s="14">
        <f>BD129*VLOOKUP('Données projet'!$B$11,Paramètres!$A$1:$I$89,3,0)*VLOOKUP('Données projet'!$B$11,Paramètres!$A$1:$I$89,5,0)</f>
        <v>240.67680000000001</v>
      </c>
      <c r="BF129" s="14">
        <f t="shared" si="91"/>
        <v>58.585123425001029</v>
      </c>
      <c r="BG129" s="22">
        <f t="shared" si="61"/>
        <v>521.21451663187679</v>
      </c>
      <c r="BH129" s="62">
        <f t="shared" si="62"/>
        <v>814.54784996521016</v>
      </c>
      <c r="BI129" s="62">
        <f ca="1">AVERAGE(OFFSET($BH$3,0,0,'Données projet'!$E$11+1,1))-AVERAGE(OFFSET($H$3,0,0,'Données projet'!$E$11+1,1))</f>
        <v>250.17147737747007</v>
      </c>
      <c r="BJ129" s="62">
        <f t="shared" si="92"/>
        <v>172.25613380618552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266</v>
      </c>
      <c r="BZ129" s="14">
        <f>BY129*VLOOKUP('Données projet'!$B$12,Paramètres!$A$1:$I$89,3,0)*VLOOKUP('Données projet'!$B$12,Paramètres!$A$1:$I$89,5,0)</f>
        <v>286.32240000000002</v>
      </c>
      <c r="CA129" s="14">
        <f t="shared" si="93"/>
        <v>68.301372478551315</v>
      </c>
      <c r="CB129" s="22">
        <f t="shared" si="64"/>
        <v>617.63640373347687</v>
      </c>
      <c r="CC129" s="62">
        <f t="shared" si="65"/>
        <v>910.96973706681024</v>
      </c>
      <c r="CD129" s="62">
        <f ca="1">AVERAGE(OFFSET($CC$3,0,0,'Données projet'!$E$12+1,1))-AVERAGE(OFFSET($H$3,0,0,'Données projet'!$E$12+1,1))</f>
        <v>311.71521576048417</v>
      </c>
      <c r="CE129" s="62">
        <f t="shared" si="94"/>
        <v>208.54841796921403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280.47174439810988</v>
      </c>
      <c r="CZ129" s="62">
        <f t="shared" si="96"/>
        <v>231.19476400361157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0.16884275325416101</v>
      </c>
      <c r="DH129" s="23">
        <f>EXP(-LN(2)/2)*DH128+(1-EXP(-LN(2)/2))/(LN(2)/2)*DB129*DE129*VLOOKUP('Données projet'!$B$13,Paramètres!$A$1:$I$89,3,0)*0.475*44/12</f>
        <v>7.5062660763824604E-14</v>
      </c>
      <c r="DI129" s="24">
        <f t="shared" si="69"/>
        <v>0.16884275325423606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6.7984728957526396E-14</v>
      </c>
      <c r="DQ129" s="14">
        <f t="shared" si="97"/>
        <v>1.0682447123141398E-12</v>
      </c>
      <c r="DR129" s="22">
        <f t="shared" si="70"/>
        <v>1.978932943548152E-12</v>
      </c>
      <c r="DS129" s="62">
        <f t="shared" si="71"/>
        <v>293.3333333333353</v>
      </c>
      <c r="DT129" s="62">
        <f ca="1">AVERAGE(OFFSET($DS$3,0,0,'Données projet'!$E$14+1,1))-AVERAGE(OFFSET($H$3,0,0,'Données projet'!$E$14+1,1))</f>
        <v>282.98919020956595</v>
      </c>
      <c r="DU129" s="62">
        <f t="shared" si="98"/>
        <v>182.23565317232647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2.9090950946759612E-14</v>
      </c>
      <c r="ED129" s="24">
        <f t="shared" si="72"/>
        <v>2.9090950946759612E-14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9">
        <f t="shared" si="56"/>
        <v>505.63492080752712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5.2066666666666652</v>
      </c>
      <c r="N130" s="14">
        <f>IF('Données projet'!$A$36&gt;35,N129+M130-V129,IF(A130&lt;'Données projet'!$A$36,$K$205^A130,IF(A130='Données projet'!$A$36,'Données projet'!$B$36,N129+M130-V129)))</f>
        <v>273.26333333333281</v>
      </c>
      <c r="O130" s="14">
        <f>N130*VLOOKUP('Données projet'!$B$9,Paramètres!$A$1:$I$89,3,0)*VLOOKUP('Données projet'!$B$9,Paramètres!$A$1:$I$89,5,0)</f>
        <v>127.88723999999975</v>
      </c>
      <c r="P130" s="14">
        <f t="shared" si="87"/>
        <v>33.507697942558515</v>
      </c>
      <c r="Q130" s="22">
        <f t="shared" si="107"/>
        <v>281.09618358328902</v>
      </c>
      <c r="R130" s="62">
        <f t="shared" si="55"/>
        <v>574.42951691662233</v>
      </c>
      <c r="S130" s="62">
        <f ca="1">AVERAGE(OFFSET($R$3,0,0,'Données projet'!$E$9+1,1))-AVERAGE(OFFSET($H$3,0,0,'Données projet'!$E$9+1,1))</f>
        <v>172.62653085905839</v>
      </c>
      <c r="T130" s="62">
        <f t="shared" si="88"/>
        <v>103.0747749312265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266</v>
      </c>
      <c r="AJ130" s="14">
        <f>AI130*VLOOKUP('Données projet'!$B$10,Paramètres!$A$1:$I$89,3,0)*VLOOKUP('Données projet'!$B$10,Paramètres!$A$1:$I$89,5,0)</f>
        <v>269.72400000000005</v>
      </c>
      <c r="AK130" s="14">
        <f t="shared" si="89"/>
        <v>64.790691635967406</v>
      </c>
      <c r="AL130" s="22">
        <f t="shared" si="58"/>
        <v>582.61308793264323</v>
      </c>
      <c r="AM130" s="62">
        <f t="shared" si="59"/>
        <v>875.9464212659766</v>
      </c>
      <c r="AN130" s="62">
        <f ca="1">AVERAGE(OFFSET($AM$3,0,0,'Données projet'!$E$10+1,1))-AVERAGE(OFFSET($H$3,0,0,'Données projet'!$E$10+1,1))</f>
        <v>289.36126704091066</v>
      </c>
      <c r="AO130" s="62">
        <f t="shared" si="90"/>
        <v>195.3674411454258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266</v>
      </c>
      <c r="BE130" s="14">
        <f>BD130*VLOOKUP('Données projet'!$B$11,Paramètres!$A$1:$I$89,3,0)*VLOOKUP('Données projet'!$B$11,Paramètres!$A$1:$I$89,5,0)</f>
        <v>240.67680000000001</v>
      </c>
      <c r="BF130" s="14">
        <f t="shared" si="91"/>
        <v>58.585123425001029</v>
      </c>
      <c r="BG130" s="22">
        <f t="shared" si="61"/>
        <v>521.21451663187679</v>
      </c>
      <c r="BH130" s="62">
        <f t="shared" si="62"/>
        <v>814.54784996521016</v>
      </c>
      <c r="BI130" s="62">
        <f ca="1">AVERAGE(OFFSET($BH$3,0,0,'Données projet'!$E$11+1,1))-AVERAGE(OFFSET($H$3,0,0,'Données projet'!$E$11+1,1))</f>
        <v>250.17147737747007</v>
      </c>
      <c r="BJ130" s="62">
        <f t="shared" si="92"/>
        <v>172.25613380618552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266</v>
      </c>
      <c r="BZ130" s="14">
        <f>BY130*VLOOKUP('Données projet'!$B$12,Paramètres!$A$1:$I$89,3,0)*VLOOKUP('Données projet'!$B$12,Paramètres!$A$1:$I$89,5,0)</f>
        <v>286.32240000000002</v>
      </c>
      <c r="CA130" s="14">
        <f t="shared" si="93"/>
        <v>68.301372478551315</v>
      </c>
      <c r="CB130" s="22">
        <f t="shared" si="64"/>
        <v>617.63640373347687</v>
      </c>
      <c r="CC130" s="62">
        <f t="shared" si="65"/>
        <v>910.96973706681024</v>
      </c>
      <c r="CD130" s="62">
        <f ca="1">AVERAGE(OFFSET($CC$3,0,0,'Données projet'!$E$12+1,1))-AVERAGE(OFFSET($H$3,0,0,'Données projet'!$E$12+1,1))</f>
        <v>311.71521576048417</v>
      </c>
      <c r="CE130" s="62">
        <f t="shared" si="94"/>
        <v>208.54841796921403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280.47174439810988</v>
      </c>
      <c r="CZ130" s="62">
        <f t="shared" si="96"/>
        <v>231.19476400361157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0.16422573928737147</v>
      </c>
      <c r="DH130" s="23">
        <f>EXP(-LN(2)/2)*DH129+(1-EXP(-LN(2)/2))/(LN(2)/2)*DB130*DE130*VLOOKUP('Données projet'!$B$13,Paramètres!$A$1:$I$89,3,0)*0.475*44/12</f>
        <v>5.3077316440005771E-14</v>
      </c>
      <c r="DI130" s="24">
        <f t="shared" si="69"/>
        <v>0.16422573928742454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6.7984728957526396E-14</v>
      </c>
      <c r="DQ130" s="14">
        <f t="shared" si="97"/>
        <v>1.0682447123141398E-12</v>
      </c>
      <c r="DR130" s="22">
        <f t="shared" si="70"/>
        <v>1.978932943548152E-12</v>
      </c>
      <c r="DS130" s="62">
        <f t="shared" si="71"/>
        <v>293.3333333333353</v>
      </c>
      <c r="DT130" s="62">
        <f ca="1">AVERAGE(OFFSET($DS$3,0,0,'Données projet'!$E$14+1,1))-AVERAGE(OFFSET($H$3,0,0,'Données projet'!$E$14+1,1))</f>
        <v>282.98919020956595</v>
      </c>
      <c r="DU130" s="62">
        <f t="shared" si="98"/>
        <v>182.23565317232647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2.0570408685618936E-14</v>
      </c>
      <c r="ED130" s="24">
        <f t="shared" si="72"/>
        <v>2.0570408685618936E-14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9">
        <f t="shared" si="56"/>
        <v>507.5472138335092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5.2066666666666652</v>
      </c>
      <c r="N131" s="14">
        <f>IF('Données projet'!$A$36&gt;35,N130+M131-V130,IF(A131&lt;'Données projet'!$A$36,$K$205^A131,IF(A131='Données projet'!$A$36,'Données projet'!$B$36,N130+M131-V130)))</f>
        <v>278.46999999999946</v>
      </c>
      <c r="O131" s="14">
        <f>N131*VLOOKUP('Données projet'!$B$9,Paramètres!$A$1:$I$89,3,0)*VLOOKUP('Données projet'!$B$9,Paramètres!$A$1:$I$89,5,0)</f>
        <v>130.32395999999974</v>
      </c>
      <c r="P131" s="14">
        <f t="shared" si="87"/>
        <v>34.071206129771475</v>
      </c>
      <c r="Q131" s="22">
        <f t="shared" ref="Q131:Q153" si="108">(O131+P131)*0.475*44/12</f>
        <v>286.32158100935152</v>
      </c>
      <c r="R131" s="62">
        <f t="shared" ref="R131:R194" si="109">Q131+(I131+J131)*44/12</f>
        <v>579.65491434268483</v>
      </c>
      <c r="S131" s="62">
        <f ca="1">AVERAGE(OFFSET($R$3,0,0,'Données projet'!$E$9+1,1))-AVERAGE(OFFSET($H$3,0,0,'Données projet'!$E$9+1,1))</f>
        <v>172.62653085905839</v>
      </c>
      <c r="T131" s="62">
        <f t="shared" si="88"/>
        <v>103.0747749312265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266</v>
      </c>
      <c r="AJ131" s="14">
        <f>AI131*VLOOKUP('Données projet'!$B$10,Paramètres!$A$1:$I$89,3,0)*VLOOKUP('Données projet'!$B$10,Paramètres!$A$1:$I$89,5,0)</f>
        <v>269.72400000000005</v>
      </c>
      <c r="AK131" s="14">
        <f t="shared" si="89"/>
        <v>64.790691635967406</v>
      </c>
      <c r="AL131" s="22">
        <f t="shared" si="58"/>
        <v>582.61308793264323</v>
      </c>
      <c r="AM131" s="62">
        <f t="shared" si="59"/>
        <v>875.9464212659766</v>
      </c>
      <c r="AN131" s="62">
        <f ca="1">AVERAGE(OFFSET($AM$3,0,0,'Données projet'!$E$10+1,1))-AVERAGE(OFFSET($H$3,0,0,'Données projet'!$E$10+1,1))</f>
        <v>289.36126704091066</v>
      </c>
      <c r="AO131" s="62">
        <f t="shared" si="90"/>
        <v>195.3674411454258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266</v>
      </c>
      <c r="BE131" s="14">
        <f>BD131*VLOOKUP('Données projet'!$B$11,Paramètres!$A$1:$I$89,3,0)*VLOOKUP('Données projet'!$B$11,Paramètres!$A$1:$I$89,5,0)</f>
        <v>240.67680000000001</v>
      </c>
      <c r="BF131" s="14">
        <f t="shared" si="91"/>
        <v>58.585123425001029</v>
      </c>
      <c r="BG131" s="22">
        <f t="shared" si="61"/>
        <v>521.21451663187679</v>
      </c>
      <c r="BH131" s="62">
        <f t="shared" si="62"/>
        <v>814.54784996521016</v>
      </c>
      <c r="BI131" s="62">
        <f ca="1">AVERAGE(OFFSET($BH$3,0,0,'Données projet'!$E$11+1,1))-AVERAGE(OFFSET($H$3,0,0,'Données projet'!$E$11+1,1))</f>
        <v>250.17147737747007</v>
      </c>
      <c r="BJ131" s="62">
        <f t="shared" si="92"/>
        <v>172.25613380618552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266</v>
      </c>
      <c r="BZ131" s="14">
        <f>BY131*VLOOKUP('Données projet'!$B$12,Paramètres!$A$1:$I$89,3,0)*VLOOKUP('Données projet'!$B$12,Paramètres!$A$1:$I$89,5,0)</f>
        <v>286.32240000000002</v>
      </c>
      <c r="CA131" s="14">
        <f t="shared" si="93"/>
        <v>68.301372478551315</v>
      </c>
      <c r="CB131" s="22">
        <f t="shared" si="64"/>
        <v>617.63640373347687</v>
      </c>
      <c r="CC131" s="62">
        <f t="shared" si="65"/>
        <v>910.96973706681024</v>
      </c>
      <c r="CD131" s="62">
        <f ca="1">AVERAGE(OFFSET($CC$3,0,0,'Données projet'!$E$12+1,1))-AVERAGE(OFFSET($H$3,0,0,'Données projet'!$E$12+1,1))</f>
        <v>311.71521576048417</v>
      </c>
      <c r="CE131" s="62">
        <f t="shared" si="94"/>
        <v>208.54841796921403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280.47174439810988</v>
      </c>
      <c r="CZ131" s="62">
        <f t="shared" si="96"/>
        <v>231.19476400361157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0.15973497781030202</v>
      </c>
      <c r="DH131" s="23">
        <f>EXP(-LN(2)/2)*DH130+(1-EXP(-LN(2)/2))/(LN(2)/2)*DB131*DE131*VLOOKUP('Données projet'!$B$13,Paramètres!$A$1:$I$89,3,0)*0.475*44/12</f>
        <v>3.7531330381912302E-14</v>
      </c>
      <c r="DI131" s="24">
        <f t="shared" si="69"/>
        <v>0.15973497781033955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6.7984728957526396E-14</v>
      </c>
      <c r="DQ131" s="14">
        <f t="shared" si="97"/>
        <v>1.0682447123141398E-12</v>
      </c>
      <c r="DR131" s="22">
        <f t="shared" si="70"/>
        <v>1.978932943548152E-12</v>
      </c>
      <c r="DS131" s="62">
        <f t="shared" si="71"/>
        <v>293.3333333333353</v>
      </c>
      <c r="DT131" s="62">
        <f ca="1">AVERAGE(OFFSET($DS$3,0,0,'Données projet'!$E$14+1,1))-AVERAGE(OFFSET($H$3,0,0,'Données projet'!$E$14+1,1))</f>
        <v>282.98919020956595</v>
      </c>
      <c r="DU131" s="62">
        <f t="shared" si="98"/>
        <v>182.23565317232647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1.4545475473379806E-14</v>
      </c>
      <c r="ED131" s="24">
        <f t="shared" si="72"/>
        <v>1.4545475473379806E-14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9">
        <f t="shared" ref="H132:H195" si="110">(B132+E132+F132)*44/12+(C132+D132)*0.475*44/12</f>
        <v>509.45917635473086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5.2066666666666652</v>
      </c>
      <c r="N132" s="14">
        <f>IF('Données projet'!$A$36&gt;35,N131+M132-V131,IF(A132&lt;'Données projet'!$A$36,$K$205^A132,IF(A132='Données projet'!$A$36,'Données projet'!$B$36,N131+M132-V131)))</f>
        <v>283.67666666666611</v>
      </c>
      <c r="O132" s="14">
        <f>N132*VLOOKUP('Données projet'!$B$9,Paramètres!$A$1:$I$89,3,0)*VLOOKUP('Données projet'!$B$9,Paramètres!$A$1:$I$89,5,0)</f>
        <v>132.76067999999975</v>
      </c>
      <c r="P132" s="14">
        <f t="shared" si="87"/>
        <v>34.633489168258038</v>
      </c>
      <c r="Q132" s="22">
        <f t="shared" si="108"/>
        <v>291.54484463471567</v>
      </c>
      <c r="R132" s="62">
        <f t="shared" si="109"/>
        <v>584.87817796804893</v>
      </c>
      <c r="S132" s="62">
        <f ca="1">AVERAGE(OFFSET($R$3,0,0,'Données projet'!$E$9+1,1))-AVERAGE(OFFSET($H$3,0,0,'Données projet'!$E$9+1,1))</f>
        <v>172.62653085905839</v>
      </c>
      <c r="T132" s="62">
        <f t="shared" si="88"/>
        <v>103.0747749312265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266</v>
      </c>
      <c r="AJ132" s="14">
        <f>AI132*VLOOKUP('Données projet'!$B$10,Paramètres!$A$1:$I$89,3,0)*VLOOKUP('Données projet'!$B$10,Paramètres!$A$1:$I$89,5,0)</f>
        <v>269.72400000000005</v>
      </c>
      <c r="AK132" s="14">
        <f t="shared" si="89"/>
        <v>64.790691635967406</v>
      </c>
      <c r="AL132" s="22">
        <f t="shared" ref="AL132:AL153" si="112">(AJ132+AK132)*0.475*44/12</f>
        <v>582.61308793264323</v>
      </c>
      <c r="AM132" s="62">
        <f t="shared" ref="AM132:AM195" si="113">AL132+(AD132+AE132)*44/12</f>
        <v>875.9464212659766</v>
      </c>
      <c r="AN132" s="62">
        <f ca="1">AVERAGE(OFFSET($AM$3,0,0,'Données projet'!$E$10+1,1))-AVERAGE(OFFSET($H$3,0,0,'Données projet'!$E$10+1,1))</f>
        <v>289.36126704091066</v>
      </c>
      <c r="AO132" s="62">
        <f t="shared" si="90"/>
        <v>195.3674411454258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266</v>
      </c>
      <c r="BE132" s="14">
        <f>BD132*VLOOKUP('Données projet'!$B$11,Paramètres!$A$1:$I$89,3,0)*VLOOKUP('Données projet'!$B$11,Paramètres!$A$1:$I$89,5,0)</f>
        <v>240.67680000000001</v>
      </c>
      <c r="BF132" s="14">
        <f t="shared" si="91"/>
        <v>58.585123425001029</v>
      </c>
      <c r="BG132" s="22">
        <f t="shared" ref="BG132:BG153" si="115">(BE132+BF132)*0.475*44/12</f>
        <v>521.21451663187679</v>
      </c>
      <c r="BH132" s="62">
        <f t="shared" ref="BH132:BH195" si="116">BG132+(AY132+AZ132)*44/12</f>
        <v>814.54784996521016</v>
      </c>
      <c r="BI132" s="62">
        <f ca="1">AVERAGE(OFFSET($BH$3,0,0,'Données projet'!$E$11+1,1))-AVERAGE(OFFSET($H$3,0,0,'Données projet'!$E$11+1,1))</f>
        <v>250.17147737747007</v>
      </c>
      <c r="BJ132" s="62">
        <f t="shared" si="92"/>
        <v>172.25613380618552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266</v>
      </c>
      <c r="BZ132" s="14">
        <f>BY132*VLOOKUP('Données projet'!$B$12,Paramètres!$A$1:$I$89,3,0)*VLOOKUP('Données projet'!$B$12,Paramètres!$A$1:$I$89,5,0)</f>
        <v>286.32240000000002</v>
      </c>
      <c r="CA132" s="14">
        <f t="shared" si="93"/>
        <v>68.301372478551315</v>
      </c>
      <c r="CB132" s="22">
        <f t="shared" ref="CB132:CB153" si="118">(BZ132+CA132)*0.475*44/12</f>
        <v>617.63640373347687</v>
      </c>
      <c r="CC132" s="62">
        <f t="shared" ref="CC132:CC195" si="119">CB132+(BT132+BU132)*44/12</f>
        <v>910.96973706681024</v>
      </c>
      <c r="CD132" s="62">
        <f ca="1">AVERAGE(OFFSET($CC$3,0,0,'Données projet'!$E$12+1,1))-AVERAGE(OFFSET($H$3,0,0,'Données projet'!$E$12+1,1))</f>
        <v>311.71521576048417</v>
      </c>
      <c r="CE132" s="62">
        <f t="shared" si="94"/>
        <v>208.54841796921403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280.47174439810988</v>
      </c>
      <c r="CZ132" s="62">
        <f t="shared" si="96"/>
        <v>231.19476400361157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0.15536701644198192</v>
      </c>
      <c r="DH132" s="23">
        <f>EXP(-LN(2)/2)*DH131+(1-EXP(-LN(2)/2))/(LN(2)/2)*DB132*DE132*VLOOKUP('Données projet'!$B$13,Paramètres!$A$1:$I$89,3,0)*0.475*44/12</f>
        <v>2.6538658220002886E-14</v>
      </c>
      <c r="DI132" s="24">
        <f t="shared" ref="DI132:DI153" si="123">SUM(DF132:DH132)</f>
        <v>0.15536701644200845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6.7984728957526396E-14</v>
      </c>
      <c r="DQ132" s="14">
        <f t="shared" si="97"/>
        <v>1.0682447123141398E-12</v>
      </c>
      <c r="DR132" s="22">
        <f t="shared" ref="DR132:DR153" si="124">(DP132+DQ132)*0.475*44/12</f>
        <v>1.978932943548152E-12</v>
      </c>
      <c r="DS132" s="62">
        <f t="shared" ref="DS132:DS195" si="125">DR132+(DJ132+DK132)*44/12</f>
        <v>293.3333333333353</v>
      </c>
      <c r="DT132" s="62">
        <f ca="1">AVERAGE(OFFSET($DS$3,0,0,'Données projet'!$E$14+1,1))-AVERAGE(OFFSET($H$3,0,0,'Données projet'!$E$14+1,1))</f>
        <v>282.98919020956595</v>
      </c>
      <c r="DU132" s="62">
        <f t="shared" si="98"/>
        <v>182.23565317232647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1.0285204342809468E-14</v>
      </c>
      <c r="ED132" s="24">
        <f t="shared" ref="ED132:ED153" si="126">SUM(EA132:EC132)</f>
        <v>1.0285204342809468E-14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9">
        <f t="shared" si="110"/>
        <v>511.37081123023484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5.2066666666666652</v>
      </c>
      <c r="N133" s="14">
        <f>IF('Données projet'!$A$36&gt;35,N132+M133-V132,IF(A133&lt;'Données projet'!$A$36,$K$205^A133,IF(A133='Données projet'!$A$36,'Données projet'!$B$36,N132+M133-V132)))</f>
        <v>288.88333333333276</v>
      </c>
      <c r="O133" s="14">
        <f>N133*VLOOKUP('Données projet'!$B$9,Paramètres!$A$1:$I$89,3,0)*VLOOKUP('Données projet'!$B$9,Paramètres!$A$1:$I$89,5,0)</f>
        <v>135.19739999999973</v>
      </c>
      <c r="P133" s="14">
        <f t="shared" ref="P133:P196" si="141">EXP(-1.0587+0.8836*LN(O133)+0.284)</f>
        <v>35.194572138168766</v>
      </c>
      <c r="Q133" s="22">
        <f t="shared" si="108"/>
        <v>296.7660181406435</v>
      </c>
      <c r="R133" s="62">
        <f t="shared" si="109"/>
        <v>590.09935147397687</v>
      </c>
      <c r="S133" s="62">
        <f ca="1">AVERAGE(OFFSET($R$3,0,0,'Données projet'!$E$9+1,1))-AVERAGE(OFFSET($H$3,0,0,'Données projet'!$E$9+1,1))</f>
        <v>172.62653085905839</v>
      </c>
      <c r="T133" s="62">
        <f t="shared" ref="T133:T196" si="142">$T$3</f>
        <v>103.0747749312265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266</v>
      </c>
      <c r="AJ133" s="14">
        <f>AI133*VLOOKUP('Données projet'!$B$10,Paramètres!$A$1:$I$89,3,0)*VLOOKUP('Données projet'!$B$10,Paramètres!$A$1:$I$89,5,0)</f>
        <v>269.72400000000005</v>
      </c>
      <c r="AK133" s="14">
        <f t="shared" ref="AK133:AK153" si="143">EXP(-1.0587+0.8836*LN(AJ133)+0.284)</f>
        <v>64.790691635967406</v>
      </c>
      <c r="AL133" s="22">
        <f t="shared" si="112"/>
        <v>582.61308793264323</v>
      </c>
      <c r="AM133" s="62">
        <f t="shared" si="113"/>
        <v>875.9464212659766</v>
      </c>
      <c r="AN133" s="62">
        <f ca="1">AVERAGE(OFFSET($AM$3,0,0,'Données projet'!$E$10+1,1))-AVERAGE(OFFSET($H$3,0,0,'Données projet'!$E$10+1,1))</f>
        <v>289.36126704091066</v>
      </c>
      <c r="AO133" s="62">
        <f t="shared" ref="AO133:AO196" si="144">$AO$3</f>
        <v>195.3674411454258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266</v>
      </c>
      <c r="BE133" s="14">
        <f>BD133*VLOOKUP('Données projet'!$B$11,Paramètres!$A$1:$I$89,3,0)*VLOOKUP('Données projet'!$B$11,Paramètres!$A$1:$I$89,5,0)</f>
        <v>240.67680000000001</v>
      </c>
      <c r="BF133" s="14">
        <f t="shared" ref="BF133:BF153" si="145">EXP(-1.0587+0.8836*LN(BE133)+0.284)</f>
        <v>58.585123425001029</v>
      </c>
      <c r="BG133" s="22">
        <f t="shared" si="115"/>
        <v>521.21451663187679</v>
      </c>
      <c r="BH133" s="62">
        <f t="shared" si="116"/>
        <v>814.54784996521016</v>
      </c>
      <c r="BI133" s="62">
        <f ca="1">AVERAGE(OFFSET($BH$3,0,0,'Données projet'!$E$11+1,1))-AVERAGE(OFFSET($H$3,0,0,'Données projet'!$E$11+1,1))</f>
        <v>250.17147737747007</v>
      </c>
      <c r="BJ133" s="62">
        <f t="shared" ref="BJ133:BJ196" si="146">$BJ$3</f>
        <v>172.25613380618552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266</v>
      </c>
      <c r="BZ133" s="14">
        <f>BY133*VLOOKUP('Données projet'!$B$12,Paramètres!$A$1:$I$89,3,0)*VLOOKUP('Données projet'!$B$12,Paramètres!$A$1:$I$89,5,0)</f>
        <v>286.32240000000002</v>
      </c>
      <c r="CA133" s="14">
        <f t="shared" ref="CA133:CA153" si="147">EXP(-1.0587+0.8836*LN(BZ133)+0.284)</f>
        <v>68.301372478551315</v>
      </c>
      <c r="CB133" s="22">
        <f t="shared" si="118"/>
        <v>617.63640373347687</v>
      </c>
      <c r="CC133" s="62">
        <f t="shared" si="119"/>
        <v>910.96973706681024</v>
      </c>
      <c r="CD133" s="62">
        <f ca="1">AVERAGE(OFFSET($CC$3,0,0,'Données projet'!$E$12+1,1))-AVERAGE(OFFSET($H$3,0,0,'Données projet'!$E$12+1,1))</f>
        <v>311.71521576048417</v>
      </c>
      <c r="CE133" s="62">
        <f t="shared" ref="CE133:CE196" si="148">$CE$3</f>
        <v>208.54841796921403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280.47174439810988</v>
      </c>
      <c r="CZ133" s="62">
        <f t="shared" ref="CZ133:CZ196" si="150">$CZ$3</f>
        <v>231.19476400361157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0.15111849720697962</v>
      </c>
      <c r="DH133" s="23">
        <f>EXP(-LN(2)/2)*DH132+(1-EXP(-LN(2)/2))/(LN(2)/2)*DB133*DE133*VLOOKUP('Données projet'!$B$13,Paramètres!$A$1:$I$89,3,0)*0.475*44/12</f>
        <v>1.8765665190956151E-14</v>
      </c>
      <c r="DI133" s="24">
        <f t="shared" si="123"/>
        <v>0.15111849720699838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6.7984728957526396E-14</v>
      </c>
      <c r="DQ133" s="14">
        <f t="shared" ref="DQ133:DQ153" si="151">EXP(-1.0587+0.8836*LN(DP133)+0.284)</f>
        <v>1.0682447123141398E-12</v>
      </c>
      <c r="DR133" s="22">
        <f t="shared" si="124"/>
        <v>1.978932943548152E-12</v>
      </c>
      <c r="DS133" s="62">
        <f t="shared" si="125"/>
        <v>293.3333333333353</v>
      </c>
      <c r="DT133" s="62">
        <f ca="1">AVERAGE(OFFSET($DS$3,0,0,'Données projet'!$E$14+1,1))-AVERAGE(OFFSET($H$3,0,0,'Données projet'!$E$14+1,1))</f>
        <v>282.98919020956595</v>
      </c>
      <c r="DU133" s="62">
        <f t="shared" ref="DU133:DU196" si="152">$DU$3</f>
        <v>182.23565317232647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7.2727377366899029E-15</v>
      </c>
      <c r="ED133" s="24">
        <f t="shared" si="126"/>
        <v>7.2727377366899029E-15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9">
        <f t="shared" si="110"/>
        <v>513.28212127253823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>
        <f>VLOOKUP(A134,'Données projet'!$A$35:$I$55,2,0)</f>
        <v>294.08999999999997</v>
      </c>
      <c r="L134" s="13">
        <f>VLOOKUP(A134,'Données projet'!$A$35:$I$55,9,0)</f>
        <v>5.2066666666666652</v>
      </c>
      <c r="M134" s="13">
        <f t="array" ref="M134">INDEX(L:L,MIN(IF(ISNUMBER(L134:L330),ROW(L134:L330),"")))</f>
        <v>5.2066666666666652</v>
      </c>
      <c r="N134" s="14">
        <f>IF('Données projet'!$A$36&gt;35,N133+M134-V133,IF(A134&lt;'Données projet'!$A$36,$K$205^A134,IF(A134='Données projet'!$A$36,'Données projet'!$B$36,N133+M134-V133)))</f>
        <v>294.08999999999941</v>
      </c>
      <c r="O134" s="14">
        <f>N134*VLOOKUP('Données projet'!$B$9,Paramètres!$A$1:$I$89,3,0)*VLOOKUP('Données projet'!$B$9,Paramètres!$A$1:$I$89,5,0)</f>
        <v>137.63411999999974</v>
      </c>
      <c r="P134" s="14">
        <f t="shared" si="141"/>
        <v>35.754479163825643</v>
      </c>
      <c r="Q134" s="22">
        <f t="shared" si="108"/>
        <v>301.98514354366256</v>
      </c>
      <c r="R134" s="62">
        <f t="shared" si="109"/>
        <v>595.31847687699587</v>
      </c>
      <c r="S134" s="62">
        <f ca="1">AVERAGE(OFFSET($R$3,0,0,'Données projet'!$E$9+1,1))-AVERAGE(OFFSET($H$3,0,0,'Données projet'!$E$9+1,1))</f>
        <v>172.62653085905839</v>
      </c>
      <c r="T134" s="62">
        <f t="shared" si="142"/>
        <v>103.0747749312265</v>
      </c>
      <c r="U134" s="16">
        <f>IF(ISNA(VLOOKUP(A134,'Données projet'!$A$35:$I$55,3,0)),0,VLOOKUP(A134,'Données projet'!$A$35:$I$55,3,0))</f>
        <v>20</v>
      </c>
      <c r="V134" s="16">
        <f>IF(ISNA(VLOOKUP(A134,'Données projet'!$A$35:$I$55,4,0)),0,VLOOKUP(A134,'Données projet'!$A$35:$I$55,4,0))</f>
        <v>294.08999999999997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266</v>
      </c>
      <c r="AJ134" s="14">
        <f>AI134*VLOOKUP('Données projet'!$B$10,Paramètres!$A$1:$I$89,3,0)*VLOOKUP('Données projet'!$B$10,Paramètres!$A$1:$I$89,5,0)</f>
        <v>269.72400000000005</v>
      </c>
      <c r="AK134" s="14">
        <f t="shared" si="143"/>
        <v>64.790691635967406</v>
      </c>
      <c r="AL134" s="22">
        <f t="shared" si="112"/>
        <v>582.61308793264323</v>
      </c>
      <c r="AM134" s="62">
        <f t="shared" si="113"/>
        <v>875.9464212659766</v>
      </c>
      <c r="AN134" s="62">
        <f ca="1">AVERAGE(OFFSET($AM$3,0,0,'Données projet'!$E$10+1,1))-AVERAGE(OFFSET($H$3,0,0,'Données projet'!$E$10+1,1))</f>
        <v>289.36126704091066</v>
      </c>
      <c r="AO134" s="62">
        <f t="shared" si="144"/>
        <v>195.3674411454258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266</v>
      </c>
      <c r="BE134" s="14">
        <f>BD134*VLOOKUP('Données projet'!$B$11,Paramètres!$A$1:$I$89,3,0)*VLOOKUP('Données projet'!$B$11,Paramètres!$A$1:$I$89,5,0)</f>
        <v>240.67680000000001</v>
      </c>
      <c r="BF134" s="14">
        <f t="shared" si="145"/>
        <v>58.585123425001029</v>
      </c>
      <c r="BG134" s="22">
        <f t="shared" si="115"/>
        <v>521.21451663187679</v>
      </c>
      <c r="BH134" s="62">
        <f t="shared" si="116"/>
        <v>814.54784996521016</v>
      </c>
      <c r="BI134" s="62">
        <f ca="1">AVERAGE(OFFSET($BH$3,0,0,'Données projet'!$E$11+1,1))-AVERAGE(OFFSET($H$3,0,0,'Données projet'!$E$11+1,1))</f>
        <v>250.17147737747007</v>
      </c>
      <c r="BJ134" s="62">
        <f t="shared" si="146"/>
        <v>172.25613380618552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266</v>
      </c>
      <c r="BZ134" s="14">
        <f>BY134*VLOOKUP('Données projet'!$B$12,Paramètres!$A$1:$I$89,3,0)*VLOOKUP('Données projet'!$B$12,Paramètres!$A$1:$I$89,5,0)</f>
        <v>286.32240000000002</v>
      </c>
      <c r="CA134" s="14">
        <f t="shared" si="147"/>
        <v>68.301372478551315</v>
      </c>
      <c r="CB134" s="22">
        <f t="shared" si="118"/>
        <v>617.63640373347687</v>
      </c>
      <c r="CC134" s="62">
        <f t="shared" si="119"/>
        <v>910.96973706681024</v>
      </c>
      <c r="CD134" s="62">
        <f ca="1">AVERAGE(OFFSET($CC$3,0,0,'Données projet'!$E$12+1,1))-AVERAGE(OFFSET($H$3,0,0,'Données projet'!$E$12+1,1))</f>
        <v>311.71521576048417</v>
      </c>
      <c r="CE134" s="62">
        <f t="shared" si="148"/>
        <v>208.54841796921403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280.47174439810988</v>
      </c>
      <c r="CZ134" s="62">
        <f t="shared" si="150"/>
        <v>231.19476400361157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0.14698615395387837</v>
      </c>
      <c r="DH134" s="23">
        <f>EXP(-LN(2)/2)*DH133+(1-EXP(-LN(2)/2))/(LN(2)/2)*DB134*DE134*VLOOKUP('Données projet'!$B$13,Paramètres!$A$1:$I$89,3,0)*0.475*44/12</f>
        <v>1.3269329110001443E-14</v>
      </c>
      <c r="DI134" s="24">
        <f t="shared" si="123"/>
        <v>0.14698615395389164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6.7984728957526396E-14</v>
      </c>
      <c r="DQ134" s="14">
        <f t="shared" si="151"/>
        <v>1.0682447123141398E-12</v>
      </c>
      <c r="DR134" s="22">
        <f t="shared" si="124"/>
        <v>1.978932943548152E-12</v>
      </c>
      <c r="DS134" s="62">
        <f t="shared" si="125"/>
        <v>293.3333333333353</v>
      </c>
      <c r="DT134" s="62">
        <f ca="1">AVERAGE(OFFSET($DS$3,0,0,'Données projet'!$E$14+1,1))-AVERAGE(OFFSET($H$3,0,0,'Données projet'!$E$14+1,1))</f>
        <v>282.98919020956595</v>
      </c>
      <c r="DU134" s="62">
        <f t="shared" si="152"/>
        <v>182.23565317232647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5.1426021714047341E-15</v>
      </c>
      <c r="ED134" s="24">
        <f t="shared" si="126"/>
        <v>5.1426021714047341E-15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9">
        <f t="shared" si="110"/>
        <v>515.19310924873832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-5.6843418860808015E-13</v>
      </c>
      <c r="O135" s="14">
        <f>N135*VLOOKUP('Données projet'!$B$9,Paramètres!$A$1:$I$89,3,0)*VLOOKUP('Données projet'!$B$9,Paramètres!$A$1:$I$89,5,0)</f>
        <v>-2.6602720026858149E-13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172.62653085905839</v>
      </c>
      <c r="T135" s="62">
        <f t="shared" si="142"/>
        <v>103.0747749312265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266</v>
      </c>
      <c r="AJ135" s="14">
        <f>AI135*VLOOKUP('Données projet'!$B$10,Paramètres!$A$1:$I$89,3,0)*VLOOKUP('Données projet'!$B$10,Paramètres!$A$1:$I$89,5,0)</f>
        <v>269.72400000000005</v>
      </c>
      <c r="AK135" s="14">
        <f t="shared" si="143"/>
        <v>64.790691635967406</v>
      </c>
      <c r="AL135" s="22">
        <f t="shared" si="112"/>
        <v>582.61308793264323</v>
      </c>
      <c r="AM135" s="62">
        <f t="shared" si="113"/>
        <v>875.9464212659766</v>
      </c>
      <c r="AN135" s="62">
        <f ca="1">AVERAGE(OFFSET($AM$3,0,0,'Données projet'!$E$10+1,1))-AVERAGE(OFFSET($H$3,0,0,'Données projet'!$E$10+1,1))</f>
        <v>289.36126704091066</v>
      </c>
      <c r="AO135" s="62">
        <f t="shared" si="144"/>
        <v>195.3674411454258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266</v>
      </c>
      <c r="BE135" s="14">
        <f>BD135*VLOOKUP('Données projet'!$B$11,Paramètres!$A$1:$I$89,3,0)*VLOOKUP('Données projet'!$B$11,Paramètres!$A$1:$I$89,5,0)</f>
        <v>240.67680000000001</v>
      </c>
      <c r="BF135" s="14">
        <f t="shared" si="145"/>
        <v>58.585123425001029</v>
      </c>
      <c r="BG135" s="22">
        <f t="shared" si="115"/>
        <v>521.21451663187679</v>
      </c>
      <c r="BH135" s="62">
        <f t="shared" si="116"/>
        <v>814.54784996521016</v>
      </c>
      <c r="BI135" s="62">
        <f ca="1">AVERAGE(OFFSET($BH$3,0,0,'Données projet'!$E$11+1,1))-AVERAGE(OFFSET($H$3,0,0,'Données projet'!$E$11+1,1))</f>
        <v>250.17147737747007</v>
      </c>
      <c r="BJ135" s="62">
        <f t="shared" si="146"/>
        <v>172.25613380618552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266</v>
      </c>
      <c r="BZ135" s="14">
        <f>BY135*VLOOKUP('Données projet'!$B$12,Paramètres!$A$1:$I$89,3,0)*VLOOKUP('Données projet'!$B$12,Paramètres!$A$1:$I$89,5,0)</f>
        <v>286.32240000000002</v>
      </c>
      <c r="CA135" s="14">
        <f t="shared" si="147"/>
        <v>68.301372478551315</v>
      </c>
      <c r="CB135" s="22">
        <f t="shared" si="118"/>
        <v>617.63640373347687</v>
      </c>
      <c r="CC135" s="62">
        <f t="shared" si="119"/>
        <v>910.96973706681024</v>
      </c>
      <c r="CD135" s="62">
        <f ca="1">AVERAGE(OFFSET($CC$3,0,0,'Données projet'!$E$12+1,1))-AVERAGE(OFFSET($H$3,0,0,'Données projet'!$E$12+1,1))</f>
        <v>311.71521576048417</v>
      </c>
      <c r="CE135" s="62">
        <f t="shared" si="148"/>
        <v>208.54841796921403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280.47174439810988</v>
      </c>
      <c r="CZ135" s="62">
        <f t="shared" si="150"/>
        <v>231.19476400361157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0.14296680984434368</v>
      </c>
      <c r="DH135" s="23">
        <f>EXP(-LN(2)/2)*DH134+(1-EXP(-LN(2)/2))/(LN(2)/2)*DB135*DE135*VLOOKUP('Données projet'!$B$13,Paramètres!$A$1:$I$89,3,0)*0.475*44/12</f>
        <v>9.3828325954780755E-15</v>
      </c>
      <c r="DI135" s="24">
        <f t="shared" si="123"/>
        <v>0.14296680984435306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6.7984728957526396E-14</v>
      </c>
      <c r="DQ135" s="14">
        <f t="shared" si="151"/>
        <v>1.0682447123141398E-12</v>
      </c>
      <c r="DR135" s="22">
        <f t="shared" si="124"/>
        <v>1.978932943548152E-12</v>
      </c>
      <c r="DS135" s="62">
        <f t="shared" si="125"/>
        <v>293.3333333333353</v>
      </c>
      <c r="DT135" s="62">
        <f ca="1">AVERAGE(OFFSET($DS$3,0,0,'Données projet'!$E$14+1,1))-AVERAGE(OFFSET($H$3,0,0,'Données projet'!$E$14+1,1))</f>
        <v>282.98919020956595</v>
      </c>
      <c r="DU135" s="62">
        <f t="shared" si="152"/>
        <v>182.23565317232647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3.6363688683449514E-15</v>
      </c>
      <c r="ED135" s="24">
        <f t="shared" si="126"/>
        <v>3.6363688683449514E-15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9">
        <f t="shared" si="110"/>
        <v>517.10377788158553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-5.6843418860808015E-13</v>
      </c>
      <c r="O136" s="14">
        <f>N136*VLOOKUP('Données projet'!$B$9,Paramètres!$A$1:$I$89,3,0)*VLOOKUP('Données projet'!$B$9,Paramètres!$A$1:$I$89,5,0)</f>
        <v>-2.6602720026858149E-13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172.62653085905839</v>
      </c>
      <c r="T136" s="62">
        <f t="shared" si="142"/>
        <v>103.0747749312265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266</v>
      </c>
      <c r="AJ136" s="14">
        <f>AI136*VLOOKUP('Données projet'!$B$10,Paramètres!$A$1:$I$89,3,0)*VLOOKUP('Données projet'!$B$10,Paramètres!$A$1:$I$89,5,0)</f>
        <v>269.72400000000005</v>
      </c>
      <c r="AK136" s="14">
        <f t="shared" si="143"/>
        <v>64.790691635967406</v>
      </c>
      <c r="AL136" s="22">
        <f t="shared" si="112"/>
        <v>582.61308793264323</v>
      </c>
      <c r="AM136" s="62">
        <f t="shared" si="113"/>
        <v>875.9464212659766</v>
      </c>
      <c r="AN136" s="62">
        <f ca="1">AVERAGE(OFFSET($AM$3,0,0,'Données projet'!$E$10+1,1))-AVERAGE(OFFSET($H$3,0,0,'Données projet'!$E$10+1,1))</f>
        <v>289.36126704091066</v>
      </c>
      <c r="AO136" s="62">
        <f t="shared" si="144"/>
        <v>195.3674411454258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266</v>
      </c>
      <c r="BE136" s="14">
        <f>BD136*VLOOKUP('Données projet'!$B$11,Paramètres!$A$1:$I$89,3,0)*VLOOKUP('Données projet'!$B$11,Paramètres!$A$1:$I$89,5,0)</f>
        <v>240.67680000000001</v>
      </c>
      <c r="BF136" s="14">
        <f t="shared" si="145"/>
        <v>58.585123425001029</v>
      </c>
      <c r="BG136" s="22">
        <f t="shared" si="115"/>
        <v>521.21451663187679</v>
      </c>
      <c r="BH136" s="62">
        <f t="shared" si="116"/>
        <v>814.54784996521016</v>
      </c>
      <c r="BI136" s="62">
        <f ca="1">AVERAGE(OFFSET($BH$3,0,0,'Données projet'!$E$11+1,1))-AVERAGE(OFFSET($H$3,0,0,'Données projet'!$E$11+1,1))</f>
        <v>250.17147737747007</v>
      </c>
      <c r="BJ136" s="62">
        <f t="shared" si="146"/>
        <v>172.25613380618552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266</v>
      </c>
      <c r="BZ136" s="14">
        <f>BY136*VLOOKUP('Données projet'!$B$12,Paramètres!$A$1:$I$89,3,0)*VLOOKUP('Données projet'!$B$12,Paramètres!$A$1:$I$89,5,0)</f>
        <v>286.32240000000002</v>
      </c>
      <c r="CA136" s="14">
        <f t="shared" si="147"/>
        <v>68.301372478551315</v>
      </c>
      <c r="CB136" s="22">
        <f t="shared" si="118"/>
        <v>617.63640373347687</v>
      </c>
      <c r="CC136" s="62">
        <f t="shared" si="119"/>
        <v>910.96973706681024</v>
      </c>
      <c r="CD136" s="62">
        <f ca="1">AVERAGE(OFFSET($CC$3,0,0,'Données projet'!$E$12+1,1))-AVERAGE(OFFSET($H$3,0,0,'Données projet'!$E$12+1,1))</f>
        <v>311.71521576048417</v>
      </c>
      <c r="CE136" s="62">
        <f t="shared" si="148"/>
        <v>208.54841796921403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280.47174439810988</v>
      </c>
      <c r="CZ136" s="62">
        <f t="shared" si="150"/>
        <v>231.19476400361157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0.13905737491085232</v>
      </c>
      <c r="DH136" s="23">
        <f>EXP(-LN(2)/2)*DH135+(1-EXP(-LN(2)/2))/(LN(2)/2)*DB136*DE136*VLOOKUP('Données projet'!$B$13,Paramètres!$A$1:$I$89,3,0)*0.475*44/12</f>
        <v>6.6346645550007214E-15</v>
      </c>
      <c r="DI136" s="24">
        <f t="shared" si="123"/>
        <v>0.13905737491085896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6.7984728957526396E-14</v>
      </c>
      <c r="DQ136" s="14">
        <f t="shared" si="151"/>
        <v>1.0682447123141398E-12</v>
      </c>
      <c r="DR136" s="22">
        <f t="shared" si="124"/>
        <v>1.978932943548152E-12</v>
      </c>
      <c r="DS136" s="62">
        <f t="shared" si="125"/>
        <v>293.3333333333353</v>
      </c>
      <c r="DT136" s="62">
        <f ca="1">AVERAGE(OFFSET($DS$3,0,0,'Données projet'!$E$14+1,1))-AVERAGE(OFFSET($H$3,0,0,'Données projet'!$E$14+1,1))</f>
        <v>282.98919020956595</v>
      </c>
      <c r="DU136" s="62">
        <f t="shared" si="152"/>
        <v>182.23565317232647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2.571301085702367E-15</v>
      </c>
      <c r="ED136" s="24">
        <f t="shared" si="126"/>
        <v>2.571301085702367E-15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9">
        <f t="shared" si="110"/>
        <v>519.01412985052093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-5.6843418860808015E-13</v>
      </c>
      <c r="O137" s="14">
        <f>N137*VLOOKUP('Données projet'!$B$9,Paramètres!$A$1:$I$89,3,0)*VLOOKUP('Données projet'!$B$9,Paramètres!$A$1:$I$89,5,0)</f>
        <v>-2.6602720026858149E-13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172.62653085905839</v>
      </c>
      <c r="T137" s="62">
        <f t="shared" si="142"/>
        <v>103.0747749312265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266</v>
      </c>
      <c r="AJ137" s="14">
        <f>AI137*VLOOKUP('Données projet'!$B$10,Paramètres!$A$1:$I$89,3,0)*VLOOKUP('Données projet'!$B$10,Paramètres!$A$1:$I$89,5,0)</f>
        <v>269.72400000000005</v>
      </c>
      <c r="AK137" s="14">
        <f t="shared" si="143"/>
        <v>64.790691635967406</v>
      </c>
      <c r="AL137" s="22">
        <f t="shared" si="112"/>
        <v>582.61308793264323</v>
      </c>
      <c r="AM137" s="62">
        <f t="shared" si="113"/>
        <v>875.9464212659766</v>
      </c>
      <c r="AN137" s="62">
        <f ca="1">AVERAGE(OFFSET($AM$3,0,0,'Données projet'!$E$10+1,1))-AVERAGE(OFFSET($H$3,0,0,'Données projet'!$E$10+1,1))</f>
        <v>289.36126704091066</v>
      </c>
      <c r="AO137" s="62">
        <f t="shared" si="144"/>
        <v>195.3674411454258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266</v>
      </c>
      <c r="BE137" s="14">
        <f>BD137*VLOOKUP('Données projet'!$B$11,Paramètres!$A$1:$I$89,3,0)*VLOOKUP('Données projet'!$B$11,Paramètres!$A$1:$I$89,5,0)</f>
        <v>240.67680000000001</v>
      </c>
      <c r="BF137" s="14">
        <f t="shared" si="145"/>
        <v>58.585123425001029</v>
      </c>
      <c r="BG137" s="22">
        <f t="shared" si="115"/>
        <v>521.21451663187679</v>
      </c>
      <c r="BH137" s="62">
        <f t="shared" si="116"/>
        <v>814.54784996521016</v>
      </c>
      <c r="BI137" s="62">
        <f ca="1">AVERAGE(OFFSET($BH$3,0,0,'Données projet'!$E$11+1,1))-AVERAGE(OFFSET($H$3,0,0,'Données projet'!$E$11+1,1))</f>
        <v>250.17147737747007</v>
      </c>
      <c r="BJ137" s="62">
        <f t="shared" si="146"/>
        <v>172.25613380618552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266</v>
      </c>
      <c r="BZ137" s="14">
        <f>BY137*VLOOKUP('Données projet'!$B$12,Paramètres!$A$1:$I$89,3,0)*VLOOKUP('Données projet'!$B$12,Paramètres!$A$1:$I$89,5,0)</f>
        <v>286.32240000000002</v>
      </c>
      <c r="CA137" s="14">
        <f t="shared" si="147"/>
        <v>68.301372478551315</v>
      </c>
      <c r="CB137" s="22">
        <f t="shared" si="118"/>
        <v>617.63640373347687</v>
      </c>
      <c r="CC137" s="62">
        <f t="shared" si="119"/>
        <v>910.96973706681024</v>
      </c>
      <c r="CD137" s="62">
        <f ca="1">AVERAGE(OFFSET($CC$3,0,0,'Données projet'!$E$12+1,1))-AVERAGE(OFFSET($H$3,0,0,'Données projet'!$E$12+1,1))</f>
        <v>311.71521576048417</v>
      </c>
      <c r="CE137" s="62">
        <f t="shared" si="148"/>
        <v>208.54841796921403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280.47174439810988</v>
      </c>
      <c r="CZ137" s="62">
        <f t="shared" si="150"/>
        <v>231.19476400361157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0.13525484368120555</v>
      </c>
      <c r="DH137" s="23">
        <f>EXP(-LN(2)/2)*DH136+(1-EXP(-LN(2)/2))/(LN(2)/2)*DB137*DE137*VLOOKUP('Données projet'!$B$13,Paramètres!$A$1:$I$89,3,0)*0.475*44/12</f>
        <v>4.6914162977390378E-15</v>
      </c>
      <c r="DI137" s="24">
        <f t="shared" si="123"/>
        <v>0.13525484368121024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6.7984728957526396E-14</v>
      </c>
      <c r="DQ137" s="14">
        <f t="shared" si="151"/>
        <v>1.0682447123141398E-12</v>
      </c>
      <c r="DR137" s="22">
        <f t="shared" si="124"/>
        <v>1.978932943548152E-12</v>
      </c>
      <c r="DS137" s="62">
        <f t="shared" si="125"/>
        <v>293.3333333333353</v>
      </c>
      <c r="DT137" s="62">
        <f ca="1">AVERAGE(OFFSET($DS$3,0,0,'Données projet'!$E$14+1,1))-AVERAGE(OFFSET($H$3,0,0,'Données projet'!$E$14+1,1))</f>
        <v>282.98919020956595</v>
      </c>
      <c r="DU137" s="62">
        <f t="shared" si="152"/>
        <v>182.23565317232647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1.8181844341724757E-15</v>
      </c>
      <c r="ED137" s="24">
        <f t="shared" si="126"/>
        <v>1.8181844341724757E-15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9">
        <f t="shared" si="110"/>
        <v>520.9241677926841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-5.6843418860808015E-13</v>
      </c>
      <c r="O138" s="14">
        <f>N138*VLOOKUP('Données projet'!$B$9,Paramètres!$A$1:$I$89,3,0)*VLOOKUP('Données projet'!$B$9,Paramètres!$A$1:$I$89,5,0)</f>
        <v>-2.6602720026858149E-13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172.62653085905839</v>
      </c>
      <c r="T138" s="62">
        <f t="shared" si="142"/>
        <v>103.0747749312265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266</v>
      </c>
      <c r="AJ138" s="14">
        <f>AI138*VLOOKUP('Données projet'!$B$10,Paramètres!$A$1:$I$89,3,0)*VLOOKUP('Données projet'!$B$10,Paramètres!$A$1:$I$89,5,0)</f>
        <v>269.72400000000005</v>
      </c>
      <c r="AK138" s="14">
        <f t="shared" si="143"/>
        <v>64.790691635967406</v>
      </c>
      <c r="AL138" s="22">
        <f t="shared" si="112"/>
        <v>582.61308793264323</v>
      </c>
      <c r="AM138" s="62">
        <f t="shared" si="113"/>
        <v>875.9464212659766</v>
      </c>
      <c r="AN138" s="62">
        <f ca="1">AVERAGE(OFFSET($AM$3,0,0,'Données projet'!$E$10+1,1))-AVERAGE(OFFSET($H$3,0,0,'Données projet'!$E$10+1,1))</f>
        <v>289.36126704091066</v>
      </c>
      <c r="AO138" s="62">
        <f t="shared" si="144"/>
        <v>195.3674411454258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266</v>
      </c>
      <c r="BE138" s="14">
        <f>BD138*VLOOKUP('Données projet'!$B$11,Paramètres!$A$1:$I$89,3,0)*VLOOKUP('Données projet'!$B$11,Paramètres!$A$1:$I$89,5,0)</f>
        <v>240.67680000000001</v>
      </c>
      <c r="BF138" s="14">
        <f t="shared" si="145"/>
        <v>58.585123425001029</v>
      </c>
      <c r="BG138" s="22">
        <f t="shared" si="115"/>
        <v>521.21451663187679</v>
      </c>
      <c r="BH138" s="62">
        <f t="shared" si="116"/>
        <v>814.54784996521016</v>
      </c>
      <c r="BI138" s="62">
        <f ca="1">AVERAGE(OFFSET($BH$3,0,0,'Données projet'!$E$11+1,1))-AVERAGE(OFFSET($H$3,0,0,'Données projet'!$E$11+1,1))</f>
        <v>250.17147737747007</v>
      </c>
      <c r="BJ138" s="62">
        <f t="shared" si="146"/>
        <v>172.25613380618552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266</v>
      </c>
      <c r="BZ138" s="14">
        <f>BY138*VLOOKUP('Données projet'!$B$12,Paramètres!$A$1:$I$89,3,0)*VLOOKUP('Données projet'!$B$12,Paramètres!$A$1:$I$89,5,0)</f>
        <v>286.32240000000002</v>
      </c>
      <c r="CA138" s="14">
        <f t="shared" si="147"/>
        <v>68.301372478551315</v>
      </c>
      <c r="CB138" s="22">
        <f t="shared" si="118"/>
        <v>617.63640373347687</v>
      </c>
      <c r="CC138" s="62">
        <f t="shared" si="119"/>
        <v>910.96973706681024</v>
      </c>
      <c r="CD138" s="62">
        <f ca="1">AVERAGE(OFFSET($CC$3,0,0,'Données projet'!$E$12+1,1))-AVERAGE(OFFSET($H$3,0,0,'Données projet'!$E$12+1,1))</f>
        <v>311.71521576048417</v>
      </c>
      <c r="CE138" s="62">
        <f t="shared" si="148"/>
        <v>208.54841796921403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280.47174439810988</v>
      </c>
      <c r="CZ138" s="62">
        <f t="shared" si="150"/>
        <v>231.19476400361157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0.13155629286799989</v>
      </c>
      <c r="DH138" s="23">
        <f>EXP(-LN(2)/2)*DH137+(1-EXP(-LN(2)/2))/(LN(2)/2)*DB138*DE138*VLOOKUP('Données projet'!$B$13,Paramètres!$A$1:$I$89,3,0)*0.475*44/12</f>
        <v>3.3173322775003607E-15</v>
      </c>
      <c r="DI138" s="24">
        <f t="shared" si="123"/>
        <v>0.13155629286800322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6.7984728957526396E-14</v>
      </c>
      <c r="DQ138" s="14">
        <f t="shared" si="151"/>
        <v>1.0682447123141398E-12</v>
      </c>
      <c r="DR138" s="22">
        <f t="shared" si="124"/>
        <v>1.978932943548152E-12</v>
      </c>
      <c r="DS138" s="62">
        <f t="shared" si="125"/>
        <v>293.3333333333353</v>
      </c>
      <c r="DT138" s="62">
        <f ca="1">AVERAGE(OFFSET($DS$3,0,0,'Données projet'!$E$14+1,1))-AVERAGE(OFFSET($H$3,0,0,'Données projet'!$E$14+1,1))</f>
        <v>282.98919020956595</v>
      </c>
      <c r="DU138" s="62">
        <f t="shared" si="152"/>
        <v>182.23565317232647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1.2856505428511835E-15</v>
      </c>
      <c r="ED138" s="24">
        <f t="shared" si="126"/>
        <v>1.2856505428511835E-15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9">
        <f t="shared" si="110"/>
        <v>522.83389430388831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-5.6843418860808015E-13</v>
      </c>
      <c r="O139" s="14">
        <f>N139*VLOOKUP('Données projet'!$B$9,Paramètres!$A$1:$I$89,3,0)*VLOOKUP('Données projet'!$B$9,Paramètres!$A$1:$I$89,5,0)</f>
        <v>-2.6602720026858149E-13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172.62653085905839</v>
      </c>
      <c r="T139" s="62">
        <f t="shared" si="142"/>
        <v>103.0747749312265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266</v>
      </c>
      <c r="AJ139" s="14">
        <f>AI139*VLOOKUP('Données projet'!$B$10,Paramètres!$A$1:$I$89,3,0)*VLOOKUP('Données projet'!$B$10,Paramètres!$A$1:$I$89,5,0)</f>
        <v>269.72400000000005</v>
      </c>
      <c r="AK139" s="14">
        <f t="shared" si="143"/>
        <v>64.790691635967406</v>
      </c>
      <c r="AL139" s="22">
        <f t="shared" si="112"/>
        <v>582.61308793264323</v>
      </c>
      <c r="AM139" s="62">
        <f t="shared" si="113"/>
        <v>875.9464212659766</v>
      </c>
      <c r="AN139" s="62">
        <f ca="1">AVERAGE(OFFSET($AM$3,0,0,'Données projet'!$E$10+1,1))-AVERAGE(OFFSET($H$3,0,0,'Données projet'!$E$10+1,1))</f>
        <v>289.36126704091066</v>
      </c>
      <c r="AO139" s="62">
        <f t="shared" si="144"/>
        <v>195.3674411454258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266</v>
      </c>
      <c r="BE139" s="14">
        <f>BD139*VLOOKUP('Données projet'!$B$11,Paramètres!$A$1:$I$89,3,0)*VLOOKUP('Données projet'!$B$11,Paramètres!$A$1:$I$89,5,0)</f>
        <v>240.67680000000001</v>
      </c>
      <c r="BF139" s="14">
        <f t="shared" si="145"/>
        <v>58.585123425001029</v>
      </c>
      <c r="BG139" s="22">
        <f t="shared" si="115"/>
        <v>521.21451663187679</v>
      </c>
      <c r="BH139" s="62">
        <f t="shared" si="116"/>
        <v>814.54784996521016</v>
      </c>
      <c r="BI139" s="62">
        <f ca="1">AVERAGE(OFFSET($BH$3,0,0,'Données projet'!$E$11+1,1))-AVERAGE(OFFSET($H$3,0,0,'Données projet'!$E$11+1,1))</f>
        <v>250.17147737747007</v>
      </c>
      <c r="BJ139" s="62">
        <f t="shared" si="146"/>
        <v>172.25613380618552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266</v>
      </c>
      <c r="BZ139" s="14">
        <f>BY139*VLOOKUP('Données projet'!$B$12,Paramètres!$A$1:$I$89,3,0)*VLOOKUP('Données projet'!$B$12,Paramètres!$A$1:$I$89,5,0)</f>
        <v>286.32240000000002</v>
      </c>
      <c r="CA139" s="14">
        <f t="shared" si="147"/>
        <v>68.301372478551315</v>
      </c>
      <c r="CB139" s="22">
        <f t="shared" si="118"/>
        <v>617.63640373347687</v>
      </c>
      <c r="CC139" s="62">
        <f t="shared" si="119"/>
        <v>910.96973706681024</v>
      </c>
      <c r="CD139" s="62">
        <f ca="1">AVERAGE(OFFSET($CC$3,0,0,'Données projet'!$E$12+1,1))-AVERAGE(OFFSET($H$3,0,0,'Données projet'!$E$12+1,1))</f>
        <v>311.71521576048417</v>
      </c>
      <c r="CE139" s="62">
        <f t="shared" si="148"/>
        <v>208.54841796921403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280.47174439810988</v>
      </c>
      <c r="CZ139" s="62">
        <f t="shared" si="150"/>
        <v>231.19476400361157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0.12795887912127965</v>
      </c>
      <c r="DH139" s="23">
        <f>EXP(-LN(2)/2)*DH138+(1-EXP(-LN(2)/2))/(LN(2)/2)*DB139*DE139*VLOOKUP('Données projet'!$B$13,Paramètres!$A$1:$I$89,3,0)*0.475*44/12</f>
        <v>2.3457081488695189E-15</v>
      </c>
      <c r="DI139" s="24">
        <f t="shared" si="123"/>
        <v>0.12795887912128201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6.7984728957526396E-14</v>
      </c>
      <c r="DQ139" s="14">
        <f t="shared" si="151"/>
        <v>1.0682447123141398E-12</v>
      </c>
      <c r="DR139" s="22">
        <f t="shared" si="124"/>
        <v>1.978932943548152E-12</v>
      </c>
      <c r="DS139" s="62">
        <f t="shared" si="125"/>
        <v>293.3333333333353</v>
      </c>
      <c r="DT139" s="62">
        <f ca="1">AVERAGE(OFFSET($DS$3,0,0,'Données projet'!$E$14+1,1))-AVERAGE(OFFSET($H$3,0,0,'Données projet'!$E$14+1,1))</f>
        <v>282.98919020956595</v>
      </c>
      <c r="DU139" s="62">
        <f t="shared" si="152"/>
        <v>182.23565317232647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9.0909221708623786E-16</v>
      </c>
      <c r="ED139" s="24">
        <f t="shared" si="126"/>
        <v>9.0909221708623786E-16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9">
        <f t="shared" si="110"/>
        <v>524.74331193956789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-5.6843418860808015E-13</v>
      </c>
      <c r="O140" s="14">
        <f>N140*VLOOKUP('Données projet'!$B$9,Paramètres!$A$1:$I$89,3,0)*VLOOKUP('Données projet'!$B$9,Paramètres!$A$1:$I$89,5,0)</f>
        <v>-2.6602720026858149E-13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172.62653085905839</v>
      </c>
      <c r="T140" s="62">
        <f t="shared" si="142"/>
        <v>103.0747749312265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266</v>
      </c>
      <c r="AJ140" s="14">
        <f>AI140*VLOOKUP('Données projet'!$B$10,Paramètres!$A$1:$I$89,3,0)*VLOOKUP('Données projet'!$B$10,Paramètres!$A$1:$I$89,5,0)</f>
        <v>269.72400000000005</v>
      </c>
      <c r="AK140" s="14">
        <f t="shared" si="143"/>
        <v>64.790691635967406</v>
      </c>
      <c r="AL140" s="22">
        <f t="shared" si="112"/>
        <v>582.61308793264323</v>
      </c>
      <c r="AM140" s="62">
        <f t="shared" si="113"/>
        <v>875.9464212659766</v>
      </c>
      <c r="AN140" s="62">
        <f ca="1">AVERAGE(OFFSET($AM$3,0,0,'Données projet'!$E$10+1,1))-AVERAGE(OFFSET($H$3,0,0,'Données projet'!$E$10+1,1))</f>
        <v>289.36126704091066</v>
      </c>
      <c r="AO140" s="62">
        <f t="shared" si="144"/>
        <v>195.3674411454258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266</v>
      </c>
      <c r="BE140" s="14">
        <f>BD140*VLOOKUP('Données projet'!$B$11,Paramètres!$A$1:$I$89,3,0)*VLOOKUP('Données projet'!$B$11,Paramètres!$A$1:$I$89,5,0)</f>
        <v>240.67680000000001</v>
      </c>
      <c r="BF140" s="14">
        <f t="shared" si="145"/>
        <v>58.585123425001029</v>
      </c>
      <c r="BG140" s="22">
        <f t="shared" si="115"/>
        <v>521.21451663187679</v>
      </c>
      <c r="BH140" s="62">
        <f t="shared" si="116"/>
        <v>814.54784996521016</v>
      </c>
      <c r="BI140" s="62">
        <f ca="1">AVERAGE(OFFSET($BH$3,0,0,'Données projet'!$E$11+1,1))-AVERAGE(OFFSET($H$3,0,0,'Données projet'!$E$11+1,1))</f>
        <v>250.17147737747007</v>
      </c>
      <c r="BJ140" s="62">
        <f t="shared" si="146"/>
        <v>172.25613380618552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266</v>
      </c>
      <c r="BZ140" s="14">
        <f>BY140*VLOOKUP('Données projet'!$B$12,Paramètres!$A$1:$I$89,3,0)*VLOOKUP('Données projet'!$B$12,Paramètres!$A$1:$I$89,5,0)</f>
        <v>286.32240000000002</v>
      </c>
      <c r="CA140" s="14">
        <f t="shared" si="147"/>
        <v>68.301372478551315</v>
      </c>
      <c r="CB140" s="22">
        <f t="shared" si="118"/>
        <v>617.63640373347687</v>
      </c>
      <c r="CC140" s="62">
        <f t="shared" si="119"/>
        <v>910.96973706681024</v>
      </c>
      <c r="CD140" s="62">
        <f ca="1">AVERAGE(OFFSET($CC$3,0,0,'Données projet'!$E$12+1,1))-AVERAGE(OFFSET($H$3,0,0,'Données projet'!$E$12+1,1))</f>
        <v>311.71521576048417</v>
      </c>
      <c r="CE140" s="62">
        <f t="shared" si="148"/>
        <v>208.54841796921403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280.47174439810988</v>
      </c>
      <c r="CZ140" s="62">
        <f t="shared" si="150"/>
        <v>231.19476400361157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0.12445983684264326</v>
      </c>
      <c r="DH140" s="23">
        <f>EXP(-LN(2)/2)*DH139+(1-EXP(-LN(2)/2))/(LN(2)/2)*DB140*DE140*VLOOKUP('Données projet'!$B$13,Paramètres!$A$1:$I$89,3,0)*0.475*44/12</f>
        <v>1.6586661387501803E-15</v>
      </c>
      <c r="DI140" s="24">
        <f t="shared" si="123"/>
        <v>0.12445983684264493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6.7984728957526396E-14</v>
      </c>
      <c r="DQ140" s="14">
        <f t="shared" si="151"/>
        <v>1.0682447123141398E-12</v>
      </c>
      <c r="DR140" s="22">
        <f t="shared" si="124"/>
        <v>1.978932943548152E-12</v>
      </c>
      <c r="DS140" s="62">
        <f t="shared" si="125"/>
        <v>293.3333333333353</v>
      </c>
      <c r="DT140" s="62">
        <f ca="1">AVERAGE(OFFSET($DS$3,0,0,'Données projet'!$E$14+1,1))-AVERAGE(OFFSET($H$3,0,0,'Données projet'!$E$14+1,1))</f>
        <v>282.98919020956595</v>
      </c>
      <c r="DU140" s="62">
        <f t="shared" si="152"/>
        <v>182.23565317232647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6.4282527142559176E-16</v>
      </c>
      <c r="ED140" s="24">
        <f t="shared" si="126"/>
        <v>6.4282527142559176E-16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9">
        <f t="shared" si="110"/>
        <v>526.65242321569622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-5.6843418860808015E-13</v>
      </c>
      <c r="O141" s="14">
        <f>N141*VLOOKUP('Données projet'!$B$9,Paramètres!$A$1:$I$89,3,0)*VLOOKUP('Données projet'!$B$9,Paramètres!$A$1:$I$89,5,0)</f>
        <v>-2.6602720026858149E-13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172.62653085905839</v>
      </c>
      <c r="T141" s="62">
        <f t="shared" si="142"/>
        <v>103.0747749312265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266</v>
      </c>
      <c r="AJ141" s="14">
        <f>AI141*VLOOKUP('Données projet'!$B$10,Paramètres!$A$1:$I$89,3,0)*VLOOKUP('Données projet'!$B$10,Paramètres!$A$1:$I$89,5,0)</f>
        <v>269.72400000000005</v>
      </c>
      <c r="AK141" s="14">
        <f t="shared" si="143"/>
        <v>64.790691635967406</v>
      </c>
      <c r="AL141" s="22">
        <f t="shared" si="112"/>
        <v>582.61308793264323</v>
      </c>
      <c r="AM141" s="62">
        <f t="shared" si="113"/>
        <v>875.9464212659766</v>
      </c>
      <c r="AN141" s="62">
        <f ca="1">AVERAGE(OFFSET($AM$3,0,0,'Données projet'!$E$10+1,1))-AVERAGE(OFFSET($H$3,0,0,'Données projet'!$E$10+1,1))</f>
        <v>289.36126704091066</v>
      </c>
      <c r="AO141" s="62">
        <f t="shared" si="144"/>
        <v>195.3674411454258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266</v>
      </c>
      <c r="BE141" s="14">
        <f>BD141*VLOOKUP('Données projet'!$B$11,Paramètres!$A$1:$I$89,3,0)*VLOOKUP('Données projet'!$B$11,Paramètres!$A$1:$I$89,5,0)</f>
        <v>240.67680000000001</v>
      </c>
      <c r="BF141" s="14">
        <f t="shared" si="145"/>
        <v>58.585123425001029</v>
      </c>
      <c r="BG141" s="22">
        <f t="shared" si="115"/>
        <v>521.21451663187679</v>
      </c>
      <c r="BH141" s="62">
        <f t="shared" si="116"/>
        <v>814.54784996521016</v>
      </c>
      <c r="BI141" s="62">
        <f ca="1">AVERAGE(OFFSET($BH$3,0,0,'Données projet'!$E$11+1,1))-AVERAGE(OFFSET($H$3,0,0,'Données projet'!$E$11+1,1))</f>
        <v>250.17147737747007</v>
      </c>
      <c r="BJ141" s="62">
        <f t="shared" si="146"/>
        <v>172.25613380618552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266</v>
      </c>
      <c r="BZ141" s="14">
        <f>BY141*VLOOKUP('Données projet'!$B$12,Paramètres!$A$1:$I$89,3,0)*VLOOKUP('Données projet'!$B$12,Paramètres!$A$1:$I$89,5,0)</f>
        <v>286.32240000000002</v>
      </c>
      <c r="CA141" s="14">
        <f t="shared" si="147"/>
        <v>68.301372478551315</v>
      </c>
      <c r="CB141" s="22">
        <f t="shared" si="118"/>
        <v>617.63640373347687</v>
      </c>
      <c r="CC141" s="62">
        <f t="shared" si="119"/>
        <v>910.96973706681024</v>
      </c>
      <c r="CD141" s="62">
        <f ca="1">AVERAGE(OFFSET($CC$3,0,0,'Données projet'!$E$12+1,1))-AVERAGE(OFFSET($H$3,0,0,'Données projet'!$E$12+1,1))</f>
        <v>311.71521576048417</v>
      </c>
      <c r="CE141" s="62">
        <f t="shared" si="148"/>
        <v>208.54841796921403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280.47174439810988</v>
      </c>
      <c r="CZ141" s="62">
        <f t="shared" si="150"/>
        <v>231.19476400361157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0.12105647605912283</v>
      </c>
      <c r="DH141" s="23">
        <f>EXP(-LN(2)/2)*DH140+(1-EXP(-LN(2)/2))/(LN(2)/2)*DB141*DE141*VLOOKUP('Données projet'!$B$13,Paramètres!$A$1:$I$89,3,0)*0.475*44/12</f>
        <v>1.1728540744347594E-15</v>
      </c>
      <c r="DI141" s="24">
        <f t="shared" si="123"/>
        <v>0.12105647605912401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6.7984728957526396E-14</v>
      </c>
      <c r="DQ141" s="14">
        <f t="shared" si="151"/>
        <v>1.0682447123141398E-12</v>
      </c>
      <c r="DR141" s="22">
        <f t="shared" si="124"/>
        <v>1.978932943548152E-12</v>
      </c>
      <c r="DS141" s="62">
        <f t="shared" si="125"/>
        <v>293.3333333333353</v>
      </c>
      <c r="DT141" s="62">
        <f ca="1">AVERAGE(OFFSET($DS$3,0,0,'Données projet'!$E$14+1,1))-AVERAGE(OFFSET($H$3,0,0,'Données projet'!$E$14+1,1))</f>
        <v>282.98919020956595</v>
      </c>
      <c r="DU141" s="62">
        <f t="shared" si="152"/>
        <v>182.23565317232647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4.5454610854311893E-16</v>
      </c>
      <c r="ED141" s="24">
        <f t="shared" si="126"/>
        <v>4.5454610854311893E-16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9">
        <f t="shared" si="110"/>
        <v>528.56123060967593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-5.6843418860808015E-13</v>
      </c>
      <c r="O142" s="14">
        <f>N142*VLOOKUP('Données projet'!$B$9,Paramètres!$A$1:$I$89,3,0)*VLOOKUP('Données projet'!$B$9,Paramètres!$A$1:$I$89,5,0)</f>
        <v>-2.6602720026858149E-13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172.62653085905839</v>
      </c>
      <c r="T142" s="62">
        <f t="shared" si="142"/>
        <v>103.0747749312265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266</v>
      </c>
      <c r="AJ142" s="14">
        <f>AI142*VLOOKUP('Données projet'!$B$10,Paramètres!$A$1:$I$89,3,0)*VLOOKUP('Données projet'!$B$10,Paramètres!$A$1:$I$89,5,0)</f>
        <v>269.72400000000005</v>
      </c>
      <c r="AK142" s="14">
        <f t="shared" si="143"/>
        <v>64.790691635967406</v>
      </c>
      <c r="AL142" s="22">
        <f t="shared" si="112"/>
        <v>582.61308793264323</v>
      </c>
      <c r="AM142" s="62">
        <f t="shared" si="113"/>
        <v>875.9464212659766</v>
      </c>
      <c r="AN142" s="62">
        <f ca="1">AVERAGE(OFFSET($AM$3,0,0,'Données projet'!$E$10+1,1))-AVERAGE(OFFSET($H$3,0,0,'Données projet'!$E$10+1,1))</f>
        <v>289.36126704091066</v>
      </c>
      <c r="AO142" s="62">
        <f t="shared" si="144"/>
        <v>195.3674411454258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266</v>
      </c>
      <c r="BE142" s="14">
        <f>BD142*VLOOKUP('Données projet'!$B$11,Paramètres!$A$1:$I$89,3,0)*VLOOKUP('Données projet'!$B$11,Paramètres!$A$1:$I$89,5,0)</f>
        <v>240.67680000000001</v>
      </c>
      <c r="BF142" s="14">
        <f t="shared" si="145"/>
        <v>58.585123425001029</v>
      </c>
      <c r="BG142" s="22">
        <f t="shared" si="115"/>
        <v>521.21451663187679</v>
      </c>
      <c r="BH142" s="62">
        <f t="shared" si="116"/>
        <v>814.54784996521016</v>
      </c>
      <c r="BI142" s="62">
        <f ca="1">AVERAGE(OFFSET($BH$3,0,0,'Données projet'!$E$11+1,1))-AVERAGE(OFFSET($H$3,0,0,'Données projet'!$E$11+1,1))</f>
        <v>250.17147737747007</v>
      </c>
      <c r="BJ142" s="62">
        <f t="shared" si="146"/>
        <v>172.25613380618552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266</v>
      </c>
      <c r="BZ142" s="14">
        <f>BY142*VLOOKUP('Données projet'!$B$12,Paramètres!$A$1:$I$89,3,0)*VLOOKUP('Données projet'!$B$12,Paramètres!$A$1:$I$89,5,0)</f>
        <v>286.32240000000002</v>
      </c>
      <c r="CA142" s="14">
        <f t="shared" si="147"/>
        <v>68.301372478551315</v>
      </c>
      <c r="CB142" s="22">
        <f t="shared" si="118"/>
        <v>617.63640373347687</v>
      </c>
      <c r="CC142" s="62">
        <f t="shared" si="119"/>
        <v>910.96973706681024</v>
      </c>
      <c r="CD142" s="62">
        <f ca="1">AVERAGE(OFFSET($CC$3,0,0,'Données projet'!$E$12+1,1))-AVERAGE(OFFSET($H$3,0,0,'Données projet'!$E$12+1,1))</f>
        <v>311.71521576048417</v>
      </c>
      <c r="CE142" s="62">
        <f t="shared" si="148"/>
        <v>208.54841796921403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280.47174439810988</v>
      </c>
      <c r="CZ142" s="62">
        <f t="shared" si="150"/>
        <v>231.19476400361157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0.11774618035520272</v>
      </c>
      <c r="DH142" s="23">
        <f>EXP(-LN(2)/2)*DH141+(1-EXP(-LN(2)/2))/(LN(2)/2)*DB142*DE142*VLOOKUP('Données projet'!$B$13,Paramètres!$A$1:$I$89,3,0)*0.475*44/12</f>
        <v>8.2933306937509017E-16</v>
      </c>
      <c r="DI142" s="24">
        <f t="shared" si="123"/>
        <v>0.11774618035520355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6.7984728957526396E-14</v>
      </c>
      <c r="DQ142" s="14">
        <f t="shared" si="151"/>
        <v>1.0682447123141398E-12</v>
      </c>
      <c r="DR142" s="22">
        <f t="shared" si="124"/>
        <v>1.978932943548152E-12</v>
      </c>
      <c r="DS142" s="62">
        <f t="shared" si="125"/>
        <v>293.3333333333353</v>
      </c>
      <c r="DT142" s="62">
        <f ca="1">AVERAGE(OFFSET($DS$3,0,0,'Données projet'!$E$14+1,1))-AVERAGE(OFFSET($H$3,0,0,'Données projet'!$E$14+1,1))</f>
        <v>282.98919020956595</v>
      </c>
      <c r="DU142" s="62">
        <f t="shared" si="152"/>
        <v>182.23565317232647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3.2141263571279588E-16</v>
      </c>
      <c r="ED142" s="24">
        <f t="shared" si="126"/>
        <v>3.2141263571279588E-16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9">
        <f t="shared" si="110"/>
        <v>530.4697365612044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-5.6843418860808015E-13</v>
      </c>
      <c r="O143" s="14">
        <f>N143*VLOOKUP('Données projet'!$B$9,Paramètres!$A$1:$I$89,3,0)*VLOOKUP('Données projet'!$B$9,Paramètres!$A$1:$I$89,5,0)</f>
        <v>-2.6602720026858149E-13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172.62653085905839</v>
      </c>
      <c r="T143" s="62">
        <f t="shared" si="142"/>
        <v>103.0747749312265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266</v>
      </c>
      <c r="AJ143" s="14">
        <f>AI143*VLOOKUP('Données projet'!$B$10,Paramètres!$A$1:$I$89,3,0)*VLOOKUP('Données projet'!$B$10,Paramètres!$A$1:$I$89,5,0)</f>
        <v>269.72400000000005</v>
      </c>
      <c r="AK143" s="14">
        <f t="shared" si="143"/>
        <v>64.790691635967406</v>
      </c>
      <c r="AL143" s="22">
        <f t="shared" si="112"/>
        <v>582.61308793264323</v>
      </c>
      <c r="AM143" s="62">
        <f t="shared" si="113"/>
        <v>875.9464212659766</v>
      </c>
      <c r="AN143" s="62">
        <f ca="1">AVERAGE(OFFSET($AM$3,0,0,'Données projet'!$E$10+1,1))-AVERAGE(OFFSET($H$3,0,0,'Données projet'!$E$10+1,1))</f>
        <v>289.36126704091066</v>
      </c>
      <c r="AO143" s="62">
        <f t="shared" si="144"/>
        <v>195.3674411454258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266</v>
      </c>
      <c r="BE143" s="14">
        <f>BD143*VLOOKUP('Données projet'!$B$11,Paramètres!$A$1:$I$89,3,0)*VLOOKUP('Données projet'!$B$11,Paramètres!$A$1:$I$89,5,0)</f>
        <v>240.67680000000001</v>
      </c>
      <c r="BF143" s="14">
        <f t="shared" si="145"/>
        <v>58.585123425001029</v>
      </c>
      <c r="BG143" s="22">
        <f t="shared" si="115"/>
        <v>521.21451663187679</v>
      </c>
      <c r="BH143" s="62">
        <f t="shared" si="116"/>
        <v>814.54784996521016</v>
      </c>
      <c r="BI143" s="62">
        <f ca="1">AVERAGE(OFFSET($BH$3,0,0,'Données projet'!$E$11+1,1))-AVERAGE(OFFSET($H$3,0,0,'Données projet'!$E$11+1,1))</f>
        <v>250.17147737747007</v>
      </c>
      <c r="BJ143" s="62">
        <f t="shared" si="146"/>
        <v>172.25613380618552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266</v>
      </c>
      <c r="BZ143" s="14">
        <f>BY143*VLOOKUP('Données projet'!$B$12,Paramètres!$A$1:$I$89,3,0)*VLOOKUP('Données projet'!$B$12,Paramètres!$A$1:$I$89,5,0)</f>
        <v>286.32240000000002</v>
      </c>
      <c r="CA143" s="14">
        <f t="shared" si="147"/>
        <v>68.301372478551315</v>
      </c>
      <c r="CB143" s="22">
        <f t="shared" si="118"/>
        <v>617.63640373347687</v>
      </c>
      <c r="CC143" s="62">
        <f t="shared" si="119"/>
        <v>910.96973706681024</v>
      </c>
      <c r="CD143" s="62">
        <f ca="1">AVERAGE(OFFSET($CC$3,0,0,'Données projet'!$E$12+1,1))-AVERAGE(OFFSET($H$3,0,0,'Données projet'!$E$12+1,1))</f>
        <v>311.71521576048417</v>
      </c>
      <c r="CE143" s="62">
        <f t="shared" si="148"/>
        <v>208.54841796921403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280.47174439810988</v>
      </c>
      <c r="CZ143" s="62">
        <f t="shared" si="150"/>
        <v>231.19476400361157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0.1145264048613872</v>
      </c>
      <c r="DH143" s="23">
        <f>EXP(-LN(2)/2)*DH142+(1-EXP(-LN(2)/2))/(LN(2)/2)*DB143*DE143*VLOOKUP('Données projet'!$B$13,Paramètres!$A$1:$I$89,3,0)*0.475*44/12</f>
        <v>5.8642703721737972E-16</v>
      </c>
      <c r="DI143" s="24">
        <f t="shared" si="123"/>
        <v>0.11452640486138778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6.7984728957526396E-14</v>
      </c>
      <c r="DQ143" s="14">
        <f t="shared" si="151"/>
        <v>1.0682447123141398E-12</v>
      </c>
      <c r="DR143" s="22">
        <f t="shared" si="124"/>
        <v>1.978932943548152E-12</v>
      </c>
      <c r="DS143" s="62">
        <f t="shared" si="125"/>
        <v>293.3333333333353</v>
      </c>
      <c r="DT143" s="62">
        <f ca="1">AVERAGE(OFFSET($DS$3,0,0,'Données projet'!$E$14+1,1))-AVERAGE(OFFSET($H$3,0,0,'Données projet'!$E$14+1,1))</f>
        <v>282.98919020956595</v>
      </c>
      <c r="DU143" s="62">
        <f t="shared" si="152"/>
        <v>182.23565317232647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2.2727305427155947E-16</v>
      </c>
      <c r="ED143" s="24">
        <f t="shared" si="126"/>
        <v>2.2727305427155947E-16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9">
        <f t="shared" si="110"/>
        <v>532.3779434731116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-5.6843418860808015E-13</v>
      </c>
      <c r="O144" s="14">
        <f>N144*VLOOKUP('Données projet'!$B$9,Paramètres!$A$1:$I$89,3,0)*VLOOKUP('Données projet'!$B$9,Paramètres!$A$1:$I$89,5,0)</f>
        <v>-2.6602720026858149E-13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172.62653085905839</v>
      </c>
      <c r="T144" s="62">
        <f t="shared" si="142"/>
        <v>103.0747749312265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266</v>
      </c>
      <c r="AJ144" s="14">
        <f>AI144*VLOOKUP('Données projet'!$B$10,Paramètres!$A$1:$I$89,3,0)*VLOOKUP('Données projet'!$B$10,Paramètres!$A$1:$I$89,5,0)</f>
        <v>269.72400000000005</v>
      </c>
      <c r="AK144" s="14">
        <f t="shared" si="143"/>
        <v>64.790691635967406</v>
      </c>
      <c r="AL144" s="22">
        <f t="shared" si="112"/>
        <v>582.61308793264323</v>
      </c>
      <c r="AM144" s="62">
        <f t="shared" si="113"/>
        <v>875.9464212659766</v>
      </c>
      <c r="AN144" s="62">
        <f ca="1">AVERAGE(OFFSET($AM$3,0,0,'Données projet'!$E$10+1,1))-AVERAGE(OFFSET($H$3,0,0,'Données projet'!$E$10+1,1))</f>
        <v>289.36126704091066</v>
      </c>
      <c r="AO144" s="62">
        <f t="shared" si="144"/>
        <v>195.3674411454258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266</v>
      </c>
      <c r="BE144" s="14">
        <f>BD144*VLOOKUP('Données projet'!$B$11,Paramètres!$A$1:$I$89,3,0)*VLOOKUP('Données projet'!$B$11,Paramètres!$A$1:$I$89,5,0)</f>
        <v>240.67680000000001</v>
      </c>
      <c r="BF144" s="14">
        <f t="shared" si="145"/>
        <v>58.585123425001029</v>
      </c>
      <c r="BG144" s="22">
        <f t="shared" si="115"/>
        <v>521.21451663187679</v>
      </c>
      <c r="BH144" s="62">
        <f t="shared" si="116"/>
        <v>814.54784996521016</v>
      </c>
      <c r="BI144" s="62">
        <f ca="1">AVERAGE(OFFSET($BH$3,0,0,'Données projet'!$E$11+1,1))-AVERAGE(OFFSET($H$3,0,0,'Données projet'!$E$11+1,1))</f>
        <v>250.17147737747007</v>
      </c>
      <c r="BJ144" s="62">
        <f t="shared" si="146"/>
        <v>172.25613380618552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266</v>
      </c>
      <c r="BZ144" s="14">
        <f>BY144*VLOOKUP('Données projet'!$B$12,Paramètres!$A$1:$I$89,3,0)*VLOOKUP('Données projet'!$B$12,Paramètres!$A$1:$I$89,5,0)</f>
        <v>286.32240000000002</v>
      </c>
      <c r="CA144" s="14">
        <f t="shared" si="147"/>
        <v>68.301372478551315</v>
      </c>
      <c r="CB144" s="22">
        <f t="shared" si="118"/>
        <v>617.63640373347687</v>
      </c>
      <c r="CC144" s="62">
        <f t="shared" si="119"/>
        <v>910.96973706681024</v>
      </c>
      <c r="CD144" s="62">
        <f ca="1">AVERAGE(OFFSET($CC$3,0,0,'Données projet'!$E$12+1,1))-AVERAGE(OFFSET($H$3,0,0,'Données projet'!$E$12+1,1))</f>
        <v>311.71521576048417</v>
      </c>
      <c r="CE144" s="62">
        <f t="shared" si="148"/>
        <v>208.54841796921403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280.47174439810988</v>
      </c>
      <c r="CZ144" s="62">
        <f t="shared" si="150"/>
        <v>231.19476400361157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0.11139467429777068</v>
      </c>
      <c r="DH144" s="23">
        <f>EXP(-LN(2)/2)*DH143+(1-EXP(-LN(2)/2))/(LN(2)/2)*DB144*DE144*VLOOKUP('Données projet'!$B$13,Paramètres!$A$1:$I$89,3,0)*0.475*44/12</f>
        <v>4.1466653468754509E-16</v>
      </c>
      <c r="DI144" s="24">
        <f t="shared" si="123"/>
        <v>0.1113946742977711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6.7984728957526396E-14</v>
      </c>
      <c r="DQ144" s="14">
        <f t="shared" si="151"/>
        <v>1.0682447123141398E-12</v>
      </c>
      <c r="DR144" s="22">
        <f t="shared" si="124"/>
        <v>1.978932943548152E-12</v>
      </c>
      <c r="DS144" s="62">
        <f t="shared" si="125"/>
        <v>293.3333333333353</v>
      </c>
      <c r="DT144" s="62">
        <f ca="1">AVERAGE(OFFSET($DS$3,0,0,'Données projet'!$E$14+1,1))-AVERAGE(OFFSET($H$3,0,0,'Données projet'!$E$14+1,1))</f>
        <v>282.98919020956595</v>
      </c>
      <c r="DU144" s="62">
        <f t="shared" si="152"/>
        <v>182.23565317232647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1.6070631785639794E-16</v>
      </c>
      <c r="ED144" s="24">
        <f t="shared" si="126"/>
        <v>1.6070631785639794E-16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9">
        <f t="shared" si="110"/>
        <v>534.28585371217559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-5.6843418860808015E-13</v>
      </c>
      <c r="O145" s="14">
        <f>N145*VLOOKUP('Données projet'!$B$9,Paramètres!$A$1:$I$89,3,0)*VLOOKUP('Données projet'!$B$9,Paramètres!$A$1:$I$89,5,0)</f>
        <v>-2.6602720026858149E-13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172.62653085905839</v>
      </c>
      <c r="T145" s="62">
        <f t="shared" si="142"/>
        <v>103.0747749312265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266</v>
      </c>
      <c r="AJ145" s="14">
        <f>AI145*VLOOKUP('Données projet'!$B$10,Paramètres!$A$1:$I$89,3,0)*VLOOKUP('Données projet'!$B$10,Paramètres!$A$1:$I$89,5,0)</f>
        <v>269.72400000000005</v>
      </c>
      <c r="AK145" s="14">
        <f t="shared" si="143"/>
        <v>64.790691635967406</v>
      </c>
      <c r="AL145" s="22">
        <f t="shared" si="112"/>
        <v>582.61308793264323</v>
      </c>
      <c r="AM145" s="62">
        <f t="shared" si="113"/>
        <v>875.9464212659766</v>
      </c>
      <c r="AN145" s="62">
        <f ca="1">AVERAGE(OFFSET($AM$3,0,0,'Données projet'!$E$10+1,1))-AVERAGE(OFFSET($H$3,0,0,'Données projet'!$E$10+1,1))</f>
        <v>289.36126704091066</v>
      </c>
      <c r="AO145" s="62">
        <f t="shared" si="144"/>
        <v>195.3674411454258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266</v>
      </c>
      <c r="BE145" s="14">
        <f>BD145*VLOOKUP('Données projet'!$B$11,Paramètres!$A$1:$I$89,3,0)*VLOOKUP('Données projet'!$B$11,Paramètres!$A$1:$I$89,5,0)</f>
        <v>240.67680000000001</v>
      </c>
      <c r="BF145" s="14">
        <f t="shared" si="145"/>
        <v>58.585123425001029</v>
      </c>
      <c r="BG145" s="22">
        <f t="shared" si="115"/>
        <v>521.21451663187679</v>
      </c>
      <c r="BH145" s="62">
        <f t="shared" si="116"/>
        <v>814.54784996521016</v>
      </c>
      <c r="BI145" s="62">
        <f ca="1">AVERAGE(OFFSET($BH$3,0,0,'Données projet'!$E$11+1,1))-AVERAGE(OFFSET($H$3,0,0,'Données projet'!$E$11+1,1))</f>
        <v>250.17147737747007</v>
      </c>
      <c r="BJ145" s="62">
        <f t="shared" si="146"/>
        <v>172.25613380618552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266</v>
      </c>
      <c r="BZ145" s="14">
        <f>BY145*VLOOKUP('Données projet'!$B$12,Paramètres!$A$1:$I$89,3,0)*VLOOKUP('Données projet'!$B$12,Paramètres!$A$1:$I$89,5,0)</f>
        <v>286.32240000000002</v>
      </c>
      <c r="CA145" s="14">
        <f t="shared" si="147"/>
        <v>68.301372478551315</v>
      </c>
      <c r="CB145" s="22">
        <f t="shared" si="118"/>
        <v>617.63640373347687</v>
      </c>
      <c r="CC145" s="62">
        <f t="shared" si="119"/>
        <v>910.96973706681024</v>
      </c>
      <c r="CD145" s="62">
        <f ca="1">AVERAGE(OFFSET($CC$3,0,0,'Données projet'!$E$12+1,1))-AVERAGE(OFFSET($H$3,0,0,'Données projet'!$E$12+1,1))</f>
        <v>311.71521576048417</v>
      </c>
      <c r="CE145" s="62">
        <f t="shared" si="148"/>
        <v>208.54841796921403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280.47174439810988</v>
      </c>
      <c r="CZ145" s="62">
        <f t="shared" si="150"/>
        <v>231.19476400361157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0.10834858107110681</v>
      </c>
      <c r="DH145" s="23">
        <f>EXP(-LN(2)/2)*DH144+(1-EXP(-LN(2)/2))/(LN(2)/2)*DB145*DE145*VLOOKUP('Données projet'!$B$13,Paramètres!$A$1:$I$89,3,0)*0.475*44/12</f>
        <v>2.9321351860868986E-16</v>
      </c>
      <c r="DI145" s="24">
        <f t="shared" si="123"/>
        <v>0.10834858107110711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6.7984728957526396E-14</v>
      </c>
      <c r="DQ145" s="14">
        <f t="shared" si="151"/>
        <v>1.0682447123141398E-12</v>
      </c>
      <c r="DR145" s="22">
        <f t="shared" si="124"/>
        <v>1.978932943548152E-12</v>
      </c>
      <c r="DS145" s="62">
        <f t="shared" si="125"/>
        <v>293.3333333333353</v>
      </c>
      <c r="DT145" s="62">
        <f ca="1">AVERAGE(OFFSET($DS$3,0,0,'Données projet'!$E$14+1,1))-AVERAGE(OFFSET($H$3,0,0,'Données projet'!$E$14+1,1))</f>
        <v>282.98919020956595</v>
      </c>
      <c r="DU145" s="62">
        <f t="shared" si="152"/>
        <v>182.23565317232647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1.1363652713577973E-16</v>
      </c>
      <c r="ED145" s="24">
        <f t="shared" si="126"/>
        <v>1.1363652713577973E-16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9">
        <f t="shared" si="110"/>
        <v>536.19346960991265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-5.6843418860808015E-13</v>
      </c>
      <c r="O146" s="14">
        <f>N146*VLOOKUP('Données projet'!$B$9,Paramètres!$A$1:$I$89,3,0)*VLOOKUP('Données projet'!$B$9,Paramètres!$A$1:$I$89,5,0)</f>
        <v>-2.6602720026858149E-13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172.62653085905839</v>
      </c>
      <c r="T146" s="62">
        <f t="shared" si="142"/>
        <v>103.0747749312265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266</v>
      </c>
      <c r="AJ146" s="14">
        <f>AI146*VLOOKUP('Données projet'!$B$10,Paramètres!$A$1:$I$89,3,0)*VLOOKUP('Données projet'!$B$10,Paramètres!$A$1:$I$89,5,0)</f>
        <v>269.72400000000005</v>
      </c>
      <c r="AK146" s="14">
        <f t="shared" si="143"/>
        <v>64.790691635967406</v>
      </c>
      <c r="AL146" s="22">
        <f t="shared" si="112"/>
        <v>582.61308793264323</v>
      </c>
      <c r="AM146" s="62">
        <f t="shared" si="113"/>
        <v>875.9464212659766</v>
      </c>
      <c r="AN146" s="62">
        <f ca="1">AVERAGE(OFFSET($AM$3,0,0,'Données projet'!$E$10+1,1))-AVERAGE(OFFSET($H$3,0,0,'Données projet'!$E$10+1,1))</f>
        <v>289.36126704091066</v>
      </c>
      <c r="AO146" s="62">
        <f t="shared" si="144"/>
        <v>195.3674411454258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266</v>
      </c>
      <c r="BE146" s="14">
        <f>BD146*VLOOKUP('Données projet'!$B$11,Paramètres!$A$1:$I$89,3,0)*VLOOKUP('Données projet'!$B$11,Paramètres!$A$1:$I$89,5,0)</f>
        <v>240.67680000000001</v>
      </c>
      <c r="BF146" s="14">
        <f t="shared" si="145"/>
        <v>58.585123425001029</v>
      </c>
      <c r="BG146" s="22">
        <f t="shared" si="115"/>
        <v>521.21451663187679</v>
      </c>
      <c r="BH146" s="62">
        <f t="shared" si="116"/>
        <v>814.54784996521016</v>
      </c>
      <c r="BI146" s="62">
        <f ca="1">AVERAGE(OFFSET($BH$3,0,0,'Données projet'!$E$11+1,1))-AVERAGE(OFFSET($H$3,0,0,'Données projet'!$E$11+1,1))</f>
        <v>250.17147737747007</v>
      </c>
      <c r="BJ146" s="62">
        <f t="shared" si="146"/>
        <v>172.25613380618552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266</v>
      </c>
      <c r="BZ146" s="14">
        <f>BY146*VLOOKUP('Données projet'!$B$12,Paramètres!$A$1:$I$89,3,0)*VLOOKUP('Données projet'!$B$12,Paramètres!$A$1:$I$89,5,0)</f>
        <v>286.32240000000002</v>
      </c>
      <c r="CA146" s="14">
        <f t="shared" si="147"/>
        <v>68.301372478551315</v>
      </c>
      <c r="CB146" s="22">
        <f t="shared" si="118"/>
        <v>617.63640373347687</v>
      </c>
      <c r="CC146" s="62">
        <f t="shared" si="119"/>
        <v>910.96973706681024</v>
      </c>
      <c r="CD146" s="62">
        <f ca="1">AVERAGE(OFFSET($CC$3,0,0,'Données projet'!$E$12+1,1))-AVERAGE(OFFSET($H$3,0,0,'Données projet'!$E$12+1,1))</f>
        <v>311.71521576048417</v>
      </c>
      <c r="CE146" s="62">
        <f t="shared" si="148"/>
        <v>208.54841796921403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280.47174439810988</v>
      </c>
      <c r="CZ146" s="62">
        <f t="shared" si="150"/>
        <v>231.19476400361157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0.10538578342391315</v>
      </c>
      <c r="DH146" s="23">
        <f>EXP(-LN(2)/2)*DH145+(1-EXP(-LN(2)/2))/(LN(2)/2)*DB146*DE146*VLOOKUP('Données projet'!$B$13,Paramètres!$A$1:$I$89,3,0)*0.475*44/12</f>
        <v>2.0733326734377254E-16</v>
      </c>
      <c r="DI146" s="24">
        <f t="shared" si="123"/>
        <v>0.10538578342391336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6.7984728957526396E-14</v>
      </c>
      <c r="DQ146" s="14">
        <f t="shared" si="151"/>
        <v>1.0682447123141398E-12</v>
      </c>
      <c r="DR146" s="22">
        <f t="shared" si="124"/>
        <v>1.978932943548152E-12</v>
      </c>
      <c r="DS146" s="62">
        <f t="shared" si="125"/>
        <v>293.3333333333353</v>
      </c>
      <c r="DT146" s="62">
        <f ca="1">AVERAGE(OFFSET($DS$3,0,0,'Données projet'!$E$14+1,1))-AVERAGE(OFFSET($H$3,0,0,'Données projet'!$E$14+1,1))</f>
        <v>282.98919020956595</v>
      </c>
      <c r="DU146" s="62">
        <f t="shared" si="152"/>
        <v>182.23565317232647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8.035315892819897E-17</v>
      </c>
      <c r="ED146" s="24">
        <f t="shared" si="126"/>
        <v>8.035315892819897E-17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9">
        <f t="shared" si="110"/>
        <v>538.10079346334646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-5.6843418860808015E-13</v>
      </c>
      <c r="O147" s="14">
        <f>N147*VLOOKUP('Données projet'!$B$9,Paramètres!$A$1:$I$89,3,0)*VLOOKUP('Données projet'!$B$9,Paramètres!$A$1:$I$89,5,0)</f>
        <v>-2.6602720026858149E-13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172.62653085905839</v>
      </c>
      <c r="T147" s="62">
        <f t="shared" si="142"/>
        <v>103.0747749312265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266</v>
      </c>
      <c r="AJ147" s="14">
        <f>AI147*VLOOKUP('Données projet'!$B$10,Paramètres!$A$1:$I$89,3,0)*VLOOKUP('Données projet'!$B$10,Paramètres!$A$1:$I$89,5,0)</f>
        <v>269.72400000000005</v>
      </c>
      <c r="AK147" s="14">
        <f t="shared" si="143"/>
        <v>64.790691635967406</v>
      </c>
      <c r="AL147" s="22">
        <f t="shared" si="112"/>
        <v>582.61308793264323</v>
      </c>
      <c r="AM147" s="62">
        <f t="shared" si="113"/>
        <v>875.9464212659766</v>
      </c>
      <c r="AN147" s="62">
        <f ca="1">AVERAGE(OFFSET($AM$3,0,0,'Données projet'!$E$10+1,1))-AVERAGE(OFFSET($H$3,0,0,'Données projet'!$E$10+1,1))</f>
        <v>289.36126704091066</v>
      </c>
      <c r="AO147" s="62">
        <f t="shared" si="144"/>
        <v>195.3674411454258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266</v>
      </c>
      <c r="BE147" s="14">
        <f>BD147*VLOOKUP('Données projet'!$B$11,Paramètres!$A$1:$I$89,3,0)*VLOOKUP('Données projet'!$B$11,Paramètres!$A$1:$I$89,5,0)</f>
        <v>240.67680000000001</v>
      </c>
      <c r="BF147" s="14">
        <f t="shared" si="145"/>
        <v>58.585123425001029</v>
      </c>
      <c r="BG147" s="22">
        <f t="shared" si="115"/>
        <v>521.21451663187679</v>
      </c>
      <c r="BH147" s="62">
        <f t="shared" si="116"/>
        <v>814.54784996521016</v>
      </c>
      <c r="BI147" s="62">
        <f ca="1">AVERAGE(OFFSET($BH$3,0,0,'Données projet'!$E$11+1,1))-AVERAGE(OFFSET($H$3,0,0,'Données projet'!$E$11+1,1))</f>
        <v>250.17147737747007</v>
      </c>
      <c r="BJ147" s="62">
        <f t="shared" si="146"/>
        <v>172.25613380618552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266</v>
      </c>
      <c r="BZ147" s="14">
        <f>BY147*VLOOKUP('Données projet'!$B$12,Paramètres!$A$1:$I$89,3,0)*VLOOKUP('Données projet'!$B$12,Paramètres!$A$1:$I$89,5,0)</f>
        <v>286.32240000000002</v>
      </c>
      <c r="CA147" s="14">
        <f t="shared" si="147"/>
        <v>68.301372478551315</v>
      </c>
      <c r="CB147" s="22">
        <f t="shared" si="118"/>
        <v>617.63640373347687</v>
      </c>
      <c r="CC147" s="62">
        <f t="shared" si="119"/>
        <v>910.96973706681024</v>
      </c>
      <c r="CD147" s="62">
        <f ca="1">AVERAGE(OFFSET($CC$3,0,0,'Données projet'!$E$12+1,1))-AVERAGE(OFFSET($H$3,0,0,'Données projet'!$E$12+1,1))</f>
        <v>311.71521576048417</v>
      </c>
      <c r="CE147" s="62">
        <f t="shared" si="148"/>
        <v>208.54841796921403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280.47174439810988</v>
      </c>
      <c r="CZ147" s="62">
        <f t="shared" si="150"/>
        <v>231.19476400361157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0.10250400363418875</v>
      </c>
      <c r="DH147" s="23">
        <f>EXP(-LN(2)/2)*DH146+(1-EXP(-LN(2)/2))/(LN(2)/2)*DB147*DE147*VLOOKUP('Données projet'!$B$13,Paramètres!$A$1:$I$89,3,0)*0.475*44/12</f>
        <v>1.4660675930434493E-16</v>
      </c>
      <c r="DI147" s="24">
        <f t="shared" si="123"/>
        <v>0.10250400363418891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6.7984728957526396E-14</v>
      </c>
      <c r="DQ147" s="14">
        <f t="shared" si="151"/>
        <v>1.0682447123141398E-12</v>
      </c>
      <c r="DR147" s="22">
        <f t="shared" si="124"/>
        <v>1.978932943548152E-12</v>
      </c>
      <c r="DS147" s="62">
        <f t="shared" si="125"/>
        <v>293.3333333333353</v>
      </c>
      <c r="DT147" s="62">
        <f ca="1">AVERAGE(OFFSET($DS$3,0,0,'Données projet'!$E$14+1,1))-AVERAGE(OFFSET($H$3,0,0,'Données projet'!$E$14+1,1))</f>
        <v>282.98919020956595</v>
      </c>
      <c r="DU147" s="62">
        <f t="shared" si="152"/>
        <v>182.23565317232647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5.6818263567889866E-17</v>
      </c>
      <c r="ED147" s="24">
        <f t="shared" si="126"/>
        <v>5.6818263567889866E-17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9">
        <f t="shared" si="110"/>
        <v>540.00782753575277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-5.6843418860808015E-13</v>
      </c>
      <c r="O148" s="14">
        <f>N148*VLOOKUP('Données projet'!$B$9,Paramètres!$A$1:$I$89,3,0)*VLOOKUP('Données projet'!$B$9,Paramètres!$A$1:$I$89,5,0)</f>
        <v>-2.6602720026858149E-13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172.62653085905839</v>
      </c>
      <c r="T148" s="62">
        <f t="shared" si="142"/>
        <v>103.0747749312265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266</v>
      </c>
      <c r="AJ148" s="14">
        <f>AI148*VLOOKUP('Données projet'!$B$10,Paramètres!$A$1:$I$89,3,0)*VLOOKUP('Données projet'!$B$10,Paramètres!$A$1:$I$89,5,0)</f>
        <v>269.72400000000005</v>
      </c>
      <c r="AK148" s="14">
        <f t="shared" si="143"/>
        <v>64.790691635967406</v>
      </c>
      <c r="AL148" s="22">
        <f t="shared" si="112"/>
        <v>582.61308793264323</v>
      </c>
      <c r="AM148" s="62">
        <f t="shared" si="113"/>
        <v>875.9464212659766</v>
      </c>
      <c r="AN148" s="62">
        <f ca="1">AVERAGE(OFFSET($AM$3,0,0,'Données projet'!$E$10+1,1))-AVERAGE(OFFSET($H$3,0,0,'Données projet'!$E$10+1,1))</f>
        <v>289.36126704091066</v>
      </c>
      <c r="AO148" s="62">
        <f t="shared" si="144"/>
        <v>195.3674411454258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266</v>
      </c>
      <c r="BE148" s="14">
        <f>BD148*VLOOKUP('Données projet'!$B$11,Paramètres!$A$1:$I$89,3,0)*VLOOKUP('Données projet'!$B$11,Paramètres!$A$1:$I$89,5,0)</f>
        <v>240.67680000000001</v>
      </c>
      <c r="BF148" s="14">
        <f t="shared" si="145"/>
        <v>58.585123425001029</v>
      </c>
      <c r="BG148" s="22">
        <f t="shared" si="115"/>
        <v>521.21451663187679</v>
      </c>
      <c r="BH148" s="62">
        <f t="shared" si="116"/>
        <v>814.54784996521016</v>
      </c>
      <c r="BI148" s="62">
        <f ca="1">AVERAGE(OFFSET($BH$3,0,0,'Données projet'!$E$11+1,1))-AVERAGE(OFFSET($H$3,0,0,'Données projet'!$E$11+1,1))</f>
        <v>250.17147737747007</v>
      </c>
      <c r="BJ148" s="62">
        <f t="shared" si="146"/>
        <v>172.25613380618552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266</v>
      </c>
      <c r="BZ148" s="14">
        <f>BY148*VLOOKUP('Données projet'!$B$12,Paramètres!$A$1:$I$89,3,0)*VLOOKUP('Données projet'!$B$12,Paramètres!$A$1:$I$89,5,0)</f>
        <v>286.32240000000002</v>
      </c>
      <c r="CA148" s="14">
        <f t="shared" si="147"/>
        <v>68.301372478551315</v>
      </c>
      <c r="CB148" s="22">
        <f t="shared" si="118"/>
        <v>617.63640373347687</v>
      </c>
      <c r="CC148" s="62">
        <f t="shared" si="119"/>
        <v>910.96973706681024</v>
      </c>
      <c r="CD148" s="62">
        <f ca="1">AVERAGE(OFFSET($CC$3,0,0,'Données projet'!$E$12+1,1))-AVERAGE(OFFSET($H$3,0,0,'Données projet'!$E$12+1,1))</f>
        <v>311.71521576048417</v>
      </c>
      <c r="CE148" s="62">
        <f t="shared" si="148"/>
        <v>208.54841796921403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280.47174439810988</v>
      </c>
      <c r="CZ148" s="62">
        <f t="shared" si="150"/>
        <v>231.19476400361157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9.9701026264360587E-2</v>
      </c>
      <c r="DH148" s="23">
        <f>EXP(-LN(2)/2)*DH147+(1-EXP(-LN(2)/2))/(LN(2)/2)*DB148*DE148*VLOOKUP('Données projet'!$B$13,Paramètres!$A$1:$I$89,3,0)*0.475*44/12</f>
        <v>1.0366663367188627E-16</v>
      </c>
      <c r="DI148" s="24">
        <f t="shared" si="123"/>
        <v>9.9701026264360684E-2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6.7984728957526396E-14</v>
      </c>
      <c r="DQ148" s="14">
        <f t="shared" si="151"/>
        <v>1.0682447123141398E-12</v>
      </c>
      <c r="DR148" s="22">
        <f t="shared" si="124"/>
        <v>1.978932943548152E-12</v>
      </c>
      <c r="DS148" s="62">
        <f t="shared" si="125"/>
        <v>293.3333333333353</v>
      </c>
      <c r="DT148" s="62">
        <f ca="1">AVERAGE(OFFSET($DS$3,0,0,'Données projet'!$E$14+1,1))-AVERAGE(OFFSET($H$3,0,0,'Données projet'!$E$14+1,1))</f>
        <v>282.98919020956595</v>
      </c>
      <c r="DU148" s="62">
        <f t="shared" si="152"/>
        <v>182.23565317232647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4.0176579464099485E-17</v>
      </c>
      <c r="ED148" s="24">
        <f t="shared" si="126"/>
        <v>4.0176579464099485E-17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9">
        <f t="shared" si="110"/>
        <v>541.91457405738606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-5.6843418860808015E-13</v>
      </c>
      <c r="O149" s="14">
        <f>N149*VLOOKUP('Données projet'!$B$9,Paramètres!$A$1:$I$89,3,0)*VLOOKUP('Données projet'!$B$9,Paramètres!$A$1:$I$89,5,0)</f>
        <v>-2.6602720026858149E-13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172.62653085905839</v>
      </c>
      <c r="T149" s="62">
        <f t="shared" si="142"/>
        <v>103.0747749312265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266</v>
      </c>
      <c r="AJ149" s="14">
        <f>AI149*VLOOKUP('Données projet'!$B$10,Paramètres!$A$1:$I$89,3,0)*VLOOKUP('Données projet'!$B$10,Paramètres!$A$1:$I$89,5,0)</f>
        <v>269.72400000000005</v>
      </c>
      <c r="AK149" s="14">
        <f t="shared" si="143"/>
        <v>64.790691635967406</v>
      </c>
      <c r="AL149" s="22">
        <f t="shared" si="112"/>
        <v>582.61308793264323</v>
      </c>
      <c r="AM149" s="62">
        <f t="shared" si="113"/>
        <v>875.9464212659766</v>
      </c>
      <c r="AN149" s="62">
        <f ca="1">AVERAGE(OFFSET($AM$3,0,0,'Données projet'!$E$10+1,1))-AVERAGE(OFFSET($H$3,0,0,'Données projet'!$E$10+1,1))</f>
        <v>289.36126704091066</v>
      </c>
      <c r="AO149" s="62">
        <f t="shared" si="144"/>
        <v>195.3674411454258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266</v>
      </c>
      <c r="BE149" s="14">
        <f>BD149*VLOOKUP('Données projet'!$B$11,Paramètres!$A$1:$I$89,3,0)*VLOOKUP('Données projet'!$B$11,Paramètres!$A$1:$I$89,5,0)</f>
        <v>240.67680000000001</v>
      </c>
      <c r="BF149" s="14">
        <f t="shared" si="145"/>
        <v>58.585123425001029</v>
      </c>
      <c r="BG149" s="22">
        <f t="shared" si="115"/>
        <v>521.21451663187679</v>
      </c>
      <c r="BH149" s="62">
        <f t="shared" si="116"/>
        <v>814.54784996521016</v>
      </c>
      <c r="BI149" s="62">
        <f ca="1">AVERAGE(OFFSET($BH$3,0,0,'Données projet'!$E$11+1,1))-AVERAGE(OFFSET($H$3,0,0,'Données projet'!$E$11+1,1))</f>
        <v>250.17147737747007</v>
      </c>
      <c r="BJ149" s="62">
        <f t="shared" si="146"/>
        <v>172.25613380618552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266</v>
      </c>
      <c r="BZ149" s="14">
        <f>BY149*VLOOKUP('Données projet'!$B$12,Paramètres!$A$1:$I$89,3,0)*VLOOKUP('Données projet'!$B$12,Paramètres!$A$1:$I$89,5,0)</f>
        <v>286.32240000000002</v>
      </c>
      <c r="CA149" s="14">
        <f t="shared" si="147"/>
        <v>68.301372478551315</v>
      </c>
      <c r="CB149" s="22">
        <f t="shared" si="118"/>
        <v>617.63640373347687</v>
      </c>
      <c r="CC149" s="62">
        <f t="shared" si="119"/>
        <v>910.96973706681024</v>
      </c>
      <c r="CD149" s="62">
        <f ca="1">AVERAGE(OFFSET($CC$3,0,0,'Données projet'!$E$12+1,1))-AVERAGE(OFFSET($H$3,0,0,'Données projet'!$E$12+1,1))</f>
        <v>311.71521576048417</v>
      </c>
      <c r="CE149" s="62">
        <f t="shared" si="148"/>
        <v>208.54841796921403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280.47174439810988</v>
      </c>
      <c r="CZ149" s="62">
        <f t="shared" si="150"/>
        <v>231.19476400361157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9.6974696458112547E-2</v>
      </c>
      <c r="DH149" s="23">
        <f>EXP(-LN(2)/2)*DH148+(1-EXP(-LN(2)/2))/(LN(2)/2)*DB149*DE149*VLOOKUP('Données projet'!$B$13,Paramètres!$A$1:$I$89,3,0)*0.475*44/12</f>
        <v>7.3303379652172465E-17</v>
      </c>
      <c r="DI149" s="24">
        <f t="shared" si="123"/>
        <v>9.6974696458112616E-2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6.7984728957526396E-14</v>
      </c>
      <c r="DQ149" s="14">
        <f t="shared" si="151"/>
        <v>1.0682447123141398E-12</v>
      </c>
      <c r="DR149" s="22">
        <f t="shared" si="124"/>
        <v>1.978932943548152E-12</v>
      </c>
      <c r="DS149" s="62">
        <f t="shared" si="125"/>
        <v>293.3333333333353</v>
      </c>
      <c r="DT149" s="62">
        <f ca="1">AVERAGE(OFFSET($DS$3,0,0,'Données projet'!$E$14+1,1))-AVERAGE(OFFSET($H$3,0,0,'Données projet'!$E$14+1,1))</f>
        <v>282.98919020956595</v>
      </c>
      <c r="DU149" s="62">
        <f t="shared" si="152"/>
        <v>182.23565317232647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2.8409131783944933E-17</v>
      </c>
      <c r="ED149" s="24">
        <f t="shared" si="126"/>
        <v>2.8409131783944933E-17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9">
        <f t="shared" si="110"/>
        <v>543.82103522618308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-5.6843418860808015E-13</v>
      </c>
      <c r="O150" s="14">
        <f>N150*VLOOKUP('Données projet'!$B$9,Paramètres!$A$1:$I$89,3,0)*VLOOKUP('Données projet'!$B$9,Paramètres!$A$1:$I$89,5,0)</f>
        <v>-2.6602720026858149E-13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172.62653085905839</v>
      </c>
      <c r="T150" s="62">
        <f t="shared" si="142"/>
        <v>103.0747749312265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266</v>
      </c>
      <c r="AJ150" s="14">
        <f>AI150*VLOOKUP('Données projet'!$B$10,Paramètres!$A$1:$I$89,3,0)*VLOOKUP('Données projet'!$B$10,Paramètres!$A$1:$I$89,5,0)</f>
        <v>269.72400000000005</v>
      </c>
      <c r="AK150" s="14">
        <f t="shared" si="143"/>
        <v>64.790691635967406</v>
      </c>
      <c r="AL150" s="22">
        <f t="shared" si="112"/>
        <v>582.61308793264323</v>
      </c>
      <c r="AM150" s="62">
        <f t="shared" si="113"/>
        <v>875.9464212659766</v>
      </c>
      <c r="AN150" s="62">
        <f ca="1">AVERAGE(OFFSET($AM$3,0,0,'Données projet'!$E$10+1,1))-AVERAGE(OFFSET($H$3,0,0,'Données projet'!$E$10+1,1))</f>
        <v>289.36126704091066</v>
      </c>
      <c r="AO150" s="62">
        <f t="shared" si="144"/>
        <v>195.3674411454258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266</v>
      </c>
      <c r="BE150" s="14">
        <f>BD150*VLOOKUP('Données projet'!$B$11,Paramètres!$A$1:$I$89,3,0)*VLOOKUP('Données projet'!$B$11,Paramètres!$A$1:$I$89,5,0)</f>
        <v>240.67680000000001</v>
      </c>
      <c r="BF150" s="14">
        <f t="shared" si="145"/>
        <v>58.585123425001029</v>
      </c>
      <c r="BG150" s="22">
        <f t="shared" si="115"/>
        <v>521.21451663187679</v>
      </c>
      <c r="BH150" s="62">
        <f t="shared" si="116"/>
        <v>814.54784996521016</v>
      </c>
      <c r="BI150" s="62">
        <f ca="1">AVERAGE(OFFSET($BH$3,0,0,'Données projet'!$E$11+1,1))-AVERAGE(OFFSET($H$3,0,0,'Données projet'!$E$11+1,1))</f>
        <v>250.17147737747007</v>
      </c>
      <c r="BJ150" s="62">
        <f t="shared" si="146"/>
        <v>172.25613380618552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266</v>
      </c>
      <c r="BZ150" s="14">
        <f>BY150*VLOOKUP('Données projet'!$B$12,Paramètres!$A$1:$I$89,3,0)*VLOOKUP('Données projet'!$B$12,Paramètres!$A$1:$I$89,5,0)</f>
        <v>286.32240000000002</v>
      </c>
      <c r="CA150" s="14">
        <f t="shared" si="147"/>
        <v>68.301372478551315</v>
      </c>
      <c r="CB150" s="22">
        <f t="shared" si="118"/>
        <v>617.63640373347687</v>
      </c>
      <c r="CC150" s="62">
        <f t="shared" si="119"/>
        <v>910.96973706681024</v>
      </c>
      <c r="CD150" s="62">
        <f ca="1">AVERAGE(OFFSET($CC$3,0,0,'Données projet'!$E$12+1,1))-AVERAGE(OFFSET($H$3,0,0,'Données projet'!$E$12+1,1))</f>
        <v>311.71521576048417</v>
      </c>
      <c r="CE150" s="62">
        <f t="shared" si="148"/>
        <v>208.54841796921403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280.47174439810988</v>
      </c>
      <c r="CZ150" s="62">
        <f t="shared" si="150"/>
        <v>231.19476400361157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9.4322918283787818E-2</v>
      </c>
      <c r="DH150" s="23">
        <f>EXP(-LN(2)/2)*DH149+(1-EXP(-LN(2)/2))/(LN(2)/2)*DB150*DE150*VLOOKUP('Données projet'!$B$13,Paramètres!$A$1:$I$89,3,0)*0.475*44/12</f>
        <v>5.1833316835943136E-17</v>
      </c>
      <c r="DI150" s="24">
        <f t="shared" si="123"/>
        <v>9.4322918283787874E-2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6.7984728957526396E-14</v>
      </c>
      <c r="DQ150" s="14">
        <f t="shared" si="151"/>
        <v>1.0682447123141398E-12</v>
      </c>
      <c r="DR150" s="22">
        <f t="shared" si="124"/>
        <v>1.978932943548152E-12</v>
      </c>
      <c r="DS150" s="62">
        <f t="shared" si="125"/>
        <v>293.3333333333353</v>
      </c>
      <c r="DT150" s="62">
        <f ca="1">AVERAGE(OFFSET($DS$3,0,0,'Données projet'!$E$14+1,1))-AVERAGE(OFFSET($H$3,0,0,'Données projet'!$E$14+1,1))</f>
        <v>282.98919020956595</v>
      </c>
      <c r="DU150" s="62">
        <f t="shared" si="152"/>
        <v>182.23565317232647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2.0088289732049742E-17</v>
      </c>
      <c r="ED150" s="24">
        <f t="shared" si="126"/>
        <v>2.0088289732049742E-17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9">
        <f t="shared" si="110"/>
        <v>545.72721320844835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-5.6843418860808015E-13</v>
      </c>
      <c r="O151" s="14">
        <f>N151*VLOOKUP('Données projet'!$B$9,Paramètres!$A$1:$I$89,3,0)*VLOOKUP('Données projet'!$B$9,Paramètres!$A$1:$I$89,5,0)</f>
        <v>-2.6602720026858149E-13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172.62653085905839</v>
      </c>
      <c r="T151" s="62">
        <f t="shared" si="142"/>
        <v>103.0747749312265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266</v>
      </c>
      <c r="AJ151" s="14">
        <f>AI151*VLOOKUP('Données projet'!$B$10,Paramètres!$A$1:$I$89,3,0)*VLOOKUP('Données projet'!$B$10,Paramètres!$A$1:$I$89,5,0)</f>
        <v>269.72400000000005</v>
      </c>
      <c r="AK151" s="14">
        <f t="shared" si="143"/>
        <v>64.790691635967406</v>
      </c>
      <c r="AL151" s="22">
        <f t="shared" si="112"/>
        <v>582.61308793264323</v>
      </c>
      <c r="AM151" s="62">
        <f t="shared" si="113"/>
        <v>875.9464212659766</v>
      </c>
      <c r="AN151" s="62">
        <f ca="1">AVERAGE(OFFSET($AM$3,0,0,'Données projet'!$E$10+1,1))-AVERAGE(OFFSET($H$3,0,0,'Données projet'!$E$10+1,1))</f>
        <v>289.36126704091066</v>
      </c>
      <c r="AO151" s="62">
        <f t="shared" si="144"/>
        <v>195.3674411454258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266</v>
      </c>
      <c r="BE151" s="14">
        <f>BD151*VLOOKUP('Données projet'!$B$11,Paramètres!$A$1:$I$89,3,0)*VLOOKUP('Données projet'!$B$11,Paramètres!$A$1:$I$89,5,0)</f>
        <v>240.67680000000001</v>
      </c>
      <c r="BF151" s="14">
        <f t="shared" si="145"/>
        <v>58.585123425001029</v>
      </c>
      <c r="BG151" s="22">
        <f t="shared" si="115"/>
        <v>521.21451663187679</v>
      </c>
      <c r="BH151" s="62">
        <f t="shared" si="116"/>
        <v>814.54784996521016</v>
      </c>
      <c r="BI151" s="62">
        <f ca="1">AVERAGE(OFFSET($BH$3,0,0,'Données projet'!$E$11+1,1))-AVERAGE(OFFSET($H$3,0,0,'Données projet'!$E$11+1,1))</f>
        <v>250.17147737747007</v>
      </c>
      <c r="BJ151" s="62">
        <f t="shared" si="146"/>
        <v>172.25613380618552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266</v>
      </c>
      <c r="BZ151" s="14">
        <f>BY151*VLOOKUP('Données projet'!$B$12,Paramètres!$A$1:$I$89,3,0)*VLOOKUP('Données projet'!$B$12,Paramètres!$A$1:$I$89,5,0)</f>
        <v>286.32240000000002</v>
      </c>
      <c r="CA151" s="14">
        <f t="shared" si="147"/>
        <v>68.301372478551315</v>
      </c>
      <c r="CB151" s="22">
        <f t="shared" si="118"/>
        <v>617.63640373347687</v>
      </c>
      <c r="CC151" s="62">
        <f t="shared" si="119"/>
        <v>910.96973706681024</v>
      </c>
      <c r="CD151" s="62">
        <f ca="1">AVERAGE(OFFSET($CC$3,0,0,'Données projet'!$E$12+1,1))-AVERAGE(OFFSET($H$3,0,0,'Données projet'!$E$12+1,1))</f>
        <v>311.71521576048417</v>
      </c>
      <c r="CE151" s="62">
        <f t="shared" si="148"/>
        <v>208.54841796921403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280.47174439810988</v>
      </c>
      <c r="CZ151" s="62">
        <f t="shared" si="150"/>
        <v>231.19476400361157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9.1743653123090949E-2</v>
      </c>
      <c r="DH151" s="23">
        <f>EXP(-LN(2)/2)*DH150+(1-EXP(-LN(2)/2))/(LN(2)/2)*DB151*DE151*VLOOKUP('Données projet'!$B$13,Paramètres!$A$1:$I$89,3,0)*0.475*44/12</f>
        <v>3.6651689826086233E-17</v>
      </c>
      <c r="DI151" s="24">
        <f t="shared" si="123"/>
        <v>9.174365312309099E-2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6.7984728957526396E-14</v>
      </c>
      <c r="DQ151" s="14">
        <f t="shared" si="151"/>
        <v>1.0682447123141398E-12</v>
      </c>
      <c r="DR151" s="22">
        <f t="shared" si="124"/>
        <v>1.978932943548152E-12</v>
      </c>
      <c r="DS151" s="62">
        <f t="shared" si="125"/>
        <v>293.3333333333353</v>
      </c>
      <c r="DT151" s="62">
        <f ca="1">AVERAGE(OFFSET($DS$3,0,0,'Données projet'!$E$14+1,1))-AVERAGE(OFFSET($H$3,0,0,'Données projet'!$E$14+1,1))</f>
        <v>282.98919020956595</v>
      </c>
      <c r="DU151" s="62">
        <f t="shared" si="152"/>
        <v>182.23565317232647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1.4204565891972467E-17</v>
      </c>
      <c r="ED151" s="24">
        <f t="shared" si="126"/>
        <v>1.4204565891972467E-17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9">
        <f t="shared" si="110"/>
        <v>547.63311013951943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-5.6843418860808015E-13</v>
      </c>
      <c r="O152" s="14">
        <f>N152*VLOOKUP('Données projet'!$B$9,Paramètres!$A$1:$I$89,3,0)*VLOOKUP('Données projet'!$B$9,Paramètres!$A$1:$I$89,5,0)</f>
        <v>-2.6602720026858149E-13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172.62653085905839</v>
      </c>
      <c r="T152" s="62">
        <f t="shared" si="142"/>
        <v>103.0747749312265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266</v>
      </c>
      <c r="AJ152" s="14">
        <f>AI152*VLOOKUP('Données projet'!$B$10,Paramètres!$A$1:$I$89,3,0)*VLOOKUP('Données projet'!$B$10,Paramètres!$A$1:$I$89,5,0)</f>
        <v>269.72400000000005</v>
      </c>
      <c r="AK152" s="14">
        <f t="shared" si="143"/>
        <v>64.790691635967406</v>
      </c>
      <c r="AL152" s="22">
        <f t="shared" si="112"/>
        <v>582.61308793264323</v>
      </c>
      <c r="AM152" s="62">
        <f t="shared" si="113"/>
        <v>875.9464212659766</v>
      </c>
      <c r="AN152" s="62">
        <f ca="1">AVERAGE(OFFSET($AM$3,0,0,'Données projet'!$E$10+1,1))-AVERAGE(OFFSET($H$3,0,0,'Données projet'!$E$10+1,1))</f>
        <v>289.36126704091066</v>
      </c>
      <c r="AO152" s="62">
        <f t="shared" si="144"/>
        <v>195.3674411454258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266</v>
      </c>
      <c r="BE152" s="14">
        <f>BD152*VLOOKUP('Données projet'!$B$11,Paramètres!$A$1:$I$89,3,0)*VLOOKUP('Données projet'!$B$11,Paramètres!$A$1:$I$89,5,0)</f>
        <v>240.67680000000001</v>
      </c>
      <c r="BF152" s="14">
        <f t="shared" si="145"/>
        <v>58.585123425001029</v>
      </c>
      <c r="BG152" s="22">
        <f t="shared" si="115"/>
        <v>521.21451663187679</v>
      </c>
      <c r="BH152" s="62">
        <f t="shared" si="116"/>
        <v>814.54784996521016</v>
      </c>
      <c r="BI152" s="62">
        <f ca="1">AVERAGE(OFFSET($BH$3,0,0,'Données projet'!$E$11+1,1))-AVERAGE(OFFSET($H$3,0,0,'Données projet'!$E$11+1,1))</f>
        <v>250.17147737747007</v>
      </c>
      <c r="BJ152" s="62">
        <f t="shared" si="146"/>
        <v>172.25613380618552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266</v>
      </c>
      <c r="BZ152" s="14">
        <f>BY152*VLOOKUP('Données projet'!$B$12,Paramètres!$A$1:$I$89,3,0)*VLOOKUP('Données projet'!$B$12,Paramètres!$A$1:$I$89,5,0)</f>
        <v>286.32240000000002</v>
      </c>
      <c r="CA152" s="14">
        <f t="shared" si="147"/>
        <v>68.301372478551315</v>
      </c>
      <c r="CB152" s="22">
        <f t="shared" si="118"/>
        <v>617.63640373347687</v>
      </c>
      <c r="CC152" s="62">
        <f t="shared" si="119"/>
        <v>910.96973706681024</v>
      </c>
      <c r="CD152" s="62">
        <f ca="1">AVERAGE(OFFSET($CC$3,0,0,'Données projet'!$E$12+1,1))-AVERAGE(OFFSET($H$3,0,0,'Données projet'!$E$12+1,1))</f>
        <v>311.71521576048417</v>
      </c>
      <c r="CE152" s="62">
        <f t="shared" si="148"/>
        <v>208.54841796921403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280.47174439810988</v>
      </c>
      <c r="CZ152" s="62">
        <f t="shared" si="150"/>
        <v>231.19476400361157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8.9234918103850994E-2</v>
      </c>
      <c r="DH152" s="23">
        <f>EXP(-LN(2)/2)*DH151+(1-EXP(-LN(2)/2))/(LN(2)/2)*DB152*DE152*VLOOKUP('Données projet'!$B$13,Paramètres!$A$1:$I$89,3,0)*0.475*44/12</f>
        <v>2.5916658417971568E-17</v>
      </c>
      <c r="DI152" s="24">
        <f t="shared" si="123"/>
        <v>8.9234918103851021E-2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6.7984728957526396E-14</v>
      </c>
      <c r="DQ152" s="14">
        <f t="shared" si="151"/>
        <v>1.0682447123141398E-12</v>
      </c>
      <c r="DR152" s="22">
        <f t="shared" si="124"/>
        <v>1.978932943548152E-12</v>
      </c>
      <c r="DS152" s="62">
        <f t="shared" si="125"/>
        <v>293.3333333333353</v>
      </c>
      <c r="DT152" s="62">
        <f ca="1">AVERAGE(OFFSET($DS$3,0,0,'Données projet'!$E$14+1,1))-AVERAGE(OFFSET($H$3,0,0,'Données projet'!$E$14+1,1))</f>
        <v>282.98919020956595</v>
      </c>
      <c r="DU152" s="62">
        <f t="shared" si="152"/>
        <v>182.23565317232647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1.0044144866024871E-17</v>
      </c>
      <c r="ED152" s="24">
        <f t="shared" si="126"/>
        <v>1.0044144866024871E-17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9">
        <f t="shared" si="110"/>
        <v>549.53872812441477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-5.6843418860808015E-13</v>
      </c>
      <c r="O153" s="14">
        <f>N153*VLOOKUP('Données projet'!$B$9,Paramètres!$A$1:$I$89,3,0)*VLOOKUP('Données projet'!$B$9,Paramètres!$A$1:$I$89,5,0)</f>
        <v>-2.6602720026858149E-13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172.62653085905839</v>
      </c>
      <c r="T153" s="62">
        <f t="shared" si="142"/>
        <v>103.0747749312265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266</v>
      </c>
      <c r="AJ153" s="14">
        <f>AI153*VLOOKUP('Données projet'!$B$10,Paramètres!$A$1:$I$89,3,0)*VLOOKUP('Données projet'!$B$10,Paramètres!$A$1:$I$89,5,0)</f>
        <v>269.72400000000005</v>
      </c>
      <c r="AK153" s="14">
        <f t="shared" si="143"/>
        <v>64.790691635967406</v>
      </c>
      <c r="AL153" s="22">
        <f t="shared" si="112"/>
        <v>582.61308793264323</v>
      </c>
      <c r="AM153" s="62">
        <f t="shared" si="113"/>
        <v>875.9464212659766</v>
      </c>
      <c r="AN153" s="62">
        <f ca="1">AVERAGE(OFFSET($AM$3,0,0,'Données projet'!$E$10+1,1))-AVERAGE(OFFSET($H$3,0,0,'Données projet'!$E$10+1,1))</f>
        <v>289.36126704091066</v>
      </c>
      <c r="AO153" s="62">
        <f t="shared" si="144"/>
        <v>195.3674411454258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266</v>
      </c>
      <c r="BE153" s="14">
        <f>BD153*VLOOKUP('Données projet'!$B$11,Paramètres!$A$1:$I$89,3,0)*VLOOKUP('Données projet'!$B$11,Paramètres!$A$1:$I$89,5,0)</f>
        <v>240.67680000000001</v>
      </c>
      <c r="BF153" s="14">
        <f t="shared" si="145"/>
        <v>58.585123425001029</v>
      </c>
      <c r="BG153" s="22">
        <f t="shared" si="115"/>
        <v>521.21451663187679</v>
      </c>
      <c r="BH153" s="62">
        <f t="shared" si="116"/>
        <v>814.54784996521016</v>
      </c>
      <c r="BI153" s="62">
        <f ca="1">AVERAGE(OFFSET($BH$3,0,0,'Données projet'!$E$11+1,1))-AVERAGE(OFFSET($H$3,0,0,'Données projet'!$E$11+1,1))</f>
        <v>250.17147737747007</v>
      </c>
      <c r="BJ153" s="62">
        <f t="shared" si="146"/>
        <v>172.25613380618552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266</v>
      </c>
      <c r="BZ153" s="14">
        <f>BY153*VLOOKUP('Données projet'!$B$12,Paramètres!$A$1:$I$89,3,0)*VLOOKUP('Données projet'!$B$12,Paramètres!$A$1:$I$89,5,0)</f>
        <v>286.32240000000002</v>
      </c>
      <c r="CA153" s="14">
        <f t="shared" si="147"/>
        <v>68.301372478551315</v>
      </c>
      <c r="CB153" s="22">
        <f t="shared" si="118"/>
        <v>617.63640373347687</v>
      </c>
      <c r="CC153" s="62">
        <f t="shared" si="119"/>
        <v>910.96973706681024</v>
      </c>
      <c r="CD153" s="62">
        <f ca="1">AVERAGE(OFFSET($CC$3,0,0,'Données projet'!$E$12+1,1))-AVERAGE(OFFSET($H$3,0,0,'Données projet'!$E$12+1,1))</f>
        <v>311.71521576048417</v>
      </c>
      <c r="CE153" s="62">
        <f t="shared" si="148"/>
        <v>208.54841796921403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280.47174439810988</v>
      </c>
      <c r="CZ153" s="62">
        <f t="shared" si="150"/>
        <v>231.19476400361157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8.6794784575640799E-2</v>
      </c>
      <c r="DH153" s="23">
        <f>EXP(-LN(2)/2)*DH152+(1-EXP(-LN(2)/2))/(LN(2)/2)*DB153*DE153*VLOOKUP('Données projet'!$B$13,Paramètres!$A$1:$I$89,3,0)*0.475*44/12</f>
        <v>1.8325844913043116E-17</v>
      </c>
      <c r="DI153" s="24">
        <f t="shared" si="123"/>
        <v>8.6794784575640813E-2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6.7984728957526396E-14</v>
      </c>
      <c r="DQ153" s="14">
        <f t="shared" si="151"/>
        <v>1.0682447123141398E-12</v>
      </c>
      <c r="DR153" s="22">
        <f t="shared" si="124"/>
        <v>1.978932943548152E-12</v>
      </c>
      <c r="DS153" s="62">
        <f t="shared" si="125"/>
        <v>293.3333333333353</v>
      </c>
      <c r="DT153" s="62">
        <f ca="1">AVERAGE(OFFSET($DS$3,0,0,'Données projet'!$E$14+1,1))-AVERAGE(OFFSET($H$3,0,0,'Données projet'!$E$14+1,1))</f>
        <v>282.98919020956595</v>
      </c>
      <c r="DU153" s="62">
        <f t="shared" si="152"/>
        <v>182.23565317232647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7.1022829459862333E-18</v>
      </c>
      <c r="ED153" s="24">
        <f t="shared" si="126"/>
        <v>7.1022829459862333E-18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9">
        <f t="shared" si="110"/>
        <v>551.4440692384635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-5.6843418860808015E-13</v>
      </c>
      <c r="O154" s="14">
        <f>N154*VLOOKUP('Données projet'!$B$9,Paramètres!$A$1:$I$89,3,0)*VLOOKUP('Données projet'!$B$9,Paramètres!$A$1:$I$89,5,0)</f>
        <v>-2.6602720026858149E-13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172.62653085905839</v>
      </c>
      <c r="T154" s="62">
        <f t="shared" si="142"/>
        <v>103.0747749312265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266</v>
      </c>
      <c r="AJ154" s="14">
        <f>AI154*VLOOKUP('Données projet'!$B$10,Paramètres!$A$1:$I$89,3,0)*VLOOKUP('Données projet'!$B$10,Paramètres!$A$1:$I$89,5,0)</f>
        <v>269.72400000000005</v>
      </c>
      <c r="AK154" s="14">
        <f t="shared" ref="AK154:AK203" si="164">EXP(-1.0587+0.8836*LN(AJ154)+0.284)</f>
        <v>64.790691635967406</v>
      </c>
      <c r="AL154" s="22">
        <f t="shared" ref="AL154:AL203" si="165">(AJ154+AK154)*0.475*44/12</f>
        <v>582.61308793264323</v>
      </c>
      <c r="AM154" s="62">
        <f t="shared" si="113"/>
        <v>875.9464212659766</v>
      </c>
      <c r="AN154" s="62">
        <f ca="1">AVERAGE(OFFSET($AM$3,0,0,'Données projet'!$E$10+1,1))-AVERAGE(OFFSET($H$3,0,0,'Données projet'!$E$10+1,1))</f>
        <v>289.36126704091066</v>
      </c>
      <c r="AO154" s="62">
        <f t="shared" si="144"/>
        <v>195.3674411454258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266</v>
      </c>
      <c r="BE154" s="14">
        <f>BD154*VLOOKUP('Données projet'!$B$11,Paramètres!$A$1:$I$89,3,0)*VLOOKUP('Données projet'!$B$11,Paramètres!$A$1:$I$89,5,0)</f>
        <v>240.67680000000001</v>
      </c>
      <c r="BF154" s="14">
        <f t="shared" ref="BF154:BF203" si="167">EXP(-1.0587+0.8836*LN(BE154)+0.284)</f>
        <v>58.585123425001029</v>
      </c>
      <c r="BG154" s="22">
        <f t="shared" ref="BG154:BG203" si="168">(BE154+BF154)*0.475*44/12</f>
        <v>521.21451663187679</v>
      </c>
      <c r="BH154" s="62">
        <f t="shared" si="116"/>
        <v>814.54784996521016</v>
      </c>
      <c r="BI154" s="62">
        <f ca="1">AVERAGE(OFFSET($BH$3,0,0,'Données projet'!$E$11+1,1))-AVERAGE(OFFSET($H$3,0,0,'Données projet'!$E$11+1,1))</f>
        <v>250.17147737747007</v>
      </c>
      <c r="BJ154" s="62">
        <f t="shared" si="146"/>
        <v>172.25613380618552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266</v>
      </c>
      <c r="BZ154" s="14">
        <f>BY154*VLOOKUP('Données projet'!$B$12,Paramètres!$A$1:$I$89,3,0)*VLOOKUP('Données projet'!$B$12,Paramètres!$A$1:$I$89,5,0)</f>
        <v>286.32240000000002</v>
      </c>
      <c r="CA154" s="14">
        <f t="shared" ref="CA154:CA203" si="170">EXP(-1.0587+0.8836*LN(BZ154)+0.284)</f>
        <v>68.301372478551315</v>
      </c>
      <c r="CB154" s="22">
        <f t="shared" ref="CB154:CB203" si="171">(BZ154+CA154)*0.475*44/12</f>
        <v>617.63640373347687</v>
      </c>
      <c r="CC154" s="62">
        <f t="shared" si="119"/>
        <v>910.96973706681024</v>
      </c>
      <c r="CD154" s="62">
        <f ca="1">AVERAGE(OFFSET($CC$3,0,0,'Données projet'!$E$12+1,1))-AVERAGE(OFFSET($H$3,0,0,'Données projet'!$E$12+1,1))</f>
        <v>311.71521576048417</v>
      </c>
      <c r="CE154" s="62">
        <f t="shared" si="148"/>
        <v>208.54841796921403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280.47174439810988</v>
      </c>
      <c r="CZ154" s="62">
        <f t="shared" si="150"/>
        <v>231.19476400361157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8.4421376627080547E-2</v>
      </c>
      <c r="DH154" s="23">
        <f>EXP(-LN(2)/2)*DH153+(1-EXP(-LN(2)/2))/(LN(2)/2)*DB154*DE154*VLOOKUP('Données projet'!$B$13,Paramètres!$A$1:$I$89,3,0)*0.475*44/12</f>
        <v>1.2958329208985784E-17</v>
      </c>
      <c r="DI154" s="24">
        <f t="shared" ref="DI154:DI203" si="175">SUM(DF154:DH154)</f>
        <v>8.442137662708056E-2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6.7984728957526396E-14</v>
      </c>
      <c r="DQ154" s="14">
        <f t="shared" ref="DQ154:DQ203" si="176">EXP(-1.0587+0.8836*LN(DP154)+0.284)</f>
        <v>1.0682447123141398E-12</v>
      </c>
      <c r="DR154" s="22">
        <f t="shared" ref="DR154:DR203" si="177">(DP154+DQ154)*0.475*44/12</f>
        <v>1.978932943548152E-12</v>
      </c>
      <c r="DS154" s="62">
        <f t="shared" si="125"/>
        <v>293.3333333333353</v>
      </c>
      <c r="DT154" s="62">
        <f ca="1">AVERAGE(OFFSET($DS$3,0,0,'Données projet'!$E$14+1,1))-AVERAGE(OFFSET($H$3,0,0,'Données projet'!$E$14+1,1))</f>
        <v>282.98919020956595</v>
      </c>
      <c r="DU154" s="62">
        <f t="shared" si="152"/>
        <v>182.23565317232647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5.0220724330124356E-18</v>
      </c>
      <c r="ED154" s="24">
        <f t="shared" ref="ED154:ED203" si="178">SUM(EA154:EC154)</f>
        <v>5.0220724330124356E-18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9">
        <f t="shared" si="110"/>
        <v>553.34913552791727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-5.6843418860808015E-13</v>
      </c>
      <c r="O155" s="14">
        <f>N155*VLOOKUP('Données projet'!$B$9,Paramètres!$A$1:$I$89,3,0)*VLOOKUP('Données projet'!$B$9,Paramètres!$A$1:$I$89,5,0)</f>
        <v>-2.6602720026858149E-13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172.62653085905839</v>
      </c>
      <c r="T155" s="62">
        <f t="shared" si="142"/>
        <v>103.0747749312265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266</v>
      </c>
      <c r="AJ155" s="14">
        <f>AI155*VLOOKUP('Données projet'!$B$10,Paramètres!$A$1:$I$89,3,0)*VLOOKUP('Données projet'!$B$10,Paramètres!$A$1:$I$89,5,0)</f>
        <v>269.72400000000005</v>
      </c>
      <c r="AK155" s="14">
        <f t="shared" si="164"/>
        <v>64.790691635967406</v>
      </c>
      <c r="AL155" s="22">
        <f t="shared" si="165"/>
        <v>582.61308793264323</v>
      </c>
      <c r="AM155" s="62">
        <f t="shared" si="113"/>
        <v>875.9464212659766</v>
      </c>
      <c r="AN155" s="62">
        <f ca="1">AVERAGE(OFFSET($AM$3,0,0,'Données projet'!$E$10+1,1))-AVERAGE(OFFSET($H$3,0,0,'Données projet'!$E$10+1,1))</f>
        <v>289.36126704091066</v>
      </c>
      <c r="AO155" s="62">
        <f t="shared" si="144"/>
        <v>195.3674411454258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266</v>
      </c>
      <c r="BE155" s="14">
        <f>BD155*VLOOKUP('Données projet'!$B$11,Paramètres!$A$1:$I$89,3,0)*VLOOKUP('Données projet'!$B$11,Paramètres!$A$1:$I$89,5,0)</f>
        <v>240.67680000000001</v>
      </c>
      <c r="BF155" s="14">
        <f t="shared" si="167"/>
        <v>58.585123425001029</v>
      </c>
      <c r="BG155" s="22">
        <f t="shared" si="168"/>
        <v>521.21451663187679</v>
      </c>
      <c r="BH155" s="62">
        <f t="shared" si="116"/>
        <v>814.54784996521016</v>
      </c>
      <c r="BI155" s="62">
        <f ca="1">AVERAGE(OFFSET($BH$3,0,0,'Données projet'!$E$11+1,1))-AVERAGE(OFFSET($H$3,0,0,'Données projet'!$E$11+1,1))</f>
        <v>250.17147737747007</v>
      </c>
      <c r="BJ155" s="62">
        <f t="shared" si="146"/>
        <v>172.25613380618552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266</v>
      </c>
      <c r="BZ155" s="14">
        <f>BY155*VLOOKUP('Données projet'!$B$12,Paramètres!$A$1:$I$89,3,0)*VLOOKUP('Données projet'!$B$12,Paramètres!$A$1:$I$89,5,0)</f>
        <v>286.32240000000002</v>
      </c>
      <c r="CA155" s="14">
        <f t="shared" si="170"/>
        <v>68.301372478551315</v>
      </c>
      <c r="CB155" s="22">
        <f t="shared" si="171"/>
        <v>617.63640373347687</v>
      </c>
      <c r="CC155" s="62">
        <f t="shared" si="119"/>
        <v>910.96973706681024</v>
      </c>
      <c r="CD155" s="62">
        <f ca="1">AVERAGE(OFFSET($CC$3,0,0,'Données projet'!$E$12+1,1))-AVERAGE(OFFSET($H$3,0,0,'Données projet'!$E$12+1,1))</f>
        <v>311.71521576048417</v>
      </c>
      <c r="CE155" s="62">
        <f t="shared" si="148"/>
        <v>208.54841796921403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280.47174439810988</v>
      </c>
      <c r="CZ155" s="62">
        <f t="shared" si="150"/>
        <v>231.19476400361157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8.2112869643685776E-2</v>
      </c>
      <c r="DH155" s="23">
        <f>EXP(-LN(2)/2)*DH154+(1-EXP(-LN(2)/2))/(LN(2)/2)*DB155*DE155*VLOOKUP('Données projet'!$B$13,Paramètres!$A$1:$I$89,3,0)*0.475*44/12</f>
        <v>9.1629224565215581E-18</v>
      </c>
      <c r="DI155" s="24">
        <f t="shared" si="175"/>
        <v>8.211286964368579E-2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6.7984728957526396E-14</v>
      </c>
      <c r="DQ155" s="14">
        <f t="shared" si="176"/>
        <v>1.0682447123141398E-12</v>
      </c>
      <c r="DR155" s="22">
        <f t="shared" si="177"/>
        <v>1.978932943548152E-12</v>
      </c>
      <c r="DS155" s="62">
        <f t="shared" si="125"/>
        <v>293.3333333333353</v>
      </c>
      <c r="DT155" s="62">
        <f ca="1">AVERAGE(OFFSET($DS$3,0,0,'Données projet'!$E$14+1,1))-AVERAGE(OFFSET($H$3,0,0,'Données projet'!$E$14+1,1))</f>
        <v>282.98919020956595</v>
      </c>
      <c r="DU155" s="62">
        <f t="shared" si="152"/>
        <v>182.23565317232647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3.5511414729931166E-18</v>
      </c>
      <c r="ED155" s="24">
        <f t="shared" si="178"/>
        <v>3.5511414729931166E-18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9">
        <f t="shared" si="110"/>
        <v>555.25392901054693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-5.6843418860808015E-13</v>
      </c>
      <c r="O156" s="14">
        <f>N156*VLOOKUP('Données projet'!$B$9,Paramètres!$A$1:$I$89,3,0)*VLOOKUP('Données projet'!$B$9,Paramètres!$A$1:$I$89,5,0)</f>
        <v>-2.6602720026858149E-13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172.62653085905839</v>
      </c>
      <c r="T156" s="62">
        <f t="shared" si="142"/>
        <v>103.0747749312265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266</v>
      </c>
      <c r="AJ156" s="14">
        <f>AI156*VLOOKUP('Données projet'!$B$10,Paramètres!$A$1:$I$89,3,0)*VLOOKUP('Données projet'!$B$10,Paramètres!$A$1:$I$89,5,0)</f>
        <v>269.72400000000005</v>
      </c>
      <c r="AK156" s="14">
        <f t="shared" si="164"/>
        <v>64.790691635967406</v>
      </c>
      <c r="AL156" s="22">
        <f t="shared" si="165"/>
        <v>582.61308793264323</v>
      </c>
      <c r="AM156" s="62">
        <f t="shared" si="113"/>
        <v>875.9464212659766</v>
      </c>
      <c r="AN156" s="62">
        <f ca="1">AVERAGE(OFFSET($AM$3,0,0,'Données projet'!$E$10+1,1))-AVERAGE(OFFSET($H$3,0,0,'Données projet'!$E$10+1,1))</f>
        <v>289.36126704091066</v>
      </c>
      <c r="AO156" s="62">
        <f t="shared" si="144"/>
        <v>195.3674411454258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266</v>
      </c>
      <c r="BE156" s="14">
        <f>BD156*VLOOKUP('Données projet'!$B$11,Paramètres!$A$1:$I$89,3,0)*VLOOKUP('Données projet'!$B$11,Paramètres!$A$1:$I$89,5,0)</f>
        <v>240.67680000000001</v>
      </c>
      <c r="BF156" s="14">
        <f t="shared" si="167"/>
        <v>58.585123425001029</v>
      </c>
      <c r="BG156" s="22">
        <f t="shared" si="168"/>
        <v>521.21451663187679</v>
      </c>
      <c r="BH156" s="62">
        <f t="shared" si="116"/>
        <v>814.54784996521016</v>
      </c>
      <c r="BI156" s="62">
        <f ca="1">AVERAGE(OFFSET($BH$3,0,0,'Données projet'!$E$11+1,1))-AVERAGE(OFFSET($H$3,0,0,'Données projet'!$E$11+1,1))</f>
        <v>250.17147737747007</v>
      </c>
      <c r="BJ156" s="62">
        <f t="shared" si="146"/>
        <v>172.25613380618552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266</v>
      </c>
      <c r="BZ156" s="14">
        <f>BY156*VLOOKUP('Données projet'!$B$12,Paramètres!$A$1:$I$89,3,0)*VLOOKUP('Données projet'!$B$12,Paramètres!$A$1:$I$89,5,0)</f>
        <v>286.32240000000002</v>
      </c>
      <c r="CA156" s="14">
        <f t="shared" si="170"/>
        <v>68.301372478551315</v>
      </c>
      <c r="CB156" s="22">
        <f t="shared" si="171"/>
        <v>617.63640373347687</v>
      </c>
      <c r="CC156" s="62">
        <f t="shared" si="119"/>
        <v>910.96973706681024</v>
      </c>
      <c r="CD156" s="62">
        <f ca="1">AVERAGE(OFFSET($CC$3,0,0,'Données projet'!$E$12+1,1))-AVERAGE(OFFSET($H$3,0,0,'Données projet'!$E$12+1,1))</f>
        <v>311.71521576048417</v>
      </c>
      <c r="CE156" s="62">
        <f t="shared" si="148"/>
        <v>208.54841796921403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280.47174439810988</v>
      </c>
      <c r="CZ156" s="62">
        <f t="shared" si="150"/>
        <v>231.19476400361157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7.9867488905151052E-2</v>
      </c>
      <c r="DH156" s="23">
        <f>EXP(-LN(2)/2)*DH155+(1-EXP(-LN(2)/2))/(LN(2)/2)*DB156*DE156*VLOOKUP('Données projet'!$B$13,Paramètres!$A$1:$I$89,3,0)*0.475*44/12</f>
        <v>6.479164604492892E-18</v>
      </c>
      <c r="DI156" s="24">
        <f t="shared" si="175"/>
        <v>7.9867488905151052E-2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6.7984728957526396E-14</v>
      </c>
      <c r="DQ156" s="14">
        <f t="shared" si="176"/>
        <v>1.0682447123141398E-12</v>
      </c>
      <c r="DR156" s="22">
        <f t="shared" si="177"/>
        <v>1.978932943548152E-12</v>
      </c>
      <c r="DS156" s="62">
        <f t="shared" si="125"/>
        <v>293.3333333333353</v>
      </c>
      <c r="DT156" s="62">
        <f ca="1">AVERAGE(OFFSET($DS$3,0,0,'Données projet'!$E$14+1,1))-AVERAGE(OFFSET($H$3,0,0,'Données projet'!$E$14+1,1))</f>
        <v>282.98919020956595</v>
      </c>
      <c r="DU156" s="62">
        <f t="shared" si="152"/>
        <v>182.23565317232647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2.5110362165062178E-18</v>
      </c>
      <c r="ED156" s="24">
        <f t="shared" si="178"/>
        <v>2.5110362165062178E-18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9">
        <f t="shared" si="110"/>
        <v>557.1584516762224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-5.6843418860808015E-13</v>
      </c>
      <c r="O157" s="14">
        <f>N157*VLOOKUP('Données projet'!$B$9,Paramètres!$A$1:$I$89,3,0)*VLOOKUP('Données projet'!$B$9,Paramètres!$A$1:$I$89,5,0)</f>
        <v>-2.6602720026858149E-13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172.62653085905839</v>
      </c>
      <c r="T157" s="62">
        <f t="shared" si="142"/>
        <v>103.0747749312265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266</v>
      </c>
      <c r="AJ157" s="14">
        <f>AI157*VLOOKUP('Données projet'!$B$10,Paramètres!$A$1:$I$89,3,0)*VLOOKUP('Données projet'!$B$10,Paramètres!$A$1:$I$89,5,0)</f>
        <v>269.72400000000005</v>
      </c>
      <c r="AK157" s="14">
        <f t="shared" si="164"/>
        <v>64.790691635967406</v>
      </c>
      <c r="AL157" s="22">
        <f t="shared" si="165"/>
        <v>582.61308793264323</v>
      </c>
      <c r="AM157" s="62">
        <f t="shared" si="113"/>
        <v>875.9464212659766</v>
      </c>
      <c r="AN157" s="62">
        <f ca="1">AVERAGE(OFFSET($AM$3,0,0,'Données projet'!$E$10+1,1))-AVERAGE(OFFSET($H$3,0,0,'Données projet'!$E$10+1,1))</f>
        <v>289.36126704091066</v>
      </c>
      <c r="AO157" s="62">
        <f t="shared" si="144"/>
        <v>195.3674411454258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266</v>
      </c>
      <c r="BE157" s="14">
        <f>BD157*VLOOKUP('Données projet'!$B$11,Paramètres!$A$1:$I$89,3,0)*VLOOKUP('Données projet'!$B$11,Paramètres!$A$1:$I$89,5,0)</f>
        <v>240.67680000000001</v>
      </c>
      <c r="BF157" s="14">
        <f t="shared" si="167"/>
        <v>58.585123425001029</v>
      </c>
      <c r="BG157" s="22">
        <f t="shared" si="168"/>
        <v>521.21451663187679</v>
      </c>
      <c r="BH157" s="62">
        <f t="shared" si="116"/>
        <v>814.54784996521016</v>
      </c>
      <c r="BI157" s="62">
        <f ca="1">AVERAGE(OFFSET($BH$3,0,0,'Données projet'!$E$11+1,1))-AVERAGE(OFFSET($H$3,0,0,'Données projet'!$E$11+1,1))</f>
        <v>250.17147737747007</v>
      </c>
      <c r="BJ157" s="62">
        <f t="shared" si="146"/>
        <v>172.25613380618552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266</v>
      </c>
      <c r="BZ157" s="14">
        <f>BY157*VLOOKUP('Données projet'!$B$12,Paramètres!$A$1:$I$89,3,0)*VLOOKUP('Données projet'!$B$12,Paramètres!$A$1:$I$89,5,0)</f>
        <v>286.32240000000002</v>
      </c>
      <c r="CA157" s="14">
        <f t="shared" si="170"/>
        <v>68.301372478551315</v>
      </c>
      <c r="CB157" s="22">
        <f t="shared" si="171"/>
        <v>617.63640373347687</v>
      </c>
      <c r="CC157" s="62">
        <f t="shared" si="119"/>
        <v>910.96973706681024</v>
      </c>
      <c r="CD157" s="62">
        <f ca="1">AVERAGE(OFFSET($CC$3,0,0,'Données projet'!$E$12+1,1))-AVERAGE(OFFSET($H$3,0,0,'Données projet'!$E$12+1,1))</f>
        <v>311.71521576048417</v>
      </c>
      <c r="CE157" s="62">
        <f t="shared" si="148"/>
        <v>208.54841796921403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280.47174439810988</v>
      </c>
      <c r="CZ157" s="62">
        <f t="shared" si="150"/>
        <v>231.19476400361157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7.7683508220990988E-2</v>
      </c>
      <c r="DH157" s="23">
        <f>EXP(-LN(2)/2)*DH156+(1-EXP(-LN(2)/2))/(LN(2)/2)*DB157*DE157*VLOOKUP('Données projet'!$B$13,Paramètres!$A$1:$I$89,3,0)*0.475*44/12</f>
        <v>4.5814612282607791E-18</v>
      </c>
      <c r="DI157" s="24">
        <f t="shared" si="175"/>
        <v>7.7683508220990988E-2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6.7984728957526396E-14</v>
      </c>
      <c r="DQ157" s="14">
        <f t="shared" si="176"/>
        <v>1.0682447123141398E-12</v>
      </c>
      <c r="DR157" s="22">
        <f t="shared" si="177"/>
        <v>1.978932943548152E-12</v>
      </c>
      <c r="DS157" s="62">
        <f t="shared" si="125"/>
        <v>293.3333333333353</v>
      </c>
      <c r="DT157" s="62">
        <f ca="1">AVERAGE(OFFSET($DS$3,0,0,'Données projet'!$E$14+1,1))-AVERAGE(OFFSET($H$3,0,0,'Données projet'!$E$14+1,1))</f>
        <v>282.98919020956595</v>
      </c>
      <c r="DU157" s="62">
        <f t="shared" si="152"/>
        <v>182.23565317232647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1.7755707364965583E-18</v>
      </c>
      <c r="ED157" s="24">
        <f t="shared" si="178"/>
        <v>1.7755707364965583E-18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9">
        <f t="shared" si="110"/>
        <v>559.06270548747648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-5.6843418860808015E-13</v>
      </c>
      <c r="O158" s="14">
        <f>N158*VLOOKUP('Données projet'!$B$9,Paramètres!$A$1:$I$89,3,0)*VLOOKUP('Données projet'!$B$9,Paramètres!$A$1:$I$89,5,0)</f>
        <v>-2.6602720026858149E-13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172.62653085905839</v>
      </c>
      <c r="T158" s="62">
        <f t="shared" si="142"/>
        <v>103.0747749312265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266</v>
      </c>
      <c r="AJ158" s="14">
        <f>AI158*VLOOKUP('Données projet'!$B$10,Paramètres!$A$1:$I$89,3,0)*VLOOKUP('Données projet'!$B$10,Paramètres!$A$1:$I$89,5,0)</f>
        <v>269.72400000000005</v>
      </c>
      <c r="AK158" s="14">
        <f t="shared" si="164"/>
        <v>64.790691635967406</v>
      </c>
      <c r="AL158" s="22">
        <f t="shared" si="165"/>
        <v>582.61308793264323</v>
      </c>
      <c r="AM158" s="62">
        <f t="shared" si="113"/>
        <v>875.9464212659766</v>
      </c>
      <c r="AN158" s="62">
        <f ca="1">AVERAGE(OFFSET($AM$3,0,0,'Données projet'!$E$10+1,1))-AVERAGE(OFFSET($H$3,0,0,'Données projet'!$E$10+1,1))</f>
        <v>289.36126704091066</v>
      </c>
      <c r="AO158" s="62">
        <f t="shared" si="144"/>
        <v>195.3674411454258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266</v>
      </c>
      <c r="BE158" s="14">
        <f>BD158*VLOOKUP('Données projet'!$B$11,Paramètres!$A$1:$I$89,3,0)*VLOOKUP('Données projet'!$B$11,Paramètres!$A$1:$I$89,5,0)</f>
        <v>240.67680000000001</v>
      </c>
      <c r="BF158" s="14">
        <f t="shared" si="167"/>
        <v>58.585123425001029</v>
      </c>
      <c r="BG158" s="22">
        <f t="shared" si="168"/>
        <v>521.21451663187679</v>
      </c>
      <c r="BH158" s="62">
        <f t="shared" si="116"/>
        <v>814.54784996521016</v>
      </c>
      <c r="BI158" s="62">
        <f ca="1">AVERAGE(OFFSET($BH$3,0,0,'Données projet'!$E$11+1,1))-AVERAGE(OFFSET($H$3,0,0,'Données projet'!$E$11+1,1))</f>
        <v>250.17147737747007</v>
      </c>
      <c r="BJ158" s="62">
        <f t="shared" si="146"/>
        <v>172.25613380618552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266</v>
      </c>
      <c r="BZ158" s="14">
        <f>BY158*VLOOKUP('Données projet'!$B$12,Paramètres!$A$1:$I$89,3,0)*VLOOKUP('Données projet'!$B$12,Paramètres!$A$1:$I$89,5,0)</f>
        <v>286.32240000000002</v>
      </c>
      <c r="CA158" s="14">
        <f t="shared" si="170"/>
        <v>68.301372478551315</v>
      </c>
      <c r="CB158" s="22">
        <f t="shared" si="171"/>
        <v>617.63640373347687</v>
      </c>
      <c r="CC158" s="62">
        <f t="shared" si="119"/>
        <v>910.96973706681024</v>
      </c>
      <c r="CD158" s="62">
        <f ca="1">AVERAGE(OFFSET($CC$3,0,0,'Données projet'!$E$12+1,1))-AVERAGE(OFFSET($H$3,0,0,'Données projet'!$E$12+1,1))</f>
        <v>311.71521576048417</v>
      </c>
      <c r="CE158" s="62">
        <f t="shared" si="148"/>
        <v>208.54841796921403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280.47174439810988</v>
      </c>
      <c r="CZ158" s="62">
        <f t="shared" si="150"/>
        <v>231.19476400361157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7.5559248603489837E-2</v>
      </c>
      <c r="DH158" s="23">
        <f>EXP(-LN(2)/2)*DH157+(1-EXP(-LN(2)/2))/(LN(2)/2)*DB158*DE158*VLOOKUP('Données projet'!$B$13,Paramètres!$A$1:$I$89,3,0)*0.475*44/12</f>
        <v>3.239582302246446E-18</v>
      </c>
      <c r="DI158" s="24">
        <f t="shared" si="175"/>
        <v>7.5559248603489837E-2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6.7984728957526396E-14</v>
      </c>
      <c r="DQ158" s="14">
        <f t="shared" si="176"/>
        <v>1.0682447123141398E-12</v>
      </c>
      <c r="DR158" s="22">
        <f t="shared" si="177"/>
        <v>1.978932943548152E-12</v>
      </c>
      <c r="DS158" s="62">
        <f t="shared" si="125"/>
        <v>293.3333333333353</v>
      </c>
      <c r="DT158" s="62">
        <f ca="1">AVERAGE(OFFSET($DS$3,0,0,'Données projet'!$E$14+1,1))-AVERAGE(OFFSET($H$3,0,0,'Données projet'!$E$14+1,1))</f>
        <v>282.98919020956595</v>
      </c>
      <c r="DU158" s="62">
        <f t="shared" si="152"/>
        <v>182.23565317232647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1.2555181082531089E-18</v>
      </c>
      <c r="ED158" s="24">
        <f t="shared" si="178"/>
        <v>1.2555181082531089E-18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9">
        <f t="shared" si="110"/>
        <v>560.96669238005484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-5.6843418860808015E-13</v>
      </c>
      <c r="O159" s="14">
        <f>N159*VLOOKUP('Données projet'!$B$9,Paramètres!$A$1:$I$89,3,0)*VLOOKUP('Données projet'!$B$9,Paramètres!$A$1:$I$89,5,0)</f>
        <v>-2.6602720026858149E-13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172.62653085905839</v>
      </c>
      <c r="T159" s="62">
        <f t="shared" si="142"/>
        <v>103.0747749312265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266</v>
      </c>
      <c r="AJ159" s="14">
        <f>AI159*VLOOKUP('Données projet'!$B$10,Paramètres!$A$1:$I$89,3,0)*VLOOKUP('Données projet'!$B$10,Paramètres!$A$1:$I$89,5,0)</f>
        <v>269.72400000000005</v>
      </c>
      <c r="AK159" s="14">
        <f t="shared" si="164"/>
        <v>64.790691635967406</v>
      </c>
      <c r="AL159" s="22">
        <f t="shared" si="165"/>
        <v>582.61308793264323</v>
      </c>
      <c r="AM159" s="62">
        <f t="shared" si="113"/>
        <v>875.9464212659766</v>
      </c>
      <c r="AN159" s="62">
        <f ca="1">AVERAGE(OFFSET($AM$3,0,0,'Données projet'!$E$10+1,1))-AVERAGE(OFFSET($H$3,0,0,'Données projet'!$E$10+1,1))</f>
        <v>289.36126704091066</v>
      </c>
      <c r="AO159" s="62">
        <f t="shared" si="144"/>
        <v>195.3674411454258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266</v>
      </c>
      <c r="BE159" s="14">
        <f>BD159*VLOOKUP('Données projet'!$B$11,Paramètres!$A$1:$I$89,3,0)*VLOOKUP('Données projet'!$B$11,Paramètres!$A$1:$I$89,5,0)</f>
        <v>240.67680000000001</v>
      </c>
      <c r="BF159" s="14">
        <f t="shared" si="167"/>
        <v>58.585123425001029</v>
      </c>
      <c r="BG159" s="22">
        <f t="shared" si="168"/>
        <v>521.21451663187679</v>
      </c>
      <c r="BH159" s="62">
        <f t="shared" si="116"/>
        <v>814.54784996521016</v>
      </c>
      <c r="BI159" s="62">
        <f ca="1">AVERAGE(OFFSET($BH$3,0,0,'Données projet'!$E$11+1,1))-AVERAGE(OFFSET($H$3,0,0,'Données projet'!$E$11+1,1))</f>
        <v>250.17147737747007</v>
      </c>
      <c r="BJ159" s="62">
        <f t="shared" si="146"/>
        <v>172.25613380618552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266</v>
      </c>
      <c r="BZ159" s="14">
        <f>BY159*VLOOKUP('Données projet'!$B$12,Paramètres!$A$1:$I$89,3,0)*VLOOKUP('Données projet'!$B$12,Paramètres!$A$1:$I$89,5,0)</f>
        <v>286.32240000000002</v>
      </c>
      <c r="CA159" s="14">
        <f t="shared" si="170"/>
        <v>68.301372478551315</v>
      </c>
      <c r="CB159" s="22">
        <f t="shared" si="171"/>
        <v>617.63640373347687</v>
      </c>
      <c r="CC159" s="62">
        <f t="shared" si="119"/>
        <v>910.96973706681024</v>
      </c>
      <c r="CD159" s="62">
        <f ca="1">AVERAGE(OFFSET($CC$3,0,0,'Données projet'!$E$12+1,1))-AVERAGE(OFFSET($H$3,0,0,'Données projet'!$E$12+1,1))</f>
        <v>311.71521576048417</v>
      </c>
      <c r="CE159" s="62">
        <f t="shared" si="148"/>
        <v>208.54841796921403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280.47174439810988</v>
      </c>
      <c r="CZ159" s="62">
        <f t="shared" si="150"/>
        <v>231.19476400361157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7.3493076976939214E-2</v>
      </c>
      <c r="DH159" s="23">
        <f>EXP(-LN(2)/2)*DH158+(1-EXP(-LN(2)/2))/(LN(2)/2)*DB159*DE159*VLOOKUP('Données projet'!$B$13,Paramètres!$A$1:$I$89,3,0)*0.475*44/12</f>
        <v>2.2907306141303895E-18</v>
      </c>
      <c r="DI159" s="24">
        <f t="shared" si="175"/>
        <v>7.3493076976939214E-2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6.7984728957526396E-14</v>
      </c>
      <c r="DQ159" s="14">
        <f t="shared" si="176"/>
        <v>1.0682447123141398E-12</v>
      </c>
      <c r="DR159" s="22">
        <f t="shared" si="177"/>
        <v>1.978932943548152E-12</v>
      </c>
      <c r="DS159" s="62">
        <f t="shared" si="125"/>
        <v>293.3333333333353</v>
      </c>
      <c r="DT159" s="62">
        <f ca="1">AVERAGE(OFFSET($DS$3,0,0,'Données projet'!$E$14+1,1))-AVERAGE(OFFSET($H$3,0,0,'Données projet'!$E$14+1,1))</f>
        <v>282.98919020956595</v>
      </c>
      <c r="DU159" s="62">
        <f t="shared" si="152"/>
        <v>182.23565317232647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8.8778536824827916E-19</v>
      </c>
      <c r="ED159" s="24">
        <f t="shared" si="178"/>
        <v>8.8778536824827916E-19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9">
        <f t="shared" si="110"/>
        <v>562.8704142634507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-5.6843418860808015E-13</v>
      </c>
      <c r="O160" s="14">
        <f>N160*VLOOKUP('Données projet'!$B$9,Paramètres!$A$1:$I$89,3,0)*VLOOKUP('Données projet'!$B$9,Paramètres!$A$1:$I$89,5,0)</f>
        <v>-2.6602720026858149E-13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172.62653085905839</v>
      </c>
      <c r="T160" s="62">
        <f t="shared" si="142"/>
        <v>103.0747749312265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266</v>
      </c>
      <c r="AJ160" s="14">
        <f>AI160*VLOOKUP('Données projet'!$B$10,Paramètres!$A$1:$I$89,3,0)*VLOOKUP('Données projet'!$B$10,Paramètres!$A$1:$I$89,5,0)</f>
        <v>269.72400000000005</v>
      </c>
      <c r="AK160" s="14">
        <f t="shared" si="164"/>
        <v>64.790691635967406</v>
      </c>
      <c r="AL160" s="22">
        <f t="shared" si="165"/>
        <v>582.61308793264323</v>
      </c>
      <c r="AM160" s="62">
        <f t="shared" si="113"/>
        <v>875.9464212659766</v>
      </c>
      <c r="AN160" s="62">
        <f ca="1">AVERAGE(OFFSET($AM$3,0,0,'Données projet'!$E$10+1,1))-AVERAGE(OFFSET($H$3,0,0,'Données projet'!$E$10+1,1))</f>
        <v>289.36126704091066</v>
      </c>
      <c r="AO160" s="62">
        <f t="shared" si="144"/>
        <v>195.3674411454258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266</v>
      </c>
      <c r="BE160" s="14">
        <f>BD160*VLOOKUP('Données projet'!$B$11,Paramètres!$A$1:$I$89,3,0)*VLOOKUP('Données projet'!$B$11,Paramètres!$A$1:$I$89,5,0)</f>
        <v>240.67680000000001</v>
      </c>
      <c r="BF160" s="14">
        <f t="shared" si="167"/>
        <v>58.585123425001029</v>
      </c>
      <c r="BG160" s="22">
        <f t="shared" si="168"/>
        <v>521.21451663187679</v>
      </c>
      <c r="BH160" s="62">
        <f t="shared" si="116"/>
        <v>814.54784996521016</v>
      </c>
      <c r="BI160" s="62">
        <f ca="1">AVERAGE(OFFSET($BH$3,0,0,'Données projet'!$E$11+1,1))-AVERAGE(OFFSET($H$3,0,0,'Données projet'!$E$11+1,1))</f>
        <v>250.17147737747007</v>
      </c>
      <c r="BJ160" s="62">
        <f t="shared" si="146"/>
        <v>172.25613380618552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266</v>
      </c>
      <c r="BZ160" s="14">
        <f>BY160*VLOOKUP('Données projet'!$B$12,Paramètres!$A$1:$I$89,3,0)*VLOOKUP('Données projet'!$B$12,Paramètres!$A$1:$I$89,5,0)</f>
        <v>286.32240000000002</v>
      </c>
      <c r="CA160" s="14">
        <f t="shared" si="170"/>
        <v>68.301372478551315</v>
      </c>
      <c r="CB160" s="22">
        <f t="shared" si="171"/>
        <v>617.63640373347687</v>
      </c>
      <c r="CC160" s="62">
        <f t="shared" si="119"/>
        <v>910.96973706681024</v>
      </c>
      <c r="CD160" s="62">
        <f ca="1">AVERAGE(OFFSET($CC$3,0,0,'Données projet'!$E$12+1,1))-AVERAGE(OFFSET($H$3,0,0,'Données projet'!$E$12+1,1))</f>
        <v>311.71521576048417</v>
      </c>
      <c r="CE160" s="62">
        <f t="shared" si="148"/>
        <v>208.54841796921403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280.47174439810988</v>
      </c>
      <c r="CZ160" s="62">
        <f t="shared" si="150"/>
        <v>231.19476400361157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7.1483404922171867E-2</v>
      </c>
      <c r="DH160" s="23">
        <f>EXP(-LN(2)/2)*DH159+(1-EXP(-LN(2)/2))/(LN(2)/2)*DB160*DE160*VLOOKUP('Données projet'!$B$13,Paramètres!$A$1:$I$89,3,0)*0.475*44/12</f>
        <v>1.619791151123223E-18</v>
      </c>
      <c r="DI160" s="24">
        <f t="shared" si="175"/>
        <v>7.1483404922171867E-2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6.7984728957526396E-14</v>
      </c>
      <c r="DQ160" s="14">
        <f t="shared" si="176"/>
        <v>1.0682447123141398E-12</v>
      </c>
      <c r="DR160" s="22">
        <f t="shared" si="177"/>
        <v>1.978932943548152E-12</v>
      </c>
      <c r="DS160" s="62">
        <f t="shared" si="125"/>
        <v>293.3333333333353</v>
      </c>
      <c r="DT160" s="62">
        <f ca="1">AVERAGE(OFFSET($DS$3,0,0,'Données projet'!$E$14+1,1))-AVERAGE(OFFSET($H$3,0,0,'Données projet'!$E$14+1,1))</f>
        <v>282.98919020956595</v>
      </c>
      <c r="DU160" s="62">
        <f t="shared" si="152"/>
        <v>182.23565317232647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6.2775905412655445E-19</v>
      </c>
      <c r="ED160" s="24">
        <f t="shared" si="178"/>
        <v>6.2775905412655445E-19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9">
        <f t="shared" si="110"/>
        <v>564.77387302142597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-5.6843418860808015E-13</v>
      </c>
      <c r="O161" s="14">
        <f>N161*VLOOKUP('Données projet'!$B$9,Paramètres!$A$1:$I$89,3,0)*VLOOKUP('Données projet'!$B$9,Paramètres!$A$1:$I$89,5,0)</f>
        <v>-2.6602720026858149E-13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172.62653085905839</v>
      </c>
      <c r="T161" s="62">
        <f t="shared" si="142"/>
        <v>103.0747749312265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266</v>
      </c>
      <c r="AJ161" s="14">
        <f>AI161*VLOOKUP('Données projet'!$B$10,Paramètres!$A$1:$I$89,3,0)*VLOOKUP('Données projet'!$B$10,Paramètres!$A$1:$I$89,5,0)</f>
        <v>269.72400000000005</v>
      </c>
      <c r="AK161" s="14">
        <f t="shared" si="164"/>
        <v>64.790691635967406</v>
      </c>
      <c r="AL161" s="22">
        <f t="shared" si="165"/>
        <v>582.61308793264323</v>
      </c>
      <c r="AM161" s="62">
        <f t="shared" si="113"/>
        <v>875.9464212659766</v>
      </c>
      <c r="AN161" s="62">
        <f ca="1">AVERAGE(OFFSET($AM$3,0,0,'Données projet'!$E$10+1,1))-AVERAGE(OFFSET($H$3,0,0,'Données projet'!$E$10+1,1))</f>
        <v>289.36126704091066</v>
      </c>
      <c r="AO161" s="62">
        <f t="shared" si="144"/>
        <v>195.3674411454258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266</v>
      </c>
      <c r="BE161" s="14">
        <f>BD161*VLOOKUP('Données projet'!$B$11,Paramètres!$A$1:$I$89,3,0)*VLOOKUP('Données projet'!$B$11,Paramètres!$A$1:$I$89,5,0)</f>
        <v>240.67680000000001</v>
      </c>
      <c r="BF161" s="14">
        <f t="shared" si="167"/>
        <v>58.585123425001029</v>
      </c>
      <c r="BG161" s="22">
        <f t="shared" si="168"/>
        <v>521.21451663187679</v>
      </c>
      <c r="BH161" s="62">
        <f t="shared" si="116"/>
        <v>814.54784996521016</v>
      </c>
      <c r="BI161" s="62">
        <f ca="1">AVERAGE(OFFSET($BH$3,0,0,'Données projet'!$E$11+1,1))-AVERAGE(OFFSET($H$3,0,0,'Données projet'!$E$11+1,1))</f>
        <v>250.17147737747007</v>
      </c>
      <c r="BJ161" s="62">
        <f t="shared" si="146"/>
        <v>172.25613380618552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266</v>
      </c>
      <c r="BZ161" s="14">
        <f>BY161*VLOOKUP('Données projet'!$B$12,Paramètres!$A$1:$I$89,3,0)*VLOOKUP('Données projet'!$B$12,Paramètres!$A$1:$I$89,5,0)</f>
        <v>286.32240000000002</v>
      </c>
      <c r="CA161" s="14">
        <f t="shared" si="170"/>
        <v>68.301372478551315</v>
      </c>
      <c r="CB161" s="22">
        <f t="shared" si="171"/>
        <v>617.63640373347687</v>
      </c>
      <c r="CC161" s="62">
        <f t="shared" si="119"/>
        <v>910.96973706681024</v>
      </c>
      <c r="CD161" s="62">
        <f ca="1">AVERAGE(OFFSET($CC$3,0,0,'Données projet'!$E$12+1,1))-AVERAGE(OFFSET($H$3,0,0,'Données projet'!$E$12+1,1))</f>
        <v>311.71521576048417</v>
      </c>
      <c r="CE161" s="62">
        <f t="shared" si="148"/>
        <v>208.54841796921403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280.47174439810988</v>
      </c>
      <c r="CZ161" s="62">
        <f t="shared" si="150"/>
        <v>231.19476400361157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6.9528687455426189E-2</v>
      </c>
      <c r="DH161" s="23">
        <f>EXP(-LN(2)/2)*DH160+(1-EXP(-LN(2)/2))/(LN(2)/2)*DB161*DE161*VLOOKUP('Données projet'!$B$13,Paramètres!$A$1:$I$89,3,0)*0.475*44/12</f>
        <v>1.1453653070651948E-18</v>
      </c>
      <c r="DI161" s="24">
        <f t="shared" si="175"/>
        <v>6.9528687455426189E-2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6.7984728957526396E-14</v>
      </c>
      <c r="DQ161" s="14">
        <f t="shared" si="176"/>
        <v>1.0682447123141398E-12</v>
      </c>
      <c r="DR161" s="22">
        <f t="shared" si="177"/>
        <v>1.978932943548152E-12</v>
      </c>
      <c r="DS161" s="62">
        <f t="shared" si="125"/>
        <v>293.3333333333353</v>
      </c>
      <c r="DT161" s="62">
        <f ca="1">AVERAGE(OFFSET($DS$3,0,0,'Données projet'!$E$14+1,1))-AVERAGE(OFFSET($H$3,0,0,'Données projet'!$E$14+1,1))</f>
        <v>282.98919020956595</v>
      </c>
      <c r="DU161" s="62">
        <f t="shared" si="152"/>
        <v>182.23565317232647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4.4389268412413958E-19</v>
      </c>
      <c r="ED161" s="24">
        <f t="shared" si="178"/>
        <v>4.4389268412413958E-19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9">
        <f t="shared" si="110"/>
        <v>566.67707051251875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-5.6843418860808015E-13</v>
      </c>
      <c r="O162" s="14">
        <f>N162*VLOOKUP('Données projet'!$B$9,Paramètres!$A$1:$I$89,3,0)*VLOOKUP('Données projet'!$B$9,Paramètres!$A$1:$I$89,5,0)</f>
        <v>-2.6602720026858149E-13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172.62653085905839</v>
      </c>
      <c r="T162" s="62">
        <f t="shared" si="142"/>
        <v>103.0747749312265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266</v>
      </c>
      <c r="AJ162" s="14">
        <f>AI162*VLOOKUP('Données projet'!$B$10,Paramètres!$A$1:$I$89,3,0)*VLOOKUP('Données projet'!$B$10,Paramètres!$A$1:$I$89,5,0)</f>
        <v>269.72400000000005</v>
      </c>
      <c r="AK162" s="14">
        <f t="shared" si="164"/>
        <v>64.790691635967406</v>
      </c>
      <c r="AL162" s="22">
        <f t="shared" si="165"/>
        <v>582.61308793264323</v>
      </c>
      <c r="AM162" s="62">
        <f t="shared" si="113"/>
        <v>875.9464212659766</v>
      </c>
      <c r="AN162" s="62">
        <f ca="1">AVERAGE(OFFSET($AM$3,0,0,'Données projet'!$E$10+1,1))-AVERAGE(OFFSET($H$3,0,0,'Données projet'!$E$10+1,1))</f>
        <v>289.36126704091066</v>
      </c>
      <c r="AO162" s="62">
        <f t="shared" si="144"/>
        <v>195.3674411454258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266</v>
      </c>
      <c r="BE162" s="14">
        <f>BD162*VLOOKUP('Données projet'!$B$11,Paramètres!$A$1:$I$89,3,0)*VLOOKUP('Données projet'!$B$11,Paramètres!$A$1:$I$89,5,0)</f>
        <v>240.67680000000001</v>
      </c>
      <c r="BF162" s="14">
        <f t="shared" si="167"/>
        <v>58.585123425001029</v>
      </c>
      <c r="BG162" s="22">
        <f t="shared" si="168"/>
        <v>521.21451663187679</v>
      </c>
      <c r="BH162" s="62">
        <f t="shared" si="116"/>
        <v>814.54784996521016</v>
      </c>
      <c r="BI162" s="62">
        <f ca="1">AVERAGE(OFFSET($BH$3,0,0,'Données projet'!$E$11+1,1))-AVERAGE(OFFSET($H$3,0,0,'Données projet'!$E$11+1,1))</f>
        <v>250.17147737747007</v>
      </c>
      <c r="BJ162" s="62">
        <f t="shared" si="146"/>
        <v>172.25613380618552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266</v>
      </c>
      <c r="BZ162" s="14">
        <f>BY162*VLOOKUP('Données projet'!$B$12,Paramètres!$A$1:$I$89,3,0)*VLOOKUP('Données projet'!$B$12,Paramètres!$A$1:$I$89,5,0)</f>
        <v>286.32240000000002</v>
      </c>
      <c r="CA162" s="14">
        <f t="shared" si="170"/>
        <v>68.301372478551315</v>
      </c>
      <c r="CB162" s="22">
        <f t="shared" si="171"/>
        <v>617.63640373347687</v>
      </c>
      <c r="CC162" s="62">
        <f t="shared" si="119"/>
        <v>910.96973706681024</v>
      </c>
      <c r="CD162" s="62">
        <f ca="1">AVERAGE(OFFSET($CC$3,0,0,'Données projet'!$E$12+1,1))-AVERAGE(OFFSET($H$3,0,0,'Données projet'!$E$12+1,1))</f>
        <v>311.71521576048417</v>
      </c>
      <c r="CE162" s="62">
        <f t="shared" si="148"/>
        <v>208.54841796921403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280.47174439810988</v>
      </c>
      <c r="CZ162" s="62">
        <f t="shared" si="150"/>
        <v>231.19476400361157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6.7627421840602803E-2</v>
      </c>
      <c r="DH162" s="23">
        <f>EXP(-LN(2)/2)*DH161+(1-EXP(-LN(2)/2))/(LN(2)/2)*DB162*DE162*VLOOKUP('Données projet'!$B$13,Paramètres!$A$1:$I$89,3,0)*0.475*44/12</f>
        <v>8.098955755616115E-19</v>
      </c>
      <c r="DI162" s="24">
        <f t="shared" si="175"/>
        <v>6.7627421840602803E-2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6.7984728957526396E-14</v>
      </c>
      <c r="DQ162" s="14">
        <f t="shared" si="176"/>
        <v>1.0682447123141398E-12</v>
      </c>
      <c r="DR162" s="22">
        <f t="shared" si="177"/>
        <v>1.978932943548152E-12</v>
      </c>
      <c r="DS162" s="62">
        <f t="shared" si="125"/>
        <v>293.3333333333353</v>
      </c>
      <c r="DT162" s="62">
        <f ca="1">AVERAGE(OFFSET($DS$3,0,0,'Données projet'!$E$14+1,1))-AVERAGE(OFFSET($H$3,0,0,'Données projet'!$E$14+1,1))</f>
        <v>282.98919020956595</v>
      </c>
      <c r="DU162" s="62">
        <f t="shared" si="152"/>
        <v>182.23565317232647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3.1387952706327723E-19</v>
      </c>
      <c r="ED162" s="24">
        <f t="shared" si="178"/>
        <v>3.1387952706327723E-19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9">
        <f t="shared" si="110"/>
        <v>568.58000857053662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-5.6843418860808015E-13</v>
      </c>
      <c r="O163" s="14">
        <f>N163*VLOOKUP('Données projet'!$B$9,Paramètres!$A$1:$I$89,3,0)*VLOOKUP('Données projet'!$B$9,Paramètres!$A$1:$I$89,5,0)</f>
        <v>-2.6602720026858149E-13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172.62653085905839</v>
      </c>
      <c r="T163" s="62">
        <f t="shared" si="142"/>
        <v>103.0747749312265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266</v>
      </c>
      <c r="AJ163" s="14">
        <f>AI163*VLOOKUP('Données projet'!$B$10,Paramètres!$A$1:$I$89,3,0)*VLOOKUP('Données projet'!$B$10,Paramètres!$A$1:$I$89,5,0)</f>
        <v>269.72400000000005</v>
      </c>
      <c r="AK163" s="14">
        <f t="shared" si="164"/>
        <v>64.790691635967406</v>
      </c>
      <c r="AL163" s="22">
        <f t="shared" si="165"/>
        <v>582.61308793264323</v>
      </c>
      <c r="AM163" s="62">
        <f t="shared" si="113"/>
        <v>875.9464212659766</v>
      </c>
      <c r="AN163" s="62">
        <f ca="1">AVERAGE(OFFSET($AM$3,0,0,'Données projet'!$E$10+1,1))-AVERAGE(OFFSET($H$3,0,0,'Données projet'!$E$10+1,1))</f>
        <v>289.36126704091066</v>
      </c>
      <c r="AO163" s="62">
        <f t="shared" si="144"/>
        <v>195.3674411454258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266</v>
      </c>
      <c r="BE163" s="14">
        <f>BD163*VLOOKUP('Données projet'!$B$11,Paramètres!$A$1:$I$89,3,0)*VLOOKUP('Données projet'!$B$11,Paramètres!$A$1:$I$89,5,0)</f>
        <v>240.67680000000001</v>
      </c>
      <c r="BF163" s="14">
        <f t="shared" si="167"/>
        <v>58.585123425001029</v>
      </c>
      <c r="BG163" s="22">
        <f t="shared" si="168"/>
        <v>521.21451663187679</v>
      </c>
      <c r="BH163" s="62">
        <f t="shared" si="116"/>
        <v>814.54784996521016</v>
      </c>
      <c r="BI163" s="62">
        <f ca="1">AVERAGE(OFFSET($BH$3,0,0,'Données projet'!$E$11+1,1))-AVERAGE(OFFSET($H$3,0,0,'Données projet'!$E$11+1,1))</f>
        <v>250.17147737747007</v>
      </c>
      <c r="BJ163" s="62">
        <f t="shared" si="146"/>
        <v>172.25613380618552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266</v>
      </c>
      <c r="BZ163" s="14">
        <f>BY163*VLOOKUP('Données projet'!$B$12,Paramètres!$A$1:$I$89,3,0)*VLOOKUP('Données projet'!$B$12,Paramètres!$A$1:$I$89,5,0)</f>
        <v>286.32240000000002</v>
      </c>
      <c r="CA163" s="14">
        <f t="shared" si="170"/>
        <v>68.301372478551315</v>
      </c>
      <c r="CB163" s="22">
        <f t="shared" si="171"/>
        <v>617.63640373347687</v>
      </c>
      <c r="CC163" s="62">
        <f t="shared" si="119"/>
        <v>910.96973706681024</v>
      </c>
      <c r="CD163" s="62">
        <f ca="1">AVERAGE(OFFSET($CC$3,0,0,'Données projet'!$E$12+1,1))-AVERAGE(OFFSET($H$3,0,0,'Données projet'!$E$12+1,1))</f>
        <v>311.71521576048417</v>
      </c>
      <c r="CE163" s="62">
        <f t="shared" si="148"/>
        <v>208.54841796921403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280.47174439810988</v>
      </c>
      <c r="CZ163" s="62">
        <f t="shared" si="150"/>
        <v>231.19476400361157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6.5778146433999971E-2</v>
      </c>
      <c r="DH163" s="23">
        <f>EXP(-LN(2)/2)*DH162+(1-EXP(-LN(2)/2))/(LN(2)/2)*DB163*DE163*VLOOKUP('Données projet'!$B$13,Paramètres!$A$1:$I$89,3,0)*0.475*44/12</f>
        <v>5.7268265353259738E-19</v>
      </c>
      <c r="DI163" s="24">
        <f t="shared" si="175"/>
        <v>6.5778146433999971E-2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6.7984728957526396E-14</v>
      </c>
      <c r="DQ163" s="14">
        <f t="shared" si="176"/>
        <v>1.0682447123141398E-12</v>
      </c>
      <c r="DR163" s="22">
        <f t="shared" si="177"/>
        <v>1.978932943548152E-12</v>
      </c>
      <c r="DS163" s="62">
        <f t="shared" si="125"/>
        <v>293.3333333333353</v>
      </c>
      <c r="DT163" s="62">
        <f ca="1">AVERAGE(OFFSET($DS$3,0,0,'Données projet'!$E$14+1,1))-AVERAGE(OFFSET($H$3,0,0,'Données projet'!$E$14+1,1))</f>
        <v>282.98919020956595</v>
      </c>
      <c r="DU163" s="62">
        <f t="shared" si="152"/>
        <v>182.23565317232647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2.2194634206206979E-19</v>
      </c>
      <c r="ED163" s="24">
        <f t="shared" si="178"/>
        <v>2.2194634206206979E-19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9">
        <f t="shared" si="110"/>
        <v>570.48268900503945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-5.6843418860808015E-13</v>
      </c>
      <c r="O164" s="14">
        <f>N164*VLOOKUP('Données projet'!$B$9,Paramètres!$A$1:$I$89,3,0)*VLOOKUP('Données projet'!$B$9,Paramètres!$A$1:$I$89,5,0)</f>
        <v>-2.6602720026858149E-13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172.62653085905839</v>
      </c>
      <c r="T164" s="62">
        <f t="shared" si="142"/>
        <v>103.0747749312265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266</v>
      </c>
      <c r="AJ164" s="14">
        <f>AI164*VLOOKUP('Données projet'!$B$10,Paramètres!$A$1:$I$89,3,0)*VLOOKUP('Données projet'!$B$10,Paramètres!$A$1:$I$89,5,0)</f>
        <v>269.72400000000005</v>
      </c>
      <c r="AK164" s="14">
        <f t="shared" si="164"/>
        <v>64.790691635967406</v>
      </c>
      <c r="AL164" s="22">
        <f t="shared" si="165"/>
        <v>582.61308793264323</v>
      </c>
      <c r="AM164" s="62">
        <f t="shared" si="113"/>
        <v>875.9464212659766</v>
      </c>
      <c r="AN164" s="62">
        <f ca="1">AVERAGE(OFFSET($AM$3,0,0,'Données projet'!$E$10+1,1))-AVERAGE(OFFSET($H$3,0,0,'Données projet'!$E$10+1,1))</f>
        <v>289.36126704091066</v>
      </c>
      <c r="AO164" s="62">
        <f t="shared" si="144"/>
        <v>195.3674411454258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266</v>
      </c>
      <c r="BE164" s="14">
        <f>BD164*VLOOKUP('Données projet'!$B$11,Paramètres!$A$1:$I$89,3,0)*VLOOKUP('Données projet'!$B$11,Paramètres!$A$1:$I$89,5,0)</f>
        <v>240.67680000000001</v>
      </c>
      <c r="BF164" s="14">
        <f t="shared" si="167"/>
        <v>58.585123425001029</v>
      </c>
      <c r="BG164" s="22">
        <f t="shared" si="168"/>
        <v>521.21451663187679</v>
      </c>
      <c r="BH164" s="62">
        <f t="shared" si="116"/>
        <v>814.54784996521016</v>
      </c>
      <c r="BI164" s="62">
        <f ca="1">AVERAGE(OFFSET($BH$3,0,0,'Données projet'!$E$11+1,1))-AVERAGE(OFFSET($H$3,0,0,'Données projet'!$E$11+1,1))</f>
        <v>250.17147737747007</v>
      </c>
      <c r="BJ164" s="62">
        <f t="shared" si="146"/>
        <v>172.25613380618552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266</v>
      </c>
      <c r="BZ164" s="14">
        <f>BY164*VLOOKUP('Données projet'!$B$12,Paramètres!$A$1:$I$89,3,0)*VLOOKUP('Données projet'!$B$12,Paramètres!$A$1:$I$89,5,0)</f>
        <v>286.32240000000002</v>
      </c>
      <c r="CA164" s="14">
        <f t="shared" si="170"/>
        <v>68.301372478551315</v>
      </c>
      <c r="CB164" s="22">
        <f t="shared" si="171"/>
        <v>617.63640373347687</v>
      </c>
      <c r="CC164" s="62">
        <f t="shared" si="119"/>
        <v>910.96973706681024</v>
      </c>
      <c r="CD164" s="62">
        <f ca="1">AVERAGE(OFFSET($CC$3,0,0,'Données projet'!$E$12+1,1))-AVERAGE(OFFSET($H$3,0,0,'Données projet'!$E$12+1,1))</f>
        <v>311.71521576048417</v>
      </c>
      <c r="CE164" s="62">
        <f t="shared" si="148"/>
        <v>208.54841796921403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280.47174439810988</v>
      </c>
      <c r="CZ164" s="62">
        <f t="shared" si="150"/>
        <v>231.19476400361157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6.3979439560639853E-2</v>
      </c>
      <c r="DH164" s="23">
        <f>EXP(-LN(2)/2)*DH163+(1-EXP(-LN(2)/2))/(LN(2)/2)*DB164*DE164*VLOOKUP('Données projet'!$B$13,Paramètres!$A$1:$I$89,3,0)*0.475*44/12</f>
        <v>4.0494778778080575E-19</v>
      </c>
      <c r="DI164" s="24">
        <f t="shared" si="175"/>
        <v>6.3979439560639853E-2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6.7984728957526396E-14</v>
      </c>
      <c r="DQ164" s="14">
        <f t="shared" si="176"/>
        <v>1.0682447123141398E-12</v>
      </c>
      <c r="DR164" s="22">
        <f t="shared" si="177"/>
        <v>1.978932943548152E-12</v>
      </c>
      <c r="DS164" s="62">
        <f t="shared" si="125"/>
        <v>293.3333333333353</v>
      </c>
      <c r="DT164" s="62">
        <f ca="1">AVERAGE(OFFSET($DS$3,0,0,'Données projet'!$E$14+1,1))-AVERAGE(OFFSET($H$3,0,0,'Données projet'!$E$14+1,1))</f>
        <v>282.98919020956595</v>
      </c>
      <c r="DU164" s="62">
        <f t="shared" si="152"/>
        <v>182.23565317232647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1.5693976353163861E-19</v>
      </c>
      <c r="ED164" s="24">
        <f t="shared" si="178"/>
        <v>1.5693976353163861E-19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9">
        <f t="shared" si="110"/>
        <v>572.38511360180746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-5.6843418860808015E-13</v>
      </c>
      <c r="O165" s="14">
        <f>N165*VLOOKUP('Données projet'!$B$9,Paramètres!$A$1:$I$89,3,0)*VLOOKUP('Données projet'!$B$9,Paramètres!$A$1:$I$89,5,0)</f>
        <v>-2.6602720026858149E-13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172.62653085905839</v>
      </c>
      <c r="T165" s="62">
        <f t="shared" si="142"/>
        <v>103.0747749312265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266</v>
      </c>
      <c r="AJ165" s="14">
        <f>AI165*VLOOKUP('Données projet'!$B$10,Paramètres!$A$1:$I$89,3,0)*VLOOKUP('Données projet'!$B$10,Paramètres!$A$1:$I$89,5,0)</f>
        <v>269.72400000000005</v>
      </c>
      <c r="AK165" s="14">
        <f t="shared" si="164"/>
        <v>64.790691635967406</v>
      </c>
      <c r="AL165" s="22">
        <f t="shared" si="165"/>
        <v>582.61308793264323</v>
      </c>
      <c r="AM165" s="62">
        <f t="shared" si="113"/>
        <v>875.9464212659766</v>
      </c>
      <c r="AN165" s="62">
        <f ca="1">AVERAGE(OFFSET($AM$3,0,0,'Données projet'!$E$10+1,1))-AVERAGE(OFFSET($H$3,0,0,'Données projet'!$E$10+1,1))</f>
        <v>289.36126704091066</v>
      </c>
      <c r="AO165" s="62">
        <f t="shared" si="144"/>
        <v>195.3674411454258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266</v>
      </c>
      <c r="BE165" s="14">
        <f>BD165*VLOOKUP('Données projet'!$B$11,Paramètres!$A$1:$I$89,3,0)*VLOOKUP('Données projet'!$B$11,Paramètres!$A$1:$I$89,5,0)</f>
        <v>240.67680000000001</v>
      </c>
      <c r="BF165" s="14">
        <f t="shared" si="167"/>
        <v>58.585123425001029</v>
      </c>
      <c r="BG165" s="22">
        <f t="shared" si="168"/>
        <v>521.21451663187679</v>
      </c>
      <c r="BH165" s="62">
        <f t="shared" si="116"/>
        <v>814.54784996521016</v>
      </c>
      <c r="BI165" s="62">
        <f ca="1">AVERAGE(OFFSET($BH$3,0,0,'Données projet'!$E$11+1,1))-AVERAGE(OFFSET($H$3,0,0,'Données projet'!$E$11+1,1))</f>
        <v>250.17147737747007</v>
      </c>
      <c r="BJ165" s="62">
        <f t="shared" si="146"/>
        <v>172.25613380618552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266</v>
      </c>
      <c r="BZ165" s="14">
        <f>BY165*VLOOKUP('Données projet'!$B$12,Paramètres!$A$1:$I$89,3,0)*VLOOKUP('Données projet'!$B$12,Paramètres!$A$1:$I$89,5,0)</f>
        <v>286.32240000000002</v>
      </c>
      <c r="CA165" s="14">
        <f t="shared" si="170"/>
        <v>68.301372478551315</v>
      </c>
      <c r="CB165" s="22">
        <f t="shared" si="171"/>
        <v>617.63640373347687</v>
      </c>
      <c r="CC165" s="62">
        <f t="shared" si="119"/>
        <v>910.96973706681024</v>
      </c>
      <c r="CD165" s="62">
        <f ca="1">AVERAGE(OFFSET($CC$3,0,0,'Données projet'!$E$12+1,1))-AVERAGE(OFFSET($H$3,0,0,'Données projet'!$E$12+1,1))</f>
        <v>311.71521576048417</v>
      </c>
      <c r="CE165" s="62">
        <f t="shared" si="148"/>
        <v>208.54841796921403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280.47174439810988</v>
      </c>
      <c r="CZ165" s="62">
        <f t="shared" si="150"/>
        <v>231.19476400361157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6.2229918421321653E-2</v>
      </c>
      <c r="DH165" s="23">
        <f>EXP(-LN(2)/2)*DH164+(1-EXP(-LN(2)/2))/(LN(2)/2)*DB165*DE165*VLOOKUP('Données projet'!$B$13,Paramètres!$A$1:$I$89,3,0)*0.475*44/12</f>
        <v>2.8634132676629869E-19</v>
      </c>
      <c r="DI165" s="24">
        <f t="shared" si="175"/>
        <v>6.2229918421321653E-2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6.7984728957526396E-14</v>
      </c>
      <c r="DQ165" s="14">
        <f t="shared" si="176"/>
        <v>1.0682447123141398E-12</v>
      </c>
      <c r="DR165" s="22">
        <f t="shared" si="177"/>
        <v>1.978932943548152E-12</v>
      </c>
      <c r="DS165" s="62">
        <f t="shared" si="125"/>
        <v>293.3333333333353</v>
      </c>
      <c r="DT165" s="62">
        <f ca="1">AVERAGE(OFFSET($DS$3,0,0,'Données projet'!$E$14+1,1))-AVERAGE(OFFSET($H$3,0,0,'Données projet'!$E$14+1,1))</f>
        <v>282.98919020956595</v>
      </c>
      <c r="DU165" s="62">
        <f t="shared" si="152"/>
        <v>182.23565317232647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1.109731710310349E-19</v>
      </c>
      <c r="ED165" s="24">
        <f t="shared" si="178"/>
        <v>1.109731710310349E-19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9">
        <f t="shared" si="110"/>
        <v>574.28728412329951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-5.6843418860808015E-13</v>
      </c>
      <c r="O166" s="14">
        <f>N166*VLOOKUP('Données projet'!$B$9,Paramètres!$A$1:$I$89,3,0)*VLOOKUP('Données projet'!$B$9,Paramètres!$A$1:$I$89,5,0)</f>
        <v>-2.6602720026858149E-13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172.62653085905839</v>
      </c>
      <c r="T166" s="62">
        <f t="shared" si="142"/>
        <v>103.0747749312265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266</v>
      </c>
      <c r="AJ166" s="14">
        <f>AI166*VLOOKUP('Données projet'!$B$10,Paramètres!$A$1:$I$89,3,0)*VLOOKUP('Données projet'!$B$10,Paramètres!$A$1:$I$89,5,0)</f>
        <v>269.72400000000005</v>
      </c>
      <c r="AK166" s="14">
        <f t="shared" si="164"/>
        <v>64.790691635967406</v>
      </c>
      <c r="AL166" s="22">
        <f t="shared" si="165"/>
        <v>582.61308793264323</v>
      </c>
      <c r="AM166" s="62">
        <f t="shared" si="113"/>
        <v>875.9464212659766</v>
      </c>
      <c r="AN166" s="62">
        <f ca="1">AVERAGE(OFFSET($AM$3,0,0,'Données projet'!$E$10+1,1))-AVERAGE(OFFSET($H$3,0,0,'Données projet'!$E$10+1,1))</f>
        <v>289.36126704091066</v>
      </c>
      <c r="AO166" s="62">
        <f t="shared" si="144"/>
        <v>195.3674411454258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266</v>
      </c>
      <c r="BE166" s="14">
        <f>BD166*VLOOKUP('Données projet'!$B$11,Paramètres!$A$1:$I$89,3,0)*VLOOKUP('Données projet'!$B$11,Paramètres!$A$1:$I$89,5,0)</f>
        <v>240.67680000000001</v>
      </c>
      <c r="BF166" s="14">
        <f t="shared" si="167"/>
        <v>58.585123425001029</v>
      </c>
      <c r="BG166" s="22">
        <f t="shared" si="168"/>
        <v>521.21451663187679</v>
      </c>
      <c r="BH166" s="62">
        <f t="shared" si="116"/>
        <v>814.54784996521016</v>
      </c>
      <c r="BI166" s="62">
        <f ca="1">AVERAGE(OFFSET($BH$3,0,0,'Données projet'!$E$11+1,1))-AVERAGE(OFFSET($H$3,0,0,'Données projet'!$E$11+1,1))</f>
        <v>250.17147737747007</v>
      </c>
      <c r="BJ166" s="62">
        <f t="shared" si="146"/>
        <v>172.25613380618552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266</v>
      </c>
      <c r="BZ166" s="14">
        <f>BY166*VLOOKUP('Données projet'!$B$12,Paramètres!$A$1:$I$89,3,0)*VLOOKUP('Données projet'!$B$12,Paramètres!$A$1:$I$89,5,0)</f>
        <v>286.32240000000002</v>
      </c>
      <c r="CA166" s="14">
        <f t="shared" si="170"/>
        <v>68.301372478551315</v>
      </c>
      <c r="CB166" s="22">
        <f t="shared" si="171"/>
        <v>617.63640373347687</v>
      </c>
      <c r="CC166" s="62">
        <f t="shared" si="119"/>
        <v>910.96973706681024</v>
      </c>
      <c r="CD166" s="62">
        <f ca="1">AVERAGE(OFFSET($CC$3,0,0,'Données projet'!$E$12+1,1))-AVERAGE(OFFSET($H$3,0,0,'Données projet'!$E$12+1,1))</f>
        <v>311.71521576048417</v>
      </c>
      <c r="CE166" s="62">
        <f t="shared" si="148"/>
        <v>208.54841796921403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280.47174439810988</v>
      </c>
      <c r="CZ166" s="62">
        <f t="shared" si="150"/>
        <v>231.19476400361157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6.0528238029561435E-2</v>
      </c>
      <c r="DH166" s="23">
        <f>EXP(-LN(2)/2)*DH165+(1-EXP(-LN(2)/2))/(LN(2)/2)*DB166*DE166*VLOOKUP('Données projet'!$B$13,Paramètres!$A$1:$I$89,3,0)*0.475*44/12</f>
        <v>2.0247389389040287E-19</v>
      </c>
      <c r="DI166" s="24">
        <f t="shared" si="175"/>
        <v>6.0528238029561435E-2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6.7984728957526396E-14</v>
      </c>
      <c r="DQ166" s="14">
        <f t="shared" si="176"/>
        <v>1.0682447123141398E-12</v>
      </c>
      <c r="DR166" s="22">
        <f t="shared" si="177"/>
        <v>1.978932943548152E-12</v>
      </c>
      <c r="DS166" s="62">
        <f t="shared" si="125"/>
        <v>293.3333333333353</v>
      </c>
      <c r="DT166" s="62">
        <f ca="1">AVERAGE(OFFSET($DS$3,0,0,'Données projet'!$E$14+1,1))-AVERAGE(OFFSET($H$3,0,0,'Données projet'!$E$14+1,1))</f>
        <v>282.98919020956595</v>
      </c>
      <c r="DU166" s="62">
        <f t="shared" si="152"/>
        <v>182.23565317232647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7.8469881765819306E-20</v>
      </c>
      <c r="ED166" s="24">
        <f t="shared" si="178"/>
        <v>7.8469881765819306E-20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9">
        <f t="shared" si="110"/>
        <v>576.18920230909794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-5.6843418860808015E-13</v>
      </c>
      <c r="O167" s="14">
        <f>N167*VLOOKUP('Données projet'!$B$9,Paramètres!$A$1:$I$89,3,0)*VLOOKUP('Données projet'!$B$9,Paramètres!$A$1:$I$89,5,0)</f>
        <v>-2.6602720026858149E-13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172.62653085905839</v>
      </c>
      <c r="T167" s="62">
        <f t="shared" si="142"/>
        <v>103.0747749312265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266</v>
      </c>
      <c r="AJ167" s="14">
        <f>AI167*VLOOKUP('Données projet'!$B$10,Paramètres!$A$1:$I$89,3,0)*VLOOKUP('Données projet'!$B$10,Paramètres!$A$1:$I$89,5,0)</f>
        <v>269.72400000000005</v>
      </c>
      <c r="AK167" s="14">
        <f t="shared" si="164"/>
        <v>64.790691635967406</v>
      </c>
      <c r="AL167" s="22">
        <f t="shared" si="165"/>
        <v>582.61308793264323</v>
      </c>
      <c r="AM167" s="62">
        <f t="shared" si="113"/>
        <v>875.9464212659766</v>
      </c>
      <c r="AN167" s="62">
        <f ca="1">AVERAGE(OFFSET($AM$3,0,0,'Données projet'!$E$10+1,1))-AVERAGE(OFFSET($H$3,0,0,'Données projet'!$E$10+1,1))</f>
        <v>289.36126704091066</v>
      </c>
      <c r="AO167" s="62">
        <f t="shared" si="144"/>
        <v>195.3674411454258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266</v>
      </c>
      <c r="BE167" s="14">
        <f>BD167*VLOOKUP('Données projet'!$B$11,Paramètres!$A$1:$I$89,3,0)*VLOOKUP('Données projet'!$B$11,Paramètres!$A$1:$I$89,5,0)</f>
        <v>240.67680000000001</v>
      </c>
      <c r="BF167" s="14">
        <f t="shared" si="167"/>
        <v>58.585123425001029</v>
      </c>
      <c r="BG167" s="22">
        <f t="shared" si="168"/>
        <v>521.21451663187679</v>
      </c>
      <c r="BH167" s="62">
        <f t="shared" si="116"/>
        <v>814.54784996521016</v>
      </c>
      <c r="BI167" s="62">
        <f ca="1">AVERAGE(OFFSET($BH$3,0,0,'Données projet'!$E$11+1,1))-AVERAGE(OFFSET($H$3,0,0,'Données projet'!$E$11+1,1))</f>
        <v>250.17147737747007</v>
      </c>
      <c r="BJ167" s="62">
        <f t="shared" si="146"/>
        <v>172.25613380618552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266</v>
      </c>
      <c r="BZ167" s="14">
        <f>BY167*VLOOKUP('Données projet'!$B$12,Paramètres!$A$1:$I$89,3,0)*VLOOKUP('Données projet'!$B$12,Paramètres!$A$1:$I$89,5,0)</f>
        <v>286.32240000000002</v>
      </c>
      <c r="CA167" s="14">
        <f t="shared" si="170"/>
        <v>68.301372478551315</v>
      </c>
      <c r="CB167" s="22">
        <f t="shared" si="171"/>
        <v>617.63640373347687</v>
      </c>
      <c r="CC167" s="62">
        <f t="shared" si="119"/>
        <v>910.96973706681024</v>
      </c>
      <c r="CD167" s="62">
        <f ca="1">AVERAGE(OFFSET($CC$3,0,0,'Données projet'!$E$12+1,1))-AVERAGE(OFFSET($H$3,0,0,'Données projet'!$E$12+1,1))</f>
        <v>311.71521576048417</v>
      </c>
      <c r="CE167" s="62">
        <f t="shared" si="148"/>
        <v>208.54841796921403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280.47174439810988</v>
      </c>
      <c r="CZ167" s="62">
        <f t="shared" si="150"/>
        <v>231.19476400361157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5.8873090177601381E-2</v>
      </c>
      <c r="DH167" s="23">
        <f>EXP(-LN(2)/2)*DH166+(1-EXP(-LN(2)/2))/(LN(2)/2)*DB167*DE167*VLOOKUP('Données projet'!$B$13,Paramètres!$A$1:$I$89,3,0)*0.475*44/12</f>
        <v>1.4317066338314935E-19</v>
      </c>
      <c r="DI167" s="24">
        <f t="shared" si="175"/>
        <v>5.8873090177601381E-2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6.7984728957526396E-14</v>
      </c>
      <c r="DQ167" s="14">
        <f t="shared" si="176"/>
        <v>1.0682447123141398E-12</v>
      </c>
      <c r="DR167" s="22">
        <f t="shared" si="177"/>
        <v>1.978932943548152E-12</v>
      </c>
      <c r="DS167" s="62">
        <f t="shared" si="125"/>
        <v>293.3333333333353</v>
      </c>
      <c r="DT167" s="62">
        <f ca="1">AVERAGE(OFFSET($DS$3,0,0,'Données projet'!$E$14+1,1))-AVERAGE(OFFSET($H$3,0,0,'Données projet'!$E$14+1,1))</f>
        <v>282.98919020956595</v>
      </c>
      <c r="DU167" s="62">
        <f t="shared" si="152"/>
        <v>182.23565317232647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5.5486585515517448E-20</v>
      </c>
      <c r="ED167" s="24">
        <f t="shared" si="178"/>
        <v>5.5486585515517448E-20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9">
        <f t="shared" si="110"/>
        <v>578.09086987634385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-5.6843418860808015E-13</v>
      </c>
      <c r="O168" s="14">
        <f>N168*VLOOKUP('Données projet'!$B$9,Paramètres!$A$1:$I$89,3,0)*VLOOKUP('Données projet'!$B$9,Paramètres!$A$1:$I$89,5,0)</f>
        <v>-2.6602720026858149E-13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172.62653085905839</v>
      </c>
      <c r="T168" s="62">
        <f t="shared" si="142"/>
        <v>103.0747749312265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266</v>
      </c>
      <c r="AJ168" s="14">
        <f>AI168*VLOOKUP('Données projet'!$B$10,Paramètres!$A$1:$I$89,3,0)*VLOOKUP('Données projet'!$B$10,Paramètres!$A$1:$I$89,5,0)</f>
        <v>269.72400000000005</v>
      </c>
      <c r="AK168" s="14">
        <f t="shared" si="164"/>
        <v>64.790691635967406</v>
      </c>
      <c r="AL168" s="22">
        <f t="shared" si="165"/>
        <v>582.61308793264323</v>
      </c>
      <c r="AM168" s="62">
        <f t="shared" si="113"/>
        <v>875.9464212659766</v>
      </c>
      <c r="AN168" s="62">
        <f ca="1">AVERAGE(OFFSET($AM$3,0,0,'Données projet'!$E$10+1,1))-AVERAGE(OFFSET($H$3,0,0,'Données projet'!$E$10+1,1))</f>
        <v>289.36126704091066</v>
      </c>
      <c r="AO168" s="62">
        <f t="shared" si="144"/>
        <v>195.3674411454258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266</v>
      </c>
      <c r="BE168" s="14">
        <f>BD168*VLOOKUP('Données projet'!$B$11,Paramètres!$A$1:$I$89,3,0)*VLOOKUP('Données projet'!$B$11,Paramètres!$A$1:$I$89,5,0)</f>
        <v>240.67680000000001</v>
      </c>
      <c r="BF168" s="14">
        <f t="shared" si="167"/>
        <v>58.585123425001029</v>
      </c>
      <c r="BG168" s="22">
        <f t="shared" si="168"/>
        <v>521.21451663187679</v>
      </c>
      <c r="BH168" s="62">
        <f t="shared" si="116"/>
        <v>814.54784996521016</v>
      </c>
      <c r="BI168" s="62">
        <f ca="1">AVERAGE(OFFSET($BH$3,0,0,'Données projet'!$E$11+1,1))-AVERAGE(OFFSET($H$3,0,0,'Données projet'!$E$11+1,1))</f>
        <v>250.17147737747007</v>
      </c>
      <c r="BJ168" s="62">
        <f t="shared" si="146"/>
        <v>172.25613380618552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266</v>
      </c>
      <c r="BZ168" s="14">
        <f>BY168*VLOOKUP('Données projet'!$B$12,Paramètres!$A$1:$I$89,3,0)*VLOOKUP('Données projet'!$B$12,Paramètres!$A$1:$I$89,5,0)</f>
        <v>286.32240000000002</v>
      </c>
      <c r="CA168" s="14">
        <f t="shared" si="170"/>
        <v>68.301372478551315</v>
      </c>
      <c r="CB168" s="22">
        <f t="shared" si="171"/>
        <v>617.63640373347687</v>
      </c>
      <c r="CC168" s="62">
        <f t="shared" si="119"/>
        <v>910.96973706681024</v>
      </c>
      <c r="CD168" s="62">
        <f ca="1">AVERAGE(OFFSET($CC$3,0,0,'Données projet'!$E$12+1,1))-AVERAGE(OFFSET($H$3,0,0,'Données projet'!$E$12+1,1))</f>
        <v>311.71521576048417</v>
      </c>
      <c r="CE168" s="62">
        <f t="shared" si="148"/>
        <v>208.54841796921403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280.47174439810988</v>
      </c>
      <c r="CZ168" s="62">
        <f t="shared" si="150"/>
        <v>231.19476400361157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5.7263202430693612E-2</v>
      </c>
      <c r="DH168" s="23">
        <f>EXP(-LN(2)/2)*DH167+(1-EXP(-LN(2)/2))/(LN(2)/2)*DB168*DE168*VLOOKUP('Données projet'!$B$13,Paramètres!$A$1:$I$89,3,0)*0.475*44/12</f>
        <v>1.0123694694520144E-19</v>
      </c>
      <c r="DI168" s="24">
        <f t="shared" si="175"/>
        <v>5.7263202430693612E-2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6.7984728957526396E-14</v>
      </c>
      <c r="DQ168" s="14">
        <f t="shared" si="176"/>
        <v>1.0682447123141398E-12</v>
      </c>
      <c r="DR168" s="22">
        <f t="shared" si="177"/>
        <v>1.978932943548152E-12</v>
      </c>
      <c r="DS168" s="62">
        <f t="shared" si="125"/>
        <v>293.3333333333353</v>
      </c>
      <c r="DT168" s="62">
        <f ca="1">AVERAGE(OFFSET($DS$3,0,0,'Données projet'!$E$14+1,1))-AVERAGE(OFFSET($H$3,0,0,'Données projet'!$E$14+1,1))</f>
        <v>282.98919020956595</v>
      </c>
      <c r="DU168" s="62">
        <f t="shared" si="152"/>
        <v>182.23565317232647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3.9234940882909653E-20</v>
      </c>
      <c r="ED168" s="24">
        <f t="shared" si="178"/>
        <v>3.9234940882909653E-20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9">
        <f t="shared" si="110"/>
        <v>579.99228852016029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-5.6843418860808015E-13</v>
      </c>
      <c r="O169" s="14">
        <f>N169*VLOOKUP('Données projet'!$B$9,Paramètres!$A$1:$I$89,3,0)*VLOOKUP('Données projet'!$B$9,Paramètres!$A$1:$I$89,5,0)</f>
        <v>-2.6602720026858149E-13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172.62653085905839</v>
      </c>
      <c r="T169" s="62">
        <f t="shared" si="142"/>
        <v>103.0747749312265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266</v>
      </c>
      <c r="AJ169" s="14">
        <f>AI169*VLOOKUP('Données projet'!$B$10,Paramètres!$A$1:$I$89,3,0)*VLOOKUP('Données projet'!$B$10,Paramètres!$A$1:$I$89,5,0)</f>
        <v>269.72400000000005</v>
      </c>
      <c r="AK169" s="14">
        <f t="shared" si="164"/>
        <v>64.790691635967406</v>
      </c>
      <c r="AL169" s="22">
        <f t="shared" si="165"/>
        <v>582.61308793264323</v>
      </c>
      <c r="AM169" s="62">
        <f t="shared" si="113"/>
        <v>875.9464212659766</v>
      </c>
      <c r="AN169" s="62">
        <f ca="1">AVERAGE(OFFSET($AM$3,0,0,'Données projet'!$E$10+1,1))-AVERAGE(OFFSET($H$3,0,0,'Données projet'!$E$10+1,1))</f>
        <v>289.36126704091066</v>
      </c>
      <c r="AO169" s="62">
        <f t="shared" si="144"/>
        <v>195.3674411454258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266</v>
      </c>
      <c r="BE169" s="14">
        <f>BD169*VLOOKUP('Données projet'!$B$11,Paramètres!$A$1:$I$89,3,0)*VLOOKUP('Données projet'!$B$11,Paramètres!$A$1:$I$89,5,0)</f>
        <v>240.67680000000001</v>
      </c>
      <c r="BF169" s="14">
        <f t="shared" si="167"/>
        <v>58.585123425001029</v>
      </c>
      <c r="BG169" s="22">
        <f t="shared" si="168"/>
        <v>521.21451663187679</v>
      </c>
      <c r="BH169" s="62">
        <f t="shared" si="116"/>
        <v>814.54784996521016</v>
      </c>
      <c r="BI169" s="62">
        <f ca="1">AVERAGE(OFFSET($BH$3,0,0,'Données projet'!$E$11+1,1))-AVERAGE(OFFSET($H$3,0,0,'Données projet'!$E$11+1,1))</f>
        <v>250.17147737747007</v>
      </c>
      <c r="BJ169" s="62">
        <f t="shared" si="146"/>
        <v>172.25613380618552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266</v>
      </c>
      <c r="BZ169" s="14">
        <f>BY169*VLOOKUP('Données projet'!$B$12,Paramètres!$A$1:$I$89,3,0)*VLOOKUP('Données projet'!$B$12,Paramètres!$A$1:$I$89,5,0)</f>
        <v>286.32240000000002</v>
      </c>
      <c r="CA169" s="14">
        <f t="shared" si="170"/>
        <v>68.301372478551315</v>
      </c>
      <c r="CB169" s="22">
        <f t="shared" si="171"/>
        <v>617.63640373347687</v>
      </c>
      <c r="CC169" s="62">
        <f t="shared" si="119"/>
        <v>910.96973706681024</v>
      </c>
      <c r="CD169" s="62">
        <f ca="1">AVERAGE(OFFSET($CC$3,0,0,'Données projet'!$E$12+1,1))-AVERAGE(OFFSET($H$3,0,0,'Données projet'!$E$12+1,1))</f>
        <v>311.71521576048417</v>
      </c>
      <c r="CE169" s="62">
        <f t="shared" si="148"/>
        <v>208.54841796921403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280.47174439810988</v>
      </c>
      <c r="CZ169" s="62">
        <f t="shared" si="150"/>
        <v>231.19476400361157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5.5697337148885355E-2</v>
      </c>
      <c r="DH169" s="23">
        <f>EXP(-LN(2)/2)*DH168+(1-EXP(-LN(2)/2))/(LN(2)/2)*DB169*DE169*VLOOKUP('Données projet'!$B$13,Paramètres!$A$1:$I$89,3,0)*0.475*44/12</f>
        <v>7.1585331691574673E-20</v>
      </c>
      <c r="DI169" s="24">
        <f t="shared" si="175"/>
        <v>5.5697337148885355E-2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6.7984728957526396E-14</v>
      </c>
      <c r="DQ169" s="14">
        <f t="shared" si="176"/>
        <v>1.0682447123141398E-12</v>
      </c>
      <c r="DR169" s="22">
        <f t="shared" si="177"/>
        <v>1.978932943548152E-12</v>
      </c>
      <c r="DS169" s="62">
        <f t="shared" si="125"/>
        <v>293.3333333333353</v>
      </c>
      <c r="DT169" s="62">
        <f ca="1">AVERAGE(OFFSET($DS$3,0,0,'Données projet'!$E$14+1,1))-AVERAGE(OFFSET($H$3,0,0,'Données projet'!$E$14+1,1))</f>
        <v>282.98919020956595</v>
      </c>
      <c r="DU169" s="62">
        <f t="shared" si="152"/>
        <v>182.23565317232647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2.7743292757758724E-20</v>
      </c>
      <c r="ED169" s="24">
        <f t="shared" si="178"/>
        <v>2.7743292757758724E-20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9">
        <f t="shared" si="110"/>
        <v>581.89345991406594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-5.6843418860808015E-13</v>
      </c>
      <c r="O170" s="14">
        <f>N170*VLOOKUP('Données projet'!$B$9,Paramètres!$A$1:$I$89,3,0)*VLOOKUP('Données projet'!$B$9,Paramètres!$A$1:$I$89,5,0)</f>
        <v>-2.6602720026858149E-13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172.62653085905839</v>
      </c>
      <c r="T170" s="62">
        <f t="shared" si="142"/>
        <v>103.0747749312265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266</v>
      </c>
      <c r="AJ170" s="14">
        <f>AI170*VLOOKUP('Données projet'!$B$10,Paramètres!$A$1:$I$89,3,0)*VLOOKUP('Données projet'!$B$10,Paramètres!$A$1:$I$89,5,0)</f>
        <v>269.72400000000005</v>
      </c>
      <c r="AK170" s="14">
        <f t="shared" si="164"/>
        <v>64.790691635967406</v>
      </c>
      <c r="AL170" s="22">
        <f t="shared" si="165"/>
        <v>582.61308793264323</v>
      </c>
      <c r="AM170" s="62">
        <f t="shared" si="113"/>
        <v>875.9464212659766</v>
      </c>
      <c r="AN170" s="62">
        <f ca="1">AVERAGE(OFFSET($AM$3,0,0,'Données projet'!$E$10+1,1))-AVERAGE(OFFSET($H$3,0,0,'Données projet'!$E$10+1,1))</f>
        <v>289.36126704091066</v>
      </c>
      <c r="AO170" s="62">
        <f t="shared" si="144"/>
        <v>195.3674411454258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266</v>
      </c>
      <c r="BE170" s="14">
        <f>BD170*VLOOKUP('Données projet'!$B$11,Paramètres!$A$1:$I$89,3,0)*VLOOKUP('Données projet'!$B$11,Paramètres!$A$1:$I$89,5,0)</f>
        <v>240.67680000000001</v>
      </c>
      <c r="BF170" s="14">
        <f t="shared" si="167"/>
        <v>58.585123425001029</v>
      </c>
      <c r="BG170" s="22">
        <f t="shared" si="168"/>
        <v>521.21451663187679</v>
      </c>
      <c r="BH170" s="62">
        <f t="shared" si="116"/>
        <v>814.54784996521016</v>
      </c>
      <c r="BI170" s="62">
        <f ca="1">AVERAGE(OFFSET($BH$3,0,0,'Données projet'!$E$11+1,1))-AVERAGE(OFFSET($H$3,0,0,'Données projet'!$E$11+1,1))</f>
        <v>250.17147737747007</v>
      </c>
      <c r="BJ170" s="62">
        <f t="shared" si="146"/>
        <v>172.25613380618552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266</v>
      </c>
      <c r="BZ170" s="14">
        <f>BY170*VLOOKUP('Données projet'!$B$12,Paramètres!$A$1:$I$89,3,0)*VLOOKUP('Données projet'!$B$12,Paramètres!$A$1:$I$89,5,0)</f>
        <v>286.32240000000002</v>
      </c>
      <c r="CA170" s="14">
        <f t="shared" si="170"/>
        <v>68.301372478551315</v>
      </c>
      <c r="CB170" s="22">
        <f t="shared" si="171"/>
        <v>617.63640373347687</v>
      </c>
      <c r="CC170" s="62">
        <f t="shared" si="119"/>
        <v>910.96973706681024</v>
      </c>
      <c r="CD170" s="62">
        <f ca="1">AVERAGE(OFFSET($CC$3,0,0,'Données projet'!$E$12+1,1))-AVERAGE(OFFSET($H$3,0,0,'Données projet'!$E$12+1,1))</f>
        <v>311.71521576048417</v>
      </c>
      <c r="CE170" s="62">
        <f t="shared" si="148"/>
        <v>208.54841796921403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280.47174439810988</v>
      </c>
      <c r="CZ170" s="62">
        <f t="shared" si="150"/>
        <v>231.19476400361157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5.4174290535553421E-2</v>
      </c>
      <c r="DH170" s="23">
        <f>EXP(-LN(2)/2)*DH169+(1-EXP(-LN(2)/2))/(LN(2)/2)*DB170*DE170*VLOOKUP('Données projet'!$B$13,Paramètres!$A$1:$I$89,3,0)*0.475*44/12</f>
        <v>5.0618473472600719E-20</v>
      </c>
      <c r="DI170" s="24">
        <f t="shared" si="175"/>
        <v>5.4174290535553421E-2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6.7984728957526396E-14</v>
      </c>
      <c r="DQ170" s="14">
        <f t="shared" si="176"/>
        <v>1.0682447123141398E-12</v>
      </c>
      <c r="DR170" s="22">
        <f t="shared" si="177"/>
        <v>1.978932943548152E-12</v>
      </c>
      <c r="DS170" s="62">
        <f t="shared" si="125"/>
        <v>293.3333333333353</v>
      </c>
      <c r="DT170" s="62">
        <f ca="1">AVERAGE(OFFSET($DS$3,0,0,'Données projet'!$E$14+1,1))-AVERAGE(OFFSET($H$3,0,0,'Données projet'!$E$14+1,1))</f>
        <v>282.98919020956595</v>
      </c>
      <c r="DU170" s="62">
        <f t="shared" si="152"/>
        <v>182.23565317232647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1.9617470441454827E-20</v>
      </c>
      <c r="ED170" s="24">
        <f t="shared" si="178"/>
        <v>1.9617470441454827E-20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9">
        <f t="shared" si="110"/>
        <v>583.79438571037758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-5.6843418860808015E-13</v>
      </c>
      <c r="O171" s="14">
        <f>N171*VLOOKUP('Données projet'!$B$9,Paramètres!$A$1:$I$89,3,0)*VLOOKUP('Données projet'!$B$9,Paramètres!$A$1:$I$89,5,0)</f>
        <v>-2.6602720026858149E-13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172.62653085905839</v>
      </c>
      <c r="T171" s="62">
        <f t="shared" si="142"/>
        <v>103.0747749312265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266</v>
      </c>
      <c r="AJ171" s="14">
        <f>AI171*VLOOKUP('Données projet'!$B$10,Paramètres!$A$1:$I$89,3,0)*VLOOKUP('Données projet'!$B$10,Paramètres!$A$1:$I$89,5,0)</f>
        <v>269.72400000000005</v>
      </c>
      <c r="AK171" s="14">
        <f t="shared" si="164"/>
        <v>64.790691635967406</v>
      </c>
      <c r="AL171" s="22">
        <f t="shared" si="165"/>
        <v>582.61308793264323</v>
      </c>
      <c r="AM171" s="62">
        <f t="shared" si="113"/>
        <v>875.9464212659766</v>
      </c>
      <c r="AN171" s="62">
        <f ca="1">AVERAGE(OFFSET($AM$3,0,0,'Données projet'!$E$10+1,1))-AVERAGE(OFFSET($H$3,0,0,'Données projet'!$E$10+1,1))</f>
        <v>289.36126704091066</v>
      </c>
      <c r="AO171" s="62">
        <f t="shared" si="144"/>
        <v>195.3674411454258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266</v>
      </c>
      <c r="BE171" s="14">
        <f>BD171*VLOOKUP('Données projet'!$B$11,Paramètres!$A$1:$I$89,3,0)*VLOOKUP('Données projet'!$B$11,Paramètres!$A$1:$I$89,5,0)</f>
        <v>240.67680000000001</v>
      </c>
      <c r="BF171" s="14">
        <f t="shared" si="167"/>
        <v>58.585123425001029</v>
      </c>
      <c r="BG171" s="22">
        <f t="shared" si="168"/>
        <v>521.21451663187679</v>
      </c>
      <c r="BH171" s="62">
        <f t="shared" si="116"/>
        <v>814.54784996521016</v>
      </c>
      <c r="BI171" s="62">
        <f ca="1">AVERAGE(OFFSET($BH$3,0,0,'Données projet'!$E$11+1,1))-AVERAGE(OFFSET($H$3,0,0,'Données projet'!$E$11+1,1))</f>
        <v>250.17147737747007</v>
      </c>
      <c r="BJ171" s="62">
        <f t="shared" si="146"/>
        <v>172.25613380618552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266</v>
      </c>
      <c r="BZ171" s="14">
        <f>BY171*VLOOKUP('Données projet'!$B$12,Paramètres!$A$1:$I$89,3,0)*VLOOKUP('Données projet'!$B$12,Paramètres!$A$1:$I$89,5,0)</f>
        <v>286.32240000000002</v>
      </c>
      <c r="CA171" s="14">
        <f t="shared" si="170"/>
        <v>68.301372478551315</v>
      </c>
      <c r="CB171" s="22">
        <f t="shared" si="171"/>
        <v>617.63640373347687</v>
      </c>
      <c r="CC171" s="62">
        <f t="shared" si="119"/>
        <v>910.96973706681024</v>
      </c>
      <c r="CD171" s="62">
        <f ca="1">AVERAGE(OFFSET($CC$3,0,0,'Données projet'!$E$12+1,1))-AVERAGE(OFFSET($H$3,0,0,'Données projet'!$E$12+1,1))</f>
        <v>311.71521576048417</v>
      </c>
      <c r="CE171" s="62">
        <f t="shared" si="148"/>
        <v>208.54841796921403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280.47174439810988</v>
      </c>
      <c r="CZ171" s="62">
        <f t="shared" si="150"/>
        <v>231.19476400361157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5.269289171195659E-2</v>
      </c>
      <c r="DH171" s="23">
        <f>EXP(-LN(2)/2)*DH170+(1-EXP(-LN(2)/2))/(LN(2)/2)*DB171*DE171*VLOOKUP('Données projet'!$B$13,Paramètres!$A$1:$I$89,3,0)*0.475*44/12</f>
        <v>3.5792665845787336E-20</v>
      </c>
      <c r="DI171" s="24">
        <f t="shared" si="175"/>
        <v>5.269289171195659E-2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6.7984728957526396E-14</v>
      </c>
      <c r="DQ171" s="14">
        <f t="shared" si="176"/>
        <v>1.0682447123141398E-12</v>
      </c>
      <c r="DR171" s="22">
        <f t="shared" si="177"/>
        <v>1.978932943548152E-12</v>
      </c>
      <c r="DS171" s="62">
        <f t="shared" si="125"/>
        <v>293.3333333333353</v>
      </c>
      <c r="DT171" s="62">
        <f ca="1">AVERAGE(OFFSET($DS$3,0,0,'Données projet'!$E$14+1,1))-AVERAGE(OFFSET($H$3,0,0,'Données projet'!$E$14+1,1))</f>
        <v>282.98919020956595</v>
      </c>
      <c r="DU171" s="62">
        <f t="shared" si="152"/>
        <v>182.23565317232647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1.3871646378879362E-20</v>
      </c>
      <c r="ED171" s="24">
        <f t="shared" si="178"/>
        <v>1.3871646378879362E-20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9">
        <f t="shared" si="110"/>
        <v>585.69506754060376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-5.6843418860808015E-13</v>
      </c>
      <c r="O172" s="14">
        <f>N172*VLOOKUP('Données projet'!$B$9,Paramètres!$A$1:$I$89,3,0)*VLOOKUP('Données projet'!$B$9,Paramètres!$A$1:$I$89,5,0)</f>
        <v>-2.6602720026858149E-13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172.62653085905839</v>
      </c>
      <c r="T172" s="62">
        <f t="shared" si="142"/>
        <v>103.0747749312265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266</v>
      </c>
      <c r="AJ172" s="14">
        <f>AI172*VLOOKUP('Données projet'!$B$10,Paramètres!$A$1:$I$89,3,0)*VLOOKUP('Données projet'!$B$10,Paramètres!$A$1:$I$89,5,0)</f>
        <v>269.72400000000005</v>
      </c>
      <c r="AK172" s="14">
        <f t="shared" si="164"/>
        <v>64.790691635967406</v>
      </c>
      <c r="AL172" s="22">
        <f t="shared" si="165"/>
        <v>582.61308793264323</v>
      </c>
      <c r="AM172" s="62">
        <f t="shared" si="113"/>
        <v>875.9464212659766</v>
      </c>
      <c r="AN172" s="62">
        <f ca="1">AVERAGE(OFFSET($AM$3,0,0,'Données projet'!$E$10+1,1))-AVERAGE(OFFSET($H$3,0,0,'Données projet'!$E$10+1,1))</f>
        <v>289.36126704091066</v>
      </c>
      <c r="AO172" s="62">
        <f t="shared" si="144"/>
        <v>195.3674411454258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266</v>
      </c>
      <c r="BE172" s="14">
        <f>BD172*VLOOKUP('Données projet'!$B$11,Paramètres!$A$1:$I$89,3,0)*VLOOKUP('Données projet'!$B$11,Paramètres!$A$1:$I$89,5,0)</f>
        <v>240.67680000000001</v>
      </c>
      <c r="BF172" s="14">
        <f t="shared" si="167"/>
        <v>58.585123425001029</v>
      </c>
      <c r="BG172" s="22">
        <f t="shared" si="168"/>
        <v>521.21451663187679</v>
      </c>
      <c r="BH172" s="62">
        <f t="shared" si="116"/>
        <v>814.54784996521016</v>
      </c>
      <c r="BI172" s="62">
        <f ca="1">AVERAGE(OFFSET($BH$3,0,0,'Données projet'!$E$11+1,1))-AVERAGE(OFFSET($H$3,0,0,'Données projet'!$E$11+1,1))</f>
        <v>250.17147737747007</v>
      </c>
      <c r="BJ172" s="62">
        <f t="shared" si="146"/>
        <v>172.25613380618552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266</v>
      </c>
      <c r="BZ172" s="14">
        <f>BY172*VLOOKUP('Données projet'!$B$12,Paramètres!$A$1:$I$89,3,0)*VLOOKUP('Données projet'!$B$12,Paramètres!$A$1:$I$89,5,0)</f>
        <v>286.32240000000002</v>
      </c>
      <c r="CA172" s="14">
        <f t="shared" si="170"/>
        <v>68.301372478551315</v>
      </c>
      <c r="CB172" s="22">
        <f t="shared" si="171"/>
        <v>617.63640373347687</v>
      </c>
      <c r="CC172" s="62">
        <f t="shared" si="119"/>
        <v>910.96973706681024</v>
      </c>
      <c r="CD172" s="62">
        <f ca="1">AVERAGE(OFFSET($CC$3,0,0,'Données projet'!$E$12+1,1))-AVERAGE(OFFSET($H$3,0,0,'Données projet'!$E$12+1,1))</f>
        <v>311.71521576048417</v>
      </c>
      <c r="CE172" s="62">
        <f t="shared" si="148"/>
        <v>208.54841796921403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280.47174439810988</v>
      </c>
      <c r="CZ172" s="62">
        <f t="shared" si="150"/>
        <v>231.19476400361157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5.1252001817094391E-2</v>
      </c>
      <c r="DH172" s="23">
        <f>EXP(-LN(2)/2)*DH171+(1-EXP(-LN(2)/2))/(LN(2)/2)*DB172*DE172*VLOOKUP('Données projet'!$B$13,Paramètres!$A$1:$I$89,3,0)*0.475*44/12</f>
        <v>2.5309236736300359E-20</v>
      </c>
      <c r="DI172" s="24">
        <f t="shared" si="175"/>
        <v>5.1252001817094391E-2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6.7984728957526396E-14</v>
      </c>
      <c r="DQ172" s="14">
        <f t="shared" si="176"/>
        <v>1.0682447123141398E-12</v>
      </c>
      <c r="DR172" s="22">
        <f t="shared" si="177"/>
        <v>1.978932943548152E-12</v>
      </c>
      <c r="DS172" s="62">
        <f t="shared" si="125"/>
        <v>293.3333333333353</v>
      </c>
      <c r="DT172" s="62">
        <f ca="1">AVERAGE(OFFSET($DS$3,0,0,'Données projet'!$E$14+1,1))-AVERAGE(OFFSET($H$3,0,0,'Données projet'!$E$14+1,1))</f>
        <v>282.98919020956595</v>
      </c>
      <c r="DU172" s="62">
        <f t="shared" si="152"/>
        <v>182.23565317232647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9.8087352207274133E-21</v>
      </c>
      <c r="ED172" s="24">
        <f t="shared" si="178"/>
        <v>9.8087352207274133E-21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9">
        <f t="shared" si="110"/>
        <v>587.5955070158285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-5.6843418860808015E-13</v>
      </c>
      <c r="O173" s="14">
        <f>N173*VLOOKUP('Données projet'!$B$9,Paramètres!$A$1:$I$89,3,0)*VLOOKUP('Données projet'!$B$9,Paramètres!$A$1:$I$89,5,0)</f>
        <v>-2.6602720026858149E-13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172.62653085905839</v>
      </c>
      <c r="T173" s="62">
        <f t="shared" si="142"/>
        <v>103.0747749312265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266</v>
      </c>
      <c r="AJ173" s="14">
        <f>AI173*VLOOKUP('Données projet'!$B$10,Paramètres!$A$1:$I$89,3,0)*VLOOKUP('Données projet'!$B$10,Paramètres!$A$1:$I$89,5,0)</f>
        <v>269.72400000000005</v>
      </c>
      <c r="AK173" s="14">
        <f t="shared" si="164"/>
        <v>64.790691635967406</v>
      </c>
      <c r="AL173" s="22">
        <f t="shared" si="165"/>
        <v>582.61308793264323</v>
      </c>
      <c r="AM173" s="62">
        <f t="shared" si="113"/>
        <v>875.9464212659766</v>
      </c>
      <c r="AN173" s="62">
        <f ca="1">AVERAGE(OFFSET($AM$3,0,0,'Données projet'!$E$10+1,1))-AVERAGE(OFFSET($H$3,0,0,'Données projet'!$E$10+1,1))</f>
        <v>289.36126704091066</v>
      </c>
      <c r="AO173" s="62">
        <f t="shared" si="144"/>
        <v>195.3674411454258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266</v>
      </c>
      <c r="BE173" s="14">
        <f>BD173*VLOOKUP('Données projet'!$B$11,Paramètres!$A$1:$I$89,3,0)*VLOOKUP('Données projet'!$B$11,Paramètres!$A$1:$I$89,5,0)</f>
        <v>240.67680000000001</v>
      </c>
      <c r="BF173" s="14">
        <f t="shared" si="167"/>
        <v>58.585123425001029</v>
      </c>
      <c r="BG173" s="22">
        <f t="shared" si="168"/>
        <v>521.21451663187679</v>
      </c>
      <c r="BH173" s="62">
        <f t="shared" si="116"/>
        <v>814.54784996521016</v>
      </c>
      <c r="BI173" s="62">
        <f ca="1">AVERAGE(OFFSET($BH$3,0,0,'Données projet'!$E$11+1,1))-AVERAGE(OFFSET($H$3,0,0,'Données projet'!$E$11+1,1))</f>
        <v>250.17147737747007</v>
      </c>
      <c r="BJ173" s="62">
        <f t="shared" si="146"/>
        <v>172.25613380618552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266</v>
      </c>
      <c r="BZ173" s="14">
        <f>BY173*VLOOKUP('Données projet'!$B$12,Paramètres!$A$1:$I$89,3,0)*VLOOKUP('Données projet'!$B$12,Paramètres!$A$1:$I$89,5,0)</f>
        <v>286.32240000000002</v>
      </c>
      <c r="CA173" s="14">
        <f t="shared" si="170"/>
        <v>68.301372478551315</v>
      </c>
      <c r="CB173" s="22">
        <f t="shared" si="171"/>
        <v>617.63640373347687</v>
      </c>
      <c r="CC173" s="62">
        <f t="shared" si="119"/>
        <v>910.96973706681024</v>
      </c>
      <c r="CD173" s="62">
        <f ca="1">AVERAGE(OFFSET($CC$3,0,0,'Données projet'!$E$12+1,1))-AVERAGE(OFFSET($H$3,0,0,'Données projet'!$E$12+1,1))</f>
        <v>311.71521576048417</v>
      </c>
      <c r="CE173" s="62">
        <f t="shared" si="148"/>
        <v>208.54841796921403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280.47174439810988</v>
      </c>
      <c r="CZ173" s="62">
        <f t="shared" si="150"/>
        <v>231.19476400361157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4.9850513132180307E-2</v>
      </c>
      <c r="DH173" s="23">
        <f>EXP(-LN(2)/2)*DH172+(1-EXP(-LN(2)/2))/(LN(2)/2)*DB173*DE173*VLOOKUP('Données projet'!$B$13,Paramètres!$A$1:$I$89,3,0)*0.475*44/12</f>
        <v>1.7896332922893668E-20</v>
      </c>
      <c r="DI173" s="24">
        <f t="shared" si="175"/>
        <v>4.9850513132180307E-2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6.7984728957526396E-14</v>
      </c>
      <c r="DQ173" s="14">
        <f t="shared" si="176"/>
        <v>1.0682447123141398E-12</v>
      </c>
      <c r="DR173" s="22">
        <f t="shared" si="177"/>
        <v>1.978932943548152E-12</v>
      </c>
      <c r="DS173" s="62">
        <f t="shared" si="125"/>
        <v>293.3333333333353</v>
      </c>
      <c r="DT173" s="62">
        <f ca="1">AVERAGE(OFFSET($DS$3,0,0,'Données projet'!$E$14+1,1))-AVERAGE(OFFSET($H$3,0,0,'Données projet'!$E$14+1,1))</f>
        <v>282.98919020956595</v>
      </c>
      <c r="DU173" s="62">
        <f t="shared" si="152"/>
        <v>182.23565317232647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6.935823189439681E-21</v>
      </c>
      <c r="ED173" s="24">
        <f t="shared" si="178"/>
        <v>6.935823189439681E-21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9">
        <f t="shared" si="110"/>
        <v>589.49570572708467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-5.6843418860808015E-13</v>
      </c>
      <c r="O174" s="14">
        <f>N174*VLOOKUP('Données projet'!$B$9,Paramètres!$A$1:$I$89,3,0)*VLOOKUP('Données projet'!$B$9,Paramètres!$A$1:$I$89,5,0)</f>
        <v>-2.6602720026858149E-13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172.62653085905839</v>
      </c>
      <c r="T174" s="62">
        <f t="shared" si="142"/>
        <v>103.0747749312265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266</v>
      </c>
      <c r="AJ174" s="14">
        <f>AI174*VLOOKUP('Données projet'!$B$10,Paramètres!$A$1:$I$89,3,0)*VLOOKUP('Données projet'!$B$10,Paramètres!$A$1:$I$89,5,0)</f>
        <v>269.72400000000005</v>
      </c>
      <c r="AK174" s="14">
        <f t="shared" si="164"/>
        <v>64.790691635967406</v>
      </c>
      <c r="AL174" s="22">
        <f t="shared" si="165"/>
        <v>582.61308793264323</v>
      </c>
      <c r="AM174" s="62">
        <f t="shared" si="113"/>
        <v>875.9464212659766</v>
      </c>
      <c r="AN174" s="62">
        <f ca="1">AVERAGE(OFFSET($AM$3,0,0,'Données projet'!$E$10+1,1))-AVERAGE(OFFSET($H$3,0,0,'Données projet'!$E$10+1,1))</f>
        <v>289.36126704091066</v>
      </c>
      <c r="AO174" s="62">
        <f t="shared" si="144"/>
        <v>195.3674411454258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266</v>
      </c>
      <c r="BE174" s="14">
        <f>BD174*VLOOKUP('Données projet'!$B$11,Paramètres!$A$1:$I$89,3,0)*VLOOKUP('Données projet'!$B$11,Paramètres!$A$1:$I$89,5,0)</f>
        <v>240.67680000000001</v>
      </c>
      <c r="BF174" s="14">
        <f t="shared" si="167"/>
        <v>58.585123425001029</v>
      </c>
      <c r="BG174" s="22">
        <f t="shared" si="168"/>
        <v>521.21451663187679</v>
      </c>
      <c r="BH174" s="62">
        <f t="shared" si="116"/>
        <v>814.54784996521016</v>
      </c>
      <c r="BI174" s="62">
        <f ca="1">AVERAGE(OFFSET($BH$3,0,0,'Données projet'!$E$11+1,1))-AVERAGE(OFFSET($H$3,0,0,'Données projet'!$E$11+1,1))</f>
        <v>250.17147737747007</v>
      </c>
      <c r="BJ174" s="62">
        <f t="shared" si="146"/>
        <v>172.25613380618552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266</v>
      </c>
      <c r="BZ174" s="14">
        <f>BY174*VLOOKUP('Données projet'!$B$12,Paramètres!$A$1:$I$89,3,0)*VLOOKUP('Données projet'!$B$12,Paramètres!$A$1:$I$89,5,0)</f>
        <v>286.32240000000002</v>
      </c>
      <c r="CA174" s="14">
        <f t="shared" si="170"/>
        <v>68.301372478551315</v>
      </c>
      <c r="CB174" s="22">
        <f t="shared" si="171"/>
        <v>617.63640373347687</v>
      </c>
      <c r="CC174" s="62">
        <f t="shared" si="119"/>
        <v>910.96973706681024</v>
      </c>
      <c r="CD174" s="62">
        <f ca="1">AVERAGE(OFFSET($CC$3,0,0,'Données projet'!$E$12+1,1))-AVERAGE(OFFSET($H$3,0,0,'Données projet'!$E$12+1,1))</f>
        <v>311.71521576048417</v>
      </c>
      <c r="CE174" s="62">
        <f t="shared" si="148"/>
        <v>208.54841796921403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280.47174439810988</v>
      </c>
      <c r="CZ174" s="62">
        <f t="shared" si="150"/>
        <v>231.19476400361157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4.8487348229056287E-2</v>
      </c>
      <c r="DH174" s="23">
        <f>EXP(-LN(2)/2)*DH173+(1-EXP(-LN(2)/2))/(LN(2)/2)*DB174*DE174*VLOOKUP('Données projet'!$B$13,Paramètres!$A$1:$I$89,3,0)*0.475*44/12</f>
        <v>1.265461836815018E-20</v>
      </c>
      <c r="DI174" s="24">
        <f t="shared" si="175"/>
        <v>4.8487348229056287E-2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6.7984728957526396E-14</v>
      </c>
      <c r="DQ174" s="14">
        <f t="shared" si="176"/>
        <v>1.0682447123141398E-12</v>
      </c>
      <c r="DR174" s="22">
        <f t="shared" si="177"/>
        <v>1.978932943548152E-12</v>
      </c>
      <c r="DS174" s="62">
        <f t="shared" si="125"/>
        <v>293.3333333333353</v>
      </c>
      <c r="DT174" s="62">
        <f ca="1">AVERAGE(OFFSET($DS$3,0,0,'Données projet'!$E$14+1,1))-AVERAGE(OFFSET($H$3,0,0,'Données projet'!$E$14+1,1))</f>
        <v>282.98919020956595</v>
      </c>
      <c r="DU174" s="62">
        <f t="shared" si="152"/>
        <v>182.23565317232647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4.9043676103637067E-21</v>
      </c>
      <c r="ED174" s="24">
        <f t="shared" si="178"/>
        <v>4.9043676103637067E-21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9">
        <f t="shared" si="110"/>
        <v>591.39566524572035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-5.6843418860808015E-13</v>
      </c>
      <c r="O175" s="14">
        <f>N175*VLOOKUP('Données projet'!$B$9,Paramètres!$A$1:$I$89,3,0)*VLOOKUP('Données projet'!$B$9,Paramètres!$A$1:$I$89,5,0)</f>
        <v>-2.6602720026858149E-13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172.62653085905839</v>
      </c>
      <c r="T175" s="62">
        <f t="shared" si="142"/>
        <v>103.0747749312265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266</v>
      </c>
      <c r="AJ175" s="14">
        <f>AI175*VLOOKUP('Données projet'!$B$10,Paramètres!$A$1:$I$89,3,0)*VLOOKUP('Données projet'!$B$10,Paramètres!$A$1:$I$89,5,0)</f>
        <v>269.72400000000005</v>
      </c>
      <c r="AK175" s="14">
        <f t="shared" si="164"/>
        <v>64.790691635967406</v>
      </c>
      <c r="AL175" s="22">
        <f t="shared" si="165"/>
        <v>582.61308793264323</v>
      </c>
      <c r="AM175" s="62">
        <f t="shared" si="113"/>
        <v>875.9464212659766</v>
      </c>
      <c r="AN175" s="62">
        <f ca="1">AVERAGE(OFFSET($AM$3,0,0,'Données projet'!$E$10+1,1))-AVERAGE(OFFSET($H$3,0,0,'Données projet'!$E$10+1,1))</f>
        <v>289.36126704091066</v>
      </c>
      <c r="AO175" s="62">
        <f t="shared" si="144"/>
        <v>195.3674411454258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266</v>
      </c>
      <c r="BE175" s="14">
        <f>BD175*VLOOKUP('Données projet'!$B$11,Paramètres!$A$1:$I$89,3,0)*VLOOKUP('Données projet'!$B$11,Paramètres!$A$1:$I$89,5,0)</f>
        <v>240.67680000000001</v>
      </c>
      <c r="BF175" s="14">
        <f t="shared" si="167"/>
        <v>58.585123425001029</v>
      </c>
      <c r="BG175" s="22">
        <f t="shared" si="168"/>
        <v>521.21451663187679</v>
      </c>
      <c r="BH175" s="62">
        <f t="shared" si="116"/>
        <v>814.54784996521016</v>
      </c>
      <c r="BI175" s="62">
        <f ca="1">AVERAGE(OFFSET($BH$3,0,0,'Données projet'!$E$11+1,1))-AVERAGE(OFFSET($H$3,0,0,'Données projet'!$E$11+1,1))</f>
        <v>250.17147737747007</v>
      </c>
      <c r="BJ175" s="62">
        <f t="shared" si="146"/>
        <v>172.25613380618552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266</v>
      </c>
      <c r="BZ175" s="14">
        <f>BY175*VLOOKUP('Données projet'!$B$12,Paramètres!$A$1:$I$89,3,0)*VLOOKUP('Données projet'!$B$12,Paramètres!$A$1:$I$89,5,0)</f>
        <v>286.32240000000002</v>
      </c>
      <c r="CA175" s="14">
        <f t="shared" si="170"/>
        <v>68.301372478551315</v>
      </c>
      <c r="CB175" s="22">
        <f t="shared" si="171"/>
        <v>617.63640373347687</v>
      </c>
      <c r="CC175" s="62">
        <f t="shared" si="119"/>
        <v>910.96973706681024</v>
      </c>
      <c r="CD175" s="62">
        <f ca="1">AVERAGE(OFFSET($CC$3,0,0,'Données projet'!$E$12+1,1))-AVERAGE(OFFSET($H$3,0,0,'Données projet'!$E$12+1,1))</f>
        <v>311.71521576048417</v>
      </c>
      <c r="CE175" s="62">
        <f t="shared" si="148"/>
        <v>208.54841796921403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280.47174439810988</v>
      </c>
      <c r="CZ175" s="62">
        <f t="shared" si="150"/>
        <v>231.19476400361157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4.7161459141893916E-2</v>
      </c>
      <c r="DH175" s="23">
        <f>EXP(-LN(2)/2)*DH174+(1-EXP(-LN(2)/2))/(LN(2)/2)*DB175*DE175*VLOOKUP('Données projet'!$B$13,Paramètres!$A$1:$I$89,3,0)*0.475*44/12</f>
        <v>8.9481664614468341E-21</v>
      </c>
      <c r="DI175" s="24">
        <f t="shared" si="175"/>
        <v>4.7161459141893916E-2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6.7984728957526396E-14</v>
      </c>
      <c r="DQ175" s="14">
        <f t="shared" si="176"/>
        <v>1.0682447123141398E-12</v>
      </c>
      <c r="DR175" s="22">
        <f t="shared" si="177"/>
        <v>1.978932943548152E-12</v>
      </c>
      <c r="DS175" s="62">
        <f t="shared" si="125"/>
        <v>293.3333333333353</v>
      </c>
      <c r="DT175" s="62">
        <f ca="1">AVERAGE(OFFSET($DS$3,0,0,'Données projet'!$E$14+1,1))-AVERAGE(OFFSET($H$3,0,0,'Données projet'!$E$14+1,1))</f>
        <v>282.98919020956595</v>
      </c>
      <c r="DU175" s="62">
        <f t="shared" si="152"/>
        <v>182.23565317232647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3.4679115947198405E-21</v>
      </c>
      <c r="ED175" s="24">
        <f t="shared" si="178"/>
        <v>3.4679115947198405E-21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9">
        <f t="shared" si="110"/>
        <v>593.29538712375495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-5.6843418860808015E-13</v>
      </c>
      <c r="O176" s="14">
        <f>N176*VLOOKUP('Données projet'!$B$9,Paramètres!$A$1:$I$89,3,0)*VLOOKUP('Données projet'!$B$9,Paramètres!$A$1:$I$89,5,0)</f>
        <v>-2.6602720026858149E-13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172.62653085905839</v>
      </c>
      <c r="T176" s="62">
        <f t="shared" si="142"/>
        <v>103.0747749312265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266</v>
      </c>
      <c r="AJ176" s="14">
        <f>AI176*VLOOKUP('Données projet'!$B$10,Paramètres!$A$1:$I$89,3,0)*VLOOKUP('Données projet'!$B$10,Paramètres!$A$1:$I$89,5,0)</f>
        <v>269.72400000000005</v>
      </c>
      <c r="AK176" s="14">
        <f t="shared" si="164"/>
        <v>64.790691635967406</v>
      </c>
      <c r="AL176" s="22">
        <f t="shared" si="165"/>
        <v>582.61308793264323</v>
      </c>
      <c r="AM176" s="62">
        <f t="shared" si="113"/>
        <v>875.9464212659766</v>
      </c>
      <c r="AN176" s="62">
        <f ca="1">AVERAGE(OFFSET($AM$3,0,0,'Données projet'!$E$10+1,1))-AVERAGE(OFFSET($H$3,0,0,'Données projet'!$E$10+1,1))</f>
        <v>289.36126704091066</v>
      </c>
      <c r="AO176" s="62">
        <f t="shared" si="144"/>
        <v>195.3674411454258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266</v>
      </c>
      <c r="BE176" s="14">
        <f>BD176*VLOOKUP('Données projet'!$B$11,Paramètres!$A$1:$I$89,3,0)*VLOOKUP('Données projet'!$B$11,Paramètres!$A$1:$I$89,5,0)</f>
        <v>240.67680000000001</v>
      </c>
      <c r="BF176" s="14">
        <f t="shared" si="167"/>
        <v>58.585123425001029</v>
      </c>
      <c r="BG176" s="22">
        <f t="shared" si="168"/>
        <v>521.21451663187679</v>
      </c>
      <c r="BH176" s="62">
        <f t="shared" si="116"/>
        <v>814.54784996521016</v>
      </c>
      <c r="BI176" s="62">
        <f ca="1">AVERAGE(OFFSET($BH$3,0,0,'Données projet'!$E$11+1,1))-AVERAGE(OFFSET($H$3,0,0,'Données projet'!$E$11+1,1))</f>
        <v>250.17147737747007</v>
      </c>
      <c r="BJ176" s="62">
        <f t="shared" si="146"/>
        <v>172.25613380618552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266</v>
      </c>
      <c r="BZ176" s="14">
        <f>BY176*VLOOKUP('Données projet'!$B$12,Paramètres!$A$1:$I$89,3,0)*VLOOKUP('Données projet'!$B$12,Paramètres!$A$1:$I$89,5,0)</f>
        <v>286.32240000000002</v>
      </c>
      <c r="CA176" s="14">
        <f t="shared" si="170"/>
        <v>68.301372478551315</v>
      </c>
      <c r="CB176" s="22">
        <f t="shared" si="171"/>
        <v>617.63640373347687</v>
      </c>
      <c r="CC176" s="62">
        <f t="shared" si="119"/>
        <v>910.96973706681024</v>
      </c>
      <c r="CD176" s="62">
        <f ca="1">AVERAGE(OFFSET($CC$3,0,0,'Données projet'!$E$12+1,1))-AVERAGE(OFFSET($H$3,0,0,'Données projet'!$E$12+1,1))</f>
        <v>311.71521576048417</v>
      </c>
      <c r="CE176" s="62">
        <f t="shared" si="148"/>
        <v>208.54841796921403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280.47174439810988</v>
      </c>
      <c r="CZ176" s="62">
        <f t="shared" si="150"/>
        <v>231.19476400361157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4.5871826561545481E-2</v>
      </c>
      <c r="DH176" s="23">
        <f>EXP(-LN(2)/2)*DH175+(1-EXP(-LN(2)/2))/(LN(2)/2)*DB176*DE176*VLOOKUP('Données projet'!$B$13,Paramètres!$A$1:$I$89,3,0)*0.475*44/12</f>
        <v>6.3273091840750898E-21</v>
      </c>
      <c r="DI176" s="24">
        <f t="shared" si="175"/>
        <v>4.5871826561545481E-2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6.7984728957526396E-14</v>
      </c>
      <c r="DQ176" s="14">
        <f t="shared" si="176"/>
        <v>1.0682447123141398E-12</v>
      </c>
      <c r="DR176" s="22">
        <f t="shared" si="177"/>
        <v>1.978932943548152E-12</v>
      </c>
      <c r="DS176" s="62">
        <f t="shared" si="125"/>
        <v>293.3333333333353</v>
      </c>
      <c r="DT176" s="62">
        <f ca="1">AVERAGE(OFFSET($DS$3,0,0,'Données projet'!$E$14+1,1))-AVERAGE(OFFSET($H$3,0,0,'Données projet'!$E$14+1,1))</f>
        <v>282.98919020956595</v>
      </c>
      <c r="DU176" s="62">
        <f t="shared" si="152"/>
        <v>182.23565317232647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2.4521838051818533E-21</v>
      </c>
      <c r="ED176" s="24">
        <f t="shared" si="178"/>
        <v>2.4521838051818533E-21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9">
        <f t="shared" si="110"/>
        <v>595.19487289422705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-5.6843418860808015E-13</v>
      </c>
      <c r="O177" s="14">
        <f>N177*VLOOKUP('Données projet'!$B$9,Paramètres!$A$1:$I$89,3,0)*VLOOKUP('Données projet'!$B$9,Paramètres!$A$1:$I$89,5,0)</f>
        <v>-2.6602720026858149E-13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172.62653085905839</v>
      </c>
      <c r="T177" s="62">
        <f t="shared" si="142"/>
        <v>103.0747749312265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266</v>
      </c>
      <c r="AJ177" s="14">
        <f>AI177*VLOOKUP('Données projet'!$B$10,Paramètres!$A$1:$I$89,3,0)*VLOOKUP('Données projet'!$B$10,Paramètres!$A$1:$I$89,5,0)</f>
        <v>269.72400000000005</v>
      </c>
      <c r="AK177" s="14">
        <f t="shared" si="164"/>
        <v>64.790691635967406</v>
      </c>
      <c r="AL177" s="22">
        <f t="shared" si="165"/>
        <v>582.61308793264323</v>
      </c>
      <c r="AM177" s="62">
        <f t="shared" si="113"/>
        <v>875.9464212659766</v>
      </c>
      <c r="AN177" s="62">
        <f ca="1">AVERAGE(OFFSET($AM$3,0,0,'Données projet'!$E$10+1,1))-AVERAGE(OFFSET($H$3,0,0,'Données projet'!$E$10+1,1))</f>
        <v>289.36126704091066</v>
      </c>
      <c r="AO177" s="62">
        <f t="shared" si="144"/>
        <v>195.3674411454258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266</v>
      </c>
      <c r="BE177" s="14">
        <f>BD177*VLOOKUP('Données projet'!$B$11,Paramètres!$A$1:$I$89,3,0)*VLOOKUP('Données projet'!$B$11,Paramètres!$A$1:$I$89,5,0)</f>
        <v>240.67680000000001</v>
      </c>
      <c r="BF177" s="14">
        <f t="shared" si="167"/>
        <v>58.585123425001029</v>
      </c>
      <c r="BG177" s="22">
        <f t="shared" si="168"/>
        <v>521.21451663187679</v>
      </c>
      <c r="BH177" s="62">
        <f t="shared" si="116"/>
        <v>814.54784996521016</v>
      </c>
      <c r="BI177" s="62">
        <f ca="1">AVERAGE(OFFSET($BH$3,0,0,'Données projet'!$E$11+1,1))-AVERAGE(OFFSET($H$3,0,0,'Données projet'!$E$11+1,1))</f>
        <v>250.17147737747007</v>
      </c>
      <c r="BJ177" s="62">
        <f t="shared" si="146"/>
        <v>172.25613380618552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266</v>
      </c>
      <c r="BZ177" s="14">
        <f>BY177*VLOOKUP('Données projet'!$B$12,Paramètres!$A$1:$I$89,3,0)*VLOOKUP('Données projet'!$B$12,Paramètres!$A$1:$I$89,5,0)</f>
        <v>286.32240000000002</v>
      </c>
      <c r="CA177" s="14">
        <f t="shared" si="170"/>
        <v>68.301372478551315</v>
      </c>
      <c r="CB177" s="22">
        <f t="shared" si="171"/>
        <v>617.63640373347687</v>
      </c>
      <c r="CC177" s="62">
        <f t="shared" si="119"/>
        <v>910.96973706681024</v>
      </c>
      <c r="CD177" s="62">
        <f ca="1">AVERAGE(OFFSET($CC$3,0,0,'Données projet'!$E$12+1,1))-AVERAGE(OFFSET($H$3,0,0,'Données projet'!$E$12+1,1))</f>
        <v>311.71521576048417</v>
      </c>
      <c r="CE177" s="62">
        <f t="shared" si="148"/>
        <v>208.54841796921403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280.47174439810988</v>
      </c>
      <c r="CZ177" s="62">
        <f t="shared" si="150"/>
        <v>231.19476400361157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4.4617459051925504E-2</v>
      </c>
      <c r="DH177" s="23">
        <f>EXP(-LN(2)/2)*DH176+(1-EXP(-LN(2)/2))/(LN(2)/2)*DB177*DE177*VLOOKUP('Données projet'!$B$13,Paramètres!$A$1:$I$89,3,0)*0.475*44/12</f>
        <v>4.4740832307234171E-21</v>
      </c>
      <c r="DI177" s="24">
        <f t="shared" si="175"/>
        <v>4.4617459051925504E-2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6.7984728957526396E-14</v>
      </c>
      <c r="DQ177" s="14">
        <f t="shared" si="176"/>
        <v>1.0682447123141398E-12</v>
      </c>
      <c r="DR177" s="22">
        <f t="shared" si="177"/>
        <v>1.978932943548152E-12</v>
      </c>
      <c r="DS177" s="62">
        <f t="shared" si="125"/>
        <v>293.3333333333353</v>
      </c>
      <c r="DT177" s="62">
        <f ca="1">AVERAGE(OFFSET($DS$3,0,0,'Données projet'!$E$14+1,1))-AVERAGE(OFFSET($H$3,0,0,'Données projet'!$E$14+1,1))</f>
        <v>282.98919020956595</v>
      </c>
      <c r="DU177" s="62">
        <f t="shared" si="152"/>
        <v>182.23565317232647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1.7339557973599202E-21</v>
      </c>
      <c r="ED177" s="24">
        <f t="shared" si="178"/>
        <v>1.7339557973599202E-21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9">
        <f t="shared" si="110"/>
        <v>597.09412407153457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-5.6843418860808015E-13</v>
      </c>
      <c r="O178" s="14">
        <f>N178*VLOOKUP('Données projet'!$B$9,Paramètres!$A$1:$I$89,3,0)*VLOOKUP('Données projet'!$B$9,Paramètres!$A$1:$I$89,5,0)</f>
        <v>-2.6602720026858149E-13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172.62653085905839</v>
      </c>
      <c r="T178" s="62">
        <f t="shared" si="142"/>
        <v>103.0747749312265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266</v>
      </c>
      <c r="AJ178" s="14">
        <f>AI178*VLOOKUP('Données projet'!$B$10,Paramètres!$A$1:$I$89,3,0)*VLOOKUP('Données projet'!$B$10,Paramètres!$A$1:$I$89,5,0)</f>
        <v>269.72400000000005</v>
      </c>
      <c r="AK178" s="14">
        <f t="shared" si="164"/>
        <v>64.790691635967406</v>
      </c>
      <c r="AL178" s="22">
        <f t="shared" si="165"/>
        <v>582.61308793264323</v>
      </c>
      <c r="AM178" s="62">
        <f t="shared" si="113"/>
        <v>875.9464212659766</v>
      </c>
      <c r="AN178" s="62">
        <f ca="1">AVERAGE(OFFSET($AM$3,0,0,'Données projet'!$E$10+1,1))-AVERAGE(OFFSET($H$3,0,0,'Données projet'!$E$10+1,1))</f>
        <v>289.36126704091066</v>
      </c>
      <c r="AO178" s="62">
        <f t="shared" si="144"/>
        <v>195.3674411454258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266</v>
      </c>
      <c r="BE178" s="14">
        <f>BD178*VLOOKUP('Données projet'!$B$11,Paramètres!$A$1:$I$89,3,0)*VLOOKUP('Données projet'!$B$11,Paramètres!$A$1:$I$89,5,0)</f>
        <v>240.67680000000001</v>
      </c>
      <c r="BF178" s="14">
        <f t="shared" si="167"/>
        <v>58.585123425001029</v>
      </c>
      <c r="BG178" s="22">
        <f t="shared" si="168"/>
        <v>521.21451663187679</v>
      </c>
      <c r="BH178" s="62">
        <f t="shared" si="116"/>
        <v>814.54784996521016</v>
      </c>
      <c r="BI178" s="62">
        <f ca="1">AVERAGE(OFFSET($BH$3,0,0,'Données projet'!$E$11+1,1))-AVERAGE(OFFSET($H$3,0,0,'Données projet'!$E$11+1,1))</f>
        <v>250.17147737747007</v>
      </c>
      <c r="BJ178" s="62">
        <f t="shared" si="146"/>
        <v>172.25613380618552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266</v>
      </c>
      <c r="BZ178" s="14">
        <f>BY178*VLOOKUP('Données projet'!$B$12,Paramètres!$A$1:$I$89,3,0)*VLOOKUP('Données projet'!$B$12,Paramètres!$A$1:$I$89,5,0)</f>
        <v>286.32240000000002</v>
      </c>
      <c r="CA178" s="14">
        <f t="shared" si="170"/>
        <v>68.301372478551315</v>
      </c>
      <c r="CB178" s="22">
        <f t="shared" si="171"/>
        <v>617.63640373347687</v>
      </c>
      <c r="CC178" s="62">
        <f t="shared" si="119"/>
        <v>910.96973706681024</v>
      </c>
      <c r="CD178" s="62">
        <f ca="1">AVERAGE(OFFSET($CC$3,0,0,'Données projet'!$E$12+1,1))-AVERAGE(OFFSET($H$3,0,0,'Données projet'!$E$12+1,1))</f>
        <v>311.71521576048417</v>
      </c>
      <c r="CE178" s="62">
        <f t="shared" si="148"/>
        <v>208.54841796921403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280.47174439810988</v>
      </c>
      <c r="CZ178" s="62">
        <f t="shared" si="150"/>
        <v>231.19476400361157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4.3397392287820406E-2</v>
      </c>
      <c r="DH178" s="23">
        <f>EXP(-LN(2)/2)*DH177+(1-EXP(-LN(2)/2))/(LN(2)/2)*DB178*DE178*VLOOKUP('Données projet'!$B$13,Paramètres!$A$1:$I$89,3,0)*0.475*44/12</f>
        <v>3.1636545920375449E-21</v>
      </c>
      <c r="DI178" s="24">
        <f t="shared" si="175"/>
        <v>4.3397392287820406E-2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6.7984728957526396E-14</v>
      </c>
      <c r="DQ178" s="14">
        <f t="shared" si="176"/>
        <v>1.0682447123141398E-12</v>
      </c>
      <c r="DR178" s="22">
        <f t="shared" si="177"/>
        <v>1.978932943548152E-12</v>
      </c>
      <c r="DS178" s="62">
        <f t="shared" si="125"/>
        <v>293.3333333333353</v>
      </c>
      <c r="DT178" s="62">
        <f ca="1">AVERAGE(OFFSET($DS$3,0,0,'Données projet'!$E$14+1,1))-AVERAGE(OFFSET($H$3,0,0,'Données projet'!$E$14+1,1))</f>
        <v>282.98919020956595</v>
      </c>
      <c r="DU178" s="62">
        <f t="shared" si="152"/>
        <v>182.23565317232647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1.2260919025909267E-21</v>
      </c>
      <c r="ED178" s="24">
        <f t="shared" si="178"/>
        <v>1.2260919025909267E-21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9">
        <f t="shared" si="110"/>
        <v>598.99314215176662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-5.6843418860808015E-13</v>
      </c>
      <c r="O179" s="14">
        <f>N179*VLOOKUP('Données projet'!$B$9,Paramètres!$A$1:$I$89,3,0)*VLOOKUP('Données projet'!$B$9,Paramètres!$A$1:$I$89,5,0)</f>
        <v>-2.6602720026858149E-13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172.62653085905839</v>
      </c>
      <c r="T179" s="62">
        <f t="shared" si="142"/>
        <v>103.0747749312265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266</v>
      </c>
      <c r="AJ179" s="14">
        <f>AI179*VLOOKUP('Données projet'!$B$10,Paramètres!$A$1:$I$89,3,0)*VLOOKUP('Données projet'!$B$10,Paramètres!$A$1:$I$89,5,0)</f>
        <v>269.72400000000005</v>
      </c>
      <c r="AK179" s="14">
        <f t="shared" si="164"/>
        <v>64.790691635967406</v>
      </c>
      <c r="AL179" s="22">
        <f t="shared" si="165"/>
        <v>582.61308793264323</v>
      </c>
      <c r="AM179" s="62">
        <f t="shared" si="113"/>
        <v>875.9464212659766</v>
      </c>
      <c r="AN179" s="62">
        <f ca="1">AVERAGE(OFFSET($AM$3,0,0,'Données projet'!$E$10+1,1))-AVERAGE(OFFSET($H$3,0,0,'Données projet'!$E$10+1,1))</f>
        <v>289.36126704091066</v>
      </c>
      <c r="AO179" s="62">
        <f t="shared" si="144"/>
        <v>195.3674411454258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266</v>
      </c>
      <c r="BE179" s="14">
        <f>BD179*VLOOKUP('Données projet'!$B$11,Paramètres!$A$1:$I$89,3,0)*VLOOKUP('Données projet'!$B$11,Paramètres!$A$1:$I$89,5,0)</f>
        <v>240.67680000000001</v>
      </c>
      <c r="BF179" s="14">
        <f t="shared" si="167"/>
        <v>58.585123425001029</v>
      </c>
      <c r="BG179" s="22">
        <f t="shared" si="168"/>
        <v>521.21451663187679</v>
      </c>
      <c r="BH179" s="62">
        <f t="shared" si="116"/>
        <v>814.54784996521016</v>
      </c>
      <c r="BI179" s="62">
        <f ca="1">AVERAGE(OFFSET($BH$3,0,0,'Données projet'!$E$11+1,1))-AVERAGE(OFFSET($H$3,0,0,'Données projet'!$E$11+1,1))</f>
        <v>250.17147737747007</v>
      </c>
      <c r="BJ179" s="62">
        <f t="shared" si="146"/>
        <v>172.25613380618552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266</v>
      </c>
      <c r="BZ179" s="14">
        <f>BY179*VLOOKUP('Données projet'!$B$12,Paramètres!$A$1:$I$89,3,0)*VLOOKUP('Données projet'!$B$12,Paramètres!$A$1:$I$89,5,0)</f>
        <v>286.32240000000002</v>
      </c>
      <c r="CA179" s="14">
        <f t="shared" si="170"/>
        <v>68.301372478551315</v>
      </c>
      <c r="CB179" s="22">
        <f t="shared" si="171"/>
        <v>617.63640373347687</v>
      </c>
      <c r="CC179" s="62">
        <f t="shared" si="119"/>
        <v>910.96973706681024</v>
      </c>
      <c r="CD179" s="62">
        <f ca="1">AVERAGE(OFFSET($CC$3,0,0,'Données projet'!$E$12+1,1))-AVERAGE(OFFSET($H$3,0,0,'Données projet'!$E$12+1,1))</f>
        <v>311.71521576048417</v>
      </c>
      <c r="CE179" s="62">
        <f t="shared" si="148"/>
        <v>208.54841796921403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280.47174439810988</v>
      </c>
      <c r="CZ179" s="62">
        <f t="shared" si="150"/>
        <v>231.19476400361157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4.221068831354028E-2</v>
      </c>
      <c r="DH179" s="23">
        <f>EXP(-LN(2)/2)*DH178+(1-EXP(-LN(2)/2))/(LN(2)/2)*DB179*DE179*VLOOKUP('Données projet'!$B$13,Paramètres!$A$1:$I$89,3,0)*0.475*44/12</f>
        <v>2.2370416153617085E-21</v>
      </c>
      <c r="DI179" s="24">
        <f t="shared" si="175"/>
        <v>4.221068831354028E-2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6.7984728957526396E-14</v>
      </c>
      <c r="DQ179" s="14">
        <f t="shared" si="176"/>
        <v>1.0682447123141398E-12</v>
      </c>
      <c r="DR179" s="22">
        <f t="shared" si="177"/>
        <v>1.978932943548152E-12</v>
      </c>
      <c r="DS179" s="62">
        <f t="shared" si="125"/>
        <v>293.3333333333353</v>
      </c>
      <c r="DT179" s="62">
        <f ca="1">AVERAGE(OFFSET($DS$3,0,0,'Données projet'!$E$14+1,1))-AVERAGE(OFFSET($H$3,0,0,'Données projet'!$E$14+1,1))</f>
        <v>282.98919020956595</v>
      </c>
      <c r="DU179" s="62">
        <f t="shared" si="152"/>
        <v>182.23565317232647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8.6697789867996012E-22</v>
      </c>
      <c r="ED179" s="24">
        <f t="shared" si="178"/>
        <v>8.6697789867996012E-22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9">
        <f t="shared" si="110"/>
        <v>600.89192861302752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-5.6843418860808015E-13</v>
      </c>
      <c r="O180" s="14">
        <f>N180*VLOOKUP('Données projet'!$B$9,Paramètres!$A$1:$I$89,3,0)*VLOOKUP('Données projet'!$B$9,Paramètres!$A$1:$I$89,5,0)</f>
        <v>-2.6602720026858149E-13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172.62653085905839</v>
      </c>
      <c r="T180" s="62">
        <f t="shared" si="142"/>
        <v>103.0747749312265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266</v>
      </c>
      <c r="AJ180" s="14">
        <f>AI180*VLOOKUP('Données projet'!$B$10,Paramètres!$A$1:$I$89,3,0)*VLOOKUP('Données projet'!$B$10,Paramètres!$A$1:$I$89,5,0)</f>
        <v>269.72400000000005</v>
      </c>
      <c r="AK180" s="14">
        <f t="shared" si="164"/>
        <v>64.790691635967406</v>
      </c>
      <c r="AL180" s="22">
        <f t="shared" si="165"/>
        <v>582.61308793264323</v>
      </c>
      <c r="AM180" s="62">
        <f t="shared" si="113"/>
        <v>875.9464212659766</v>
      </c>
      <c r="AN180" s="62">
        <f ca="1">AVERAGE(OFFSET($AM$3,0,0,'Données projet'!$E$10+1,1))-AVERAGE(OFFSET($H$3,0,0,'Données projet'!$E$10+1,1))</f>
        <v>289.36126704091066</v>
      </c>
      <c r="AO180" s="62">
        <f t="shared" si="144"/>
        <v>195.3674411454258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266</v>
      </c>
      <c r="BE180" s="14">
        <f>BD180*VLOOKUP('Données projet'!$B$11,Paramètres!$A$1:$I$89,3,0)*VLOOKUP('Données projet'!$B$11,Paramètres!$A$1:$I$89,5,0)</f>
        <v>240.67680000000001</v>
      </c>
      <c r="BF180" s="14">
        <f t="shared" si="167"/>
        <v>58.585123425001029</v>
      </c>
      <c r="BG180" s="22">
        <f t="shared" si="168"/>
        <v>521.21451663187679</v>
      </c>
      <c r="BH180" s="62">
        <f t="shared" si="116"/>
        <v>814.54784996521016</v>
      </c>
      <c r="BI180" s="62">
        <f ca="1">AVERAGE(OFFSET($BH$3,0,0,'Données projet'!$E$11+1,1))-AVERAGE(OFFSET($H$3,0,0,'Données projet'!$E$11+1,1))</f>
        <v>250.17147737747007</v>
      </c>
      <c r="BJ180" s="62">
        <f t="shared" si="146"/>
        <v>172.25613380618552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266</v>
      </c>
      <c r="BZ180" s="14">
        <f>BY180*VLOOKUP('Données projet'!$B$12,Paramètres!$A$1:$I$89,3,0)*VLOOKUP('Données projet'!$B$12,Paramètres!$A$1:$I$89,5,0)</f>
        <v>286.32240000000002</v>
      </c>
      <c r="CA180" s="14">
        <f t="shared" si="170"/>
        <v>68.301372478551315</v>
      </c>
      <c r="CB180" s="22">
        <f t="shared" si="171"/>
        <v>617.63640373347687</v>
      </c>
      <c r="CC180" s="62">
        <f t="shared" si="119"/>
        <v>910.96973706681024</v>
      </c>
      <c r="CD180" s="62">
        <f ca="1">AVERAGE(OFFSET($CC$3,0,0,'Données projet'!$E$12+1,1))-AVERAGE(OFFSET($H$3,0,0,'Données projet'!$E$12+1,1))</f>
        <v>311.71521576048417</v>
      </c>
      <c r="CE180" s="62">
        <f t="shared" si="148"/>
        <v>208.54841796921403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280.47174439810988</v>
      </c>
      <c r="CZ180" s="62">
        <f t="shared" si="150"/>
        <v>231.19476400361157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4.1056434821842895E-2</v>
      </c>
      <c r="DH180" s="23">
        <f>EXP(-LN(2)/2)*DH179+(1-EXP(-LN(2)/2))/(LN(2)/2)*DB180*DE180*VLOOKUP('Données projet'!$B$13,Paramètres!$A$1:$I$89,3,0)*0.475*44/12</f>
        <v>1.5818272960187725E-21</v>
      </c>
      <c r="DI180" s="24">
        <f t="shared" si="175"/>
        <v>4.1056434821842895E-2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6.7984728957526396E-14</v>
      </c>
      <c r="DQ180" s="14">
        <f t="shared" si="176"/>
        <v>1.0682447123141398E-12</v>
      </c>
      <c r="DR180" s="22">
        <f t="shared" si="177"/>
        <v>1.978932943548152E-12</v>
      </c>
      <c r="DS180" s="62">
        <f t="shared" si="125"/>
        <v>293.3333333333353</v>
      </c>
      <c r="DT180" s="62">
        <f ca="1">AVERAGE(OFFSET($DS$3,0,0,'Données projet'!$E$14+1,1))-AVERAGE(OFFSET($H$3,0,0,'Données projet'!$E$14+1,1))</f>
        <v>282.98919020956595</v>
      </c>
      <c r="DU180" s="62">
        <f t="shared" si="152"/>
        <v>182.23565317232647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6.1304595129546333E-22</v>
      </c>
      <c r="ED180" s="24">
        <f t="shared" si="178"/>
        <v>6.1304595129546333E-22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9">
        <f t="shared" si="110"/>
        <v>602.79048491575327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-5.6843418860808015E-13</v>
      </c>
      <c r="O181" s="14">
        <f>N181*VLOOKUP('Données projet'!$B$9,Paramètres!$A$1:$I$89,3,0)*VLOOKUP('Données projet'!$B$9,Paramètres!$A$1:$I$89,5,0)</f>
        <v>-2.6602720026858149E-13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172.62653085905839</v>
      </c>
      <c r="T181" s="62">
        <f t="shared" si="142"/>
        <v>103.0747749312265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266</v>
      </c>
      <c r="AJ181" s="14">
        <f>AI181*VLOOKUP('Données projet'!$B$10,Paramètres!$A$1:$I$89,3,0)*VLOOKUP('Données projet'!$B$10,Paramètres!$A$1:$I$89,5,0)</f>
        <v>269.72400000000005</v>
      </c>
      <c r="AK181" s="14">
        <f t="shared" si="164"/>
        <v>64.790691635967406</v>
      </c>
      <c r="AL181" s="22">
        <f t="shared" si="165"/>
        <v>582.61308793264323</v>
      </c>
      <c r="AM181" s="62">
        <f t="shared" si="113"/>
        <v>875.9464212659766</v>
      </c>
      <c r="AN181" s="62">
        <f ca="1">AVERAGE(OFFSET($AM$3,0,0,'Données projet'!$E$10+1,1))-AVERAGE(OFFSET($H$3,0,0,'Données projet'!$E$10+1,1))</f>
        <v>289.36126704091066</v>
      </c>
      <c r="AO181" s="62">
        <f t="shared" si="144"/>
        <v>195.3674411454258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266</v>
      </c>
      <c r="BE181" s="14">
        <f>BD181*VLOOKUP('Données projet'!$B$11,Paramètres!$A$1:$I$89,3,0)*VLOOKUP('Données projet'!$B$11,Paramètres!$A$1:$I$89,5,0)</f>
        <v>240.67680000000001</v>
      </c>
      <c r="BF181" s="14">
        <f t="shared" si="167"/>
        <v>58.585123425001029</v>
      </c>
      <c r="BG181" s="22">
        <f t="shared" si="168"/>
        <v>521.21451663187679</v>
      </c>
      <c r="BH181" s="62">
        <f t="shared" si="116"/>
        <v>814.54784996521016</v>
      </c>
      <c r="BI181" s="62">
        <f ca="1">AVERAGE(OFFSET($BH$3,0,0,'Données projet'!$E$11+1,1))-AVERAGE(OFFSET($H$3,0,0,'Données projet'!$E$11+1,1))</f>
        <v>250.17147737747007</v>
      </c>
      <c r="BJ181" s="62">
        <f t="shared" si="146"/>
        <v>172.25613380618552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266</v>
      </c>
      <c r="BZ181" s="14">
        <f>BY181*VLOOKUP('Données projet'!$B$12,Paramètres!$A$1:$I$89,3,0)*VLOOKUP('Données projet'!$B$12,Paramètres!$A$1:$I$89,5,0)</f>
        <v>286.32240000000002</v>
      </c>
      <c r="CA181" s="14">
        <f t="shared" si="170"/>
        <v>68.301372478551315</v>
      </c>
      <c r="CB181" s="22">
        <f t="shared" si="171"/>
        <v>617.63640373347687</v>
      </c>
      <c r="CC181" s="62">
        <f t="shared" si="119"/>
        <v>910.96973706681024</v>
      </c>
      <c r="CD181" s="62">
        <f ca="1">AVERAGE(OFFSET($CC$3,0,0,'Données projet'!$E$12+1,1))-AVERAGE(OFFSET($H$3,0,0,'Données projet'!$E$12+1,1))</f>
        <v>311.71521576048417</v>
      </c>
      <c r="CE181" s="62">
        <f t="shared" si="148"/>
        <v>208.54841796921403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280.47174439810988</v>
      </c>
      <c r="CZ181" s="62">
        <f t="shared" si="150"/>
        <v>231.19476400361157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3.9933744452575533E-2</v>
      </c>
      <c r="DH181" s="23">
        <f>EXP(-LN(2)/2)*DH180+(1-EXP(-LN(2)/2))/(LN(2)/2)*DB181*DE181*VLOOKUP('Données projet'!$B$13,Paramètres!$A$1:$I$89,3,0)*0.475*44/12</f>
        <v>1.1185208076808543E-21</v>
      </c>
      <c r="DI181" s="24">
        <f t="shared" si="175"/>
        <v>3.9933744452575533E-2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6.7984728957526396E-14</v>
      </c>
      <c r="DQ181" s="14">
        <f t="shared" si="176"/>
        <v>1.0682447123141398E-12</v>
      </c>
      <c r="DR181" s="22">
        <f t="shared" si="177"/>
        <v>1.978932943548152E-12</v>
      </c>
      <c r="DS181" s="62">
        <f t="shared" si="125"/>
        <v>293.3333333333353</v>
      </c>
      <c r="DT181" s="62">
        <f ca="1">AVERAGE(OFFSET($DS$3,0,0,'Données projet'!$E$14+1,1))-AVERAGE(OFFSET($H$3,0,0,'Données projet'!$E$14+1,1))</f>
        <v>282.98919020956595</v>
      </c>
      <c r="DU181" s="62">
        <f t="shared" si="152"/>
        <v>182.23565317232647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4.3348894933998006E-22</v>
      </c>
      <c r="ED181" s="24">
        <f t="shared" si="178"/>
        <v>4.3348894933998006E-22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9">
        <f t="shared" si="110"/>
        <v>604.6888125030207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-5.6843418860808015E-13</v>
      </c>
      <c r="O182" s="14">
        <f>N182*VLOOKUP('Données projet'!$B$9,Paramètres!$A$1:$I$89,3,0)*VLOOKUP('Données projet'!$B$9,Paramètres!$A$1:$I$89,5,0)</f>
        <v>-2.6602720026858149E-13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172.62653085905839</v>
      </c>
      <c r="T182" s="62">
        <f t="shared" si="142"/>
        <v>103.0747749312265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266</v>
      </c>
      <c r="AJ182" s="14">
        <f>AI182*VLOOKUP('Données projet'!$B$10,Paramètres!$A$1:$I$89,3,0)*VLOOKUP('Données projet'!$B$10,Paramètres!$A$1:$I$89,5,0)</f>
        <v>269.72400000000005</v>
      </c>
      <c r="AK182" s="14">
        <f t="shared" si="164"/>
        <v>64.790691635967406</v>
      </c>
      <c r="AL182" s="22">
        <f t="shared" si="165"/>
        <v>582.61308793264323</v>
      </c>
      <c r="AM182" s="62">
        <f t="shared" si="113"/>
        <v>875.9464212659766</v>
      </c>
      <c r="AN182" s="62">
        <f ca="1">AVERAGE(OFFSET($AM$3,0,0,'Données projet'!$E$10+1,1))-AVERAGE(OFFSET($H$3,0,0,'Données projet'!$E$10+1,1))</f>
        <v>289.36126704091066</v>
      </c>
      <c r="AO182" s="62">
        <f t="shared" si="144"/>
        <v>195.3674411454258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266</v>
      </c>
      <c r="BE182" s="14">
        <f>BD182*VLOOKUP('Données projet'!$B$11,Paramètres!$A$1:$I$89,3,0)*VLOOKUP('Données projet'!$B$11,Paramètres!$A$1:$I$89,5,0)</f>
        <v>240.67680000000001</v>
      </c>
      <c r="BF182" s="14">
        <f t="shared" si="167"/>
        <v>58.585123425001029</v>
      </c>
      <c r="BG182" s="22">
        <f t="shared" si="168"/>
        <v>521.21451663187679</v>
      </c>
      <c r="BH182" s="62">
        <f t="shared" si="116"/>
        <v>814.54784996521016</v>
      </c>
      <c r="BI182" s="62">
        <f ca="1">AVERAGE(OFFSET($BH$3,0,0,'Données projet'!$E$11+1,1))-AVERAGE(OFFSET($H$3,0,0,'Données projet'!$E$11+1,1))</f>
        <v>250.17147737747007</v>
      </c>
      <c r="BJ182" s="62">
        <f t="shared" si="146"/>
        <v>172.25613380618552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266</v>
      </c>
      <c r="BZ182" s="14">
        <f>BY182*VLOOKUP('Données projet'!$B$12,Paramètres!$A$1:$I$89,3,0)*VLOOKUP('Données projet'!$B$12,Paramètres!$A$1:$I$89,5,0)</f>
        <v>286.32240000000002</v>
      </c>
      <c r="CA182" s="14">
        <f t="shared" si="170"/>
        <v>68.301372478551315</v>
      </c>
      <c r="CB182" s="22">
        <f t="shared" si="171"/>
        <v>617.63640373347687</v>
      </c>
      <c r="CC182" s="62">
        <f t="shared" si="119"/>
        <v>910.96973706681024</v>
      </c>
      <c r="CD182" s="62">
        <f ca="1">AVERAGE(OFFSET($CC$3,0,0,'Données projet'!$E$12+1,1))-AVERAGE(OFFSET($H$3,0,0,'Données projet'!$E$12+1,1))</f>
        <v>311.71521576048417</v>
      </c>
      <c r="CE182" s="62">
        <f t="shared" si="148"/>
        <v>208.54841796921403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280.47174439810988</v>
      </c>
      <c r="CZ182" s="62">
        <f t="shared" si="150"/>
        <v>231.19476400361157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3.8841754110495501E-2</v>
      </c>
      <c r="DH182" s="23">
        <f>EXP(-LN(2)/2)*DH181+(1-EXP(-LN(2)/2))/(LN(2)/2)*DB182*DE182*VLOOKUP('Données projet'!$B$13,Paramètres!$A$1:$I$89,3,0)*0.475*44/12</f>
        <v>7.9091364800938623E-22</v>
      </c>
      <c r="DI182" s="24">
        <f t="shared" si="175"/>
        <v>3.8841754110495501E-2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6.7984728957526396E-14</v>
      </c>
      <c r="DQ182" s="14">
        <f t="shared" si="176"/>
        <v>1.0682447123141398E-12</v>
      </c>
      <c r="DR182" s="22">
        <f t="shared" si="177"/>
        <v>1.978932943548152E-12</v>
      </c>
      <c r="DS182" s="62">
        <f t="shared" si="125"/>
        <v>293.3333333333353</v>
      </c>
      <c r="DT182" s="62">
        <f ca="1">AVERAGE(OFFSET($DS$3,0,0,'Données projet'!$E$14+1,1))-AVERAGE(OFFSET($H$3,0,0,'Données projet'!$E$14+1,1))</f>
        <v>282.98919020956595</v>
      </c>
      <c r="DU182" s="62">
        <f t="shared" si="152"/>
        <v>182.23565317232647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3.0652297564773167E-22</v>
      </c>
      <c r="ED182" s="24">
        <f t="shared" si="178"/>
        <v>3.0652297564773167E-22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9">
        <f t="shared" si="110"/>
        <v>606.58691280085009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-5.6843418860808015E-13</v>
      </c>
      <c r="O183" s="14">
        <f>N183*VLOOKUP('Données projet'!$B$9,Paramètres!$A$1:$I$89,3,0)*VLOOKUP('Données projet'!$B$9,Paramètres!$A$1:$I$89,5,0)</f>
        <v>-2.6602720026858149E-13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172.62653085905839</v>
      </c>
      <c r="T183" s="62">
        <f t="shared" si="142"/>
        <v>103.0747749312265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266</v>
      </c>
      <c r="AJ183" s="14">
        <f>AI183*VLOOKUP('Données projet'!$B$10,Paramètres!$A$1:$I$89,3,0)*VLOOKUP('Données projet'!$B$10,Paramètres!$A$1:$I$89,5,0)</f>
        <v>269.72400000000005</v>
      </c>
      <c r="AK183" s="14">
        <f t="shared" si="164"/>
        <v>64.790691635967406</v>
      </c>
      <c r="AL183" s="22">
        <f t="shared" si="165"/>
        <v>582.61308793264323</v>
      </c>
      <c r="AM183" s="62">
        <f t="shared" si="113"/>
        <v>875.9464212659766</v>
      </c>
      <c r="AN183" s="62">
        <f ca="1">AVERAGE(OFFSET($AM$3,0,0,'Données projet'!$E$10+1,1))-AVERAGE(OFFSET($H$3,0,0,'Données projet'!$E$10+1,1))</f>
        <v>289.36126704091066</v>
      </c>
      <c r="AO183" s="62">
        <f t="shared" si="144"/>
        <v>195.3674411454258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266</v>
      </c>
      <c r="BE183" s="14">
        <f>BD183*VLOOKUP('Données projet'!$B$11,Paramètres!$A$1:$I$89,3,0)*VLOOKUP('Données projet'!$B$11,Paramètres!$A$1:$I$89,5,0)</f>
        <v>240.67680000000001</v>
      </c>
      <c r="BF183" s="14">
        <f t="shared" si="167"/>
        <v>58.585123425001029</v>
      </c>
      <c r="BG183" s="22">
        <f t="shared" si="168"/>
        <v>521.21451663187679</v>
      </c>
      <c r="BH183" s="62">
        <f t="shared" si="116"/>
        <v>814.54784996521016</v>
      </c>
      <c r="BI183" s="62">
        <f ca="1">AVERAGE(OFFSET($BH$3,0,0,'Données projet'!$E$11+1,1))-AVERAGE(OFFSET($H$3,0,0,'Données projet'!$E$11+1,1))</f>
        <v>250.17147737747007</v>
      </c>
      <c r="BJ183" s="62">
        <f t="shared" si="146"/>
        <v>172.25613380618552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266</v>
      </c>
      <c r="BZ183" s="14">
        <f>BY183*VLOOKUP('Données projet'!$B$12,Paramètres!$A$1:$I$89,3,0)*VLOOKUP('Données projet'!$B$12,Paramètres!$A$1:$I$89,5,0)</f>
        <v>286.32240000000002</v>
      </c>
      <c r="CA183" s="14">
        <f t="shared" si="170"/>
        <v>68.301372478551315</v>
      </c>
      <c r="CB183" s="22">
        <f t="shared" si="171"/>
        <v>617.63640373347687</v>
      </c>
      <c r="CC183" s="62">
        <f t="shared" si="119"/>
        <v>910.96973706681024</v>
      </c>
      <c r="CD183" s="62">
        <f ca="1">AVERAGE(OFFSET($CC$3,0,0,'Données projet'!$E$12+1,1))-AVERAGE(OFFSET($H$3,0,0,'Données projet'!$E$12+1,1))</f>
        <v>311.71521576048417</v>
      </c>
      <c r="CE183" s="62">
        <f t="shared" si="148"/>
        <v>208.54841796921403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280.47174439810988</v>
      </c>
      <c r="CZ183" s="62">
        <f t="shared" si="150"/>
        <v>231.19476400361157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3.7779624301744925E-2</v>
      </c>
      <c r="DH183" s="23">
        <f>EXP(-LN(2)/2)*DH182+(1-EXP(-LN(2)/2))/(LN(2)/2)*DB183*DE183*VLOOKUP('Données projet'!$B$13,Paramètres!$A$1:$I$89,3,0)*0.475*44/12</f>
        <v>5.5926040384042713E-22</v>
      </c>
      <c r="DI183" s="24">
        <f t="shared" si="175"/>
        <v>3.7779624301744925E-2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6.7984728957526396E-14</v>
      </c>
      <c r="DQ183" s="14">
        <f t="shared" si="176"/>
        <v>1.0682447123141398E-12</v>
      </c>
      <c r="DR183" s="22">
        <f t="shared" si="177"/>
        <v>1.978932943548152E-12</v>
      </c>
      <c r="DS183" s="62">
        <f t="shared" si="125"/>
        <v>293.3333333333353</v>
      </c>
      <c r="DT183" s="62">
        <f ca="1">AVERAGE(OFFSET($DS$3,0,0,'Données projet'!$E$14+1,1))-AVERAGE(OFFSET($H$3,0,0,'Données projet'!$E$14+1,1))</f>
        <v>282.98919020956595</v>
      </c>
      <c r="DU183" s="62">
        <f t="shared" si="152"/>
        <v>182.23565317232647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2.1674447466999003E-22</v>
      </c>
      <c r="ED183" s="24">
        <f t="shared" si="178"/>
        <v>2.1674447466999003E-22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9">
        <f t="shared" si="110"/>
        <v>608.48478721849972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-5.6843418860808015E-13</v>
      </c>
      <c r="O184" s="14">
        <f>N184*VLOOKUP('Données projet'!$B$9,Paramètres!$A$1:$I$89,3,0)*VLOOKUP('Données projet'!$B$9,Paramètres!$A$1:$I$89,5,0)</f>
        <v>-2.6602720026858149E-13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172.62653085905839</v>
      </c>
      <c r="T184" s="62">
        <f t="shared" si="142"/>
        <v>103.0747749312265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266</v>
      </c>
      <c r="AJ184" s="14">
        <f>AI184*VLOOKUP('Données projet'!$B$10,Paramètres!$A$1:$I$89,3,0)*VLOOKUP('Données projet'!$B$10,Paramètres!$A$1:$I$89,5,0)</f>
        <v>269.72400000000005</v>
      </c>
      <c r="AK184" s="14">
        <f t="shared" si="164"/>
        <v>64.790691635967406</v>
      </c>
      <c r="AL184" s="22">
        <f t="shared" si="165"/>
        <v>582.61308793264323</v>
      </c>
      <c r="AM184" s="62">
        <f t="shared" si="113"/>
        <v>875.9464212659766</v>
      </c>
      <c r="AN184" s="62">
        <f ca="1">AVERAGE(OFFSET($AM$3,0,0,'Données projet'!$E$10+1,1))-AVERAGE(OFFSET($H$3,0,0,'Données projet'!$E$10+1,1))</f>
        <v>289.36126704091066</v>
      </c>
      <c r="AO184" s="62">
        <f t="shared" si="144"/>
        <v>195.3674411454258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266</v>
      </c>
      <c r="BE184" s="14">
        <f>BD184*VLOOKUP('Données projet'!$B$11,Paramètres!$A$1:$I$89,3,0)*VLOOKUP('Données projet'!$B$11,Paramètres!$A$1:$I$89,5,0)</f>
        <v>240.67680000000001</v>
      </c>
      <c r="BF184" s="14">
        <f t="shared" si="167"/>
        <v>58.585123425001029</v>
      </c>
      <c r="BG184" s="22">
        <f t="shared" si="168"/>
        <v>521.21451663187679</v>
      </c>
      <c r="BH184" s="62">
        <f t="shared" si="116"/>
        <v>814.54784996521016</v>
      </c>
      <c r="BI184" s="62">
        <f ca="1">AVERAGE(OFFSET($BH$3,0,0,'Données projet'!$E$11+1,1))-AVERAGE(OFFSET($H$3,0,0,'Données projet'!$E$11+1,1))</f>
        <v>250.17147737747007</v>
      </c>
      <c r="BJ184" s="62">
        <f t="shared" si="146"/>
        <v>172.25613380618552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266</v>
      </c>
      <c r="BZ184" s="14">
        <f>BY184*VLOOKUP('Données projet'!$B$12,Paramètres!$A$1:$I$89,3,0)*VLOOKUP('Données projet'!$B$12,Paramètres!$A$1:$I$89,5,0)</f>
        <v>286.32240000000002</v>
      </c>
      <c r="CA184" s="14">
        <f t="shared" si="170"/>
        <v>68.301372478551315</v>
      </c>
      <c r="CB184" s="22">
        <f t="shared" si="171"/>
        <v>617.63640373347687</v>
      </c>
      <c r="CC184" s="62">
        <f t="shared" si="119"/>
        <v>910.96973706681024</v>
      </c>
      <c r="CD184" s="62">
        <f ca="1">AVERAGE(OFFSET($CC$3,0,0,'Données projet'!$E$12+1,1))-AVERAGE(OFFSET($H$3,0,0,'Données projet'!$E$12+1,1))</f>
        <v>311.71521576048417</v>
      </c>
      <c r="CE184" s="62">
        <f t="shared" si="148"/>
        <v>208.54841796921403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280.47174439810988</v>
      </c>
      <c r="CZ184" s="62">
        <f t="shared" si="150"/>
        <v>231.19476400361157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3.6746538488469614E-2</v>
      </c>
      <c r="DH184" s="23">
        <f>EXP(-LN(2)/2)*DH183+(1-EXP(-LN(2)/2))/(LN(2)/2)*DB184*DE184*VLOOKUP('Données projet'!$B$13,Paramètres!$A$1:$I$89,3,0)*0.475*44/12</f>
        <v>3.9545682400469311E-22</v>
      </c>
      <c r="DI184" s="24">
        <f t="shared" si="175"/>
        <v>3.6746538488469614E-2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6.7984728957526396E-14</v>
      </c>
      <c r="DQ184" s="14">
        <f t="shared" si="176"/>
        <v>1.0682447123141398E-12</v>
      </c>
      <c r="DR184" s="22">
        <f t="shared" si="177"/>
        <v>1.978932943548152E-12</v>
      </c>
      <c r="DS184" s="62">
        <f t="shared" si="125"/>
        <v>293.3333333333353</v>
      </c>
      <c r="DT184" s="62">
        <f ca="1">AVERAGE(OFFSET($DS$3,0,0,'Données projet'!$E$14+1,1))-AVERAGE(OFFSET($H$3,0,0,'Données projet'!$E$14+1,1))</f>
        <v>282.98919020956595</v>
      </c>
      <c r="DU184" s="62">
        <f t="shared" si="152"/>
        <v>182.23565317232647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1.5326148782386583E-22</v>
      </c>
      <c r="ED184" s="24">
        <f t="shared" si="178"/>
        <v>1.5326148782386583E-22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9">
        <f t="shared" si="110"/>
        <v>610.38243714875489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-5.6843418860808015E-13</v>
      </c>
      <c r="O185" s="14">
        <f>N185*VLOOKUP('Données projet'!$B$9,Paramètres!$A$1:$I$89,3,0)*VLOOKUP('Données projet'!$B$9,Paramètres!$A$1:$I$89,5,0)</f>
        <v>-2.6602720026858149E-13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172.62653085905839</v>
      </c>
      <c r="T185" s="62">
        <f t="shared" si="142"/>
        <v>103.0747749312265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266</v>
      </c>
      <c r="AJ185" s="14">
        <f>AI185*VLOOKUP('Données projet'!$B$10,Paramètres!$A$1:$I$89,3,0)*VLOOKUP('Données projet'!$B$10,Paramètres!$A$1:$I$89,5,0)</f>
        <v>269.72400000000005</v>
      </c>
      <c r="AK185" s="14">
        <f t="shared" si="164"/>
        <v>64.790691635967406</v>
      </c>
      <c r="AL185" s="22">
        <f t="shared" si="165"/>
        <v>582.61308793264323</v>
      </c>
      <c r="AM185" s="62">
        <f t="shared" si="113"/>
        <v>875.9464212659766</v>
      </c>
      <c r="AN185" s="62">
        <f ca="1">AVERAGE(OFFSET($AM$3,0,0,'Données projet'!$E$10+1,1))-AVERAGE(OFFSET($H$3,0,0,'Données projet'!$E$10+1,1))</f>
        <v>289.36126704091066</v>
      </c>
      <c r="AO185" s="62">
        <f t="shared" si="144"/>
        <v>195.3674411454258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266</v>
      </c>
      <c r="BE185" s="14">
        <f>BD185*VLOOKUP('Données projet'!$B$11,Paramètres!$A$1:$I$89,3,0)*VLOOKUP('Données projet'!$B$11,Paramètres!$A$1:$I$89,5,0)</f>
        <v>240.67680000000001</v>
      </c>
      <c r="BF185" s="14">
        <f t="shared" si="167"/>
        <v>58.585123425001029</v>
      </c>
      <c r="BG185" s="22">
        <f t="shared" si="168"/>
        <v>521.21451663187679</v>
      </c>
      <c r="BH185" s="62">
        <f t="shared" si="116"/>
        <v>814.54784996521016</v>
      </c>
      <c r="BI185" s="62">
        <f ca="1">AVERAGE(OFFSET($BH$3,0,0,'Données projet'!$E$11+1,1))-AVERAGE(OFFSET($H$3,0,0,'Données projet'!$E$11+1,1))</f>
        <v>250.17147737747007</v>
      </c>
      <c r="BJ185" s="62">
        <f t="shared" si="146"/>
        <v>172.25613380618552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266</v>
      </c>
      <c r="BZ185" s="14">
        <f>BY185*VLOOKUP('Données projet'!$B$12,Paramètres!$A$1:$I$89,3,0)*VLOOKUP('Données projet'!$B$12,Paramètres!$A$1:$I$89,5,0)</f>
        <v>286.32240000000002</v>
      </c>
      <c r="CA185" s="14">
        <f t="shared" si="170"/>
        <v>68.301372478551315</v>
      </c>
      <c r="CB185" s="22">
        <f t="shared" si="171"/>
        <v>617.63640373347687</v>
      </c>
      <c r="CC185" s="62">
        <f t="shared" si="119"/>
        <v>910.96973706681024</v>
      </c>
      <c r="CD185" s="62">
        <f ca="1">AVERAGE(OFFSET($CC$3,0,0,'Données projet'!$E$12+1,1))-AVERAGE(OFFSET($H$3,0,0,'Données projet'!$E$12+1,1))</f>
        <v>311.71521576048417</v>
      </c>
      <c r="CE185" s="62">
        <f t="shared" si="148"/>
        <v>208.54841796921403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280.47174439810988</v>
      </c>
      <c r="CZ185" s="62">
        <f t="shared" si="150"/>
        <v>231.19476400361157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3.574170246108594E-2</v>
      </c>
      <c r="DH185" s="23">
        <f>EXP(-LN(2)/2)*DH184+(1-EXP(-LN(2)/2))/(LN(2)/2)*DB185*DE185*VLOOKUP('Données projet'!$B$13,Paramètres!$A$1:$I$89,3,0)*0.475*44/12</f>
        <v>2.7963020192021357E-22</v>
      </c>
      <c r="DI185" s="24">
        <f t="shared" si="175"/>
        <v>3.574170246108594E-2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6.7984728957526396E-14</v>
      </c>
      <c r="DQ185" s="14">
        <f t="shared" si="176"/>
        <v>1.0682447123141398E-12</v>
      </c>
      <c r="DR185" s="22">
        <f t="shared" si="177"/>
        <v>1.978932943548152E-12</v>
      </c>
      <c r="DS185" s="62">
        <f t="shared" si="125"/>
        <v>293.3333333333353</v>
      </c>
      <c r="DT185" s="62">
        <f ca="1">AVERAGE(OFFSET($DS$3,0,0,'Données projet'!$E$14+1,1))-AVERAGE(OFFSET($H$3,0,0,'Données projet'!$E$14+1,1))</f>
        <v>282.98919020956595</v>
      </c>
      <c r="DU185" s="62">
        <f t="shared" si="152"/>
        <v>182.23565317232647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1.0837223733499501E-22</v>
      </c>
      <c r="ED185" s="24">
        <f t="shared" si="178"/>
        <v>1.0837223733499501E-22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9">
        <f t="shared" si="110"/>
        <v>612.27986396820972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-5.6843418860808015E-13</v>
      </c>
      <c r="O186" s="14">
        <f>N186*VLOOKUP('Données projet'!$B$9,Paramètres!$A$1:$I$89,3,0)*VLOOKUP('Données projet'!$B$9,Paramètres!$A$1:$I$89,5,0)</f>
        <v>-2.6602720026858149E-13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172.62653085905839</v>
      </c>
      <c r="T186" s="62">
        <f t="shared" si="142"/>
        <v>103.0747749312265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266</v>
      </c>
      <c r="AJ186" s="14">
        <f>AI186*VLOOKUP('Données projet'!$B$10,Paramètres!$A$1:$I$89,3,0)*VLOOKUP('Données projet'!$B$10,Paramètres!$A$1:$I$89,5,0)</f>
        <v>269.72400000000005</v>
      </c>
      <c r="AK186" s="14">
        <f t="shared" si="164"/>
        <v>64.790691635967406</v>
      </c>
      <c r="AL186" s="22">
        <f t="shared" si="165"/>
        <v>582.61308793264323</v>
      </c>
      <c r="AM186" s="62">
        <f t="shared" si="113"/>
        <v>875.9464212659766</v>
      </c>
      <c r="AN186" s="62">
        <f ca="1">AVERAGE(OFFSET($AM$3,0,0,'Données projet'!$E$10+1,1))-AVERAGE(OFFSET($H$3,0,0,'Données projet'!$E$10+1,1))</f>
        <v>289.36126704091066</v>
      </c>
      <c r="AO186" s="62">
        <f t="shared" si="144"/>
        <v>195.3674411454258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266</v>
      </c>
      <c r="BE186" s="14">
        <f>BD186*VLOOKUP('Données projet'!$B$11,Paramètres!$A$1:$I$89,3,0)*VLOOKUP('Données projet'!$B$11,Paramètres!$A$1:$I$89,5,0)</f>
        <v>240.67680000000001</v>
      </c>
      <c r="BF186" s="14">
        <f t="shared" si="167"/>
        <v>58.585123425001029</v>
      </c>
      <c r="BG186" s="22">
        <f t="shared" si="168"/>
        <v>521.21451663187679</v>
      </c>
      <c r="BH186" s="62">
        <f t="shared" si="116"/>
        <v>814.54784996521016</v>
      </c>
      <c r="BI186" s="62">
        <f ca="1">AVERAGE(OFFSET($BH$3,0,0,'Données projet'!$E$11+1,1))-AVERAGE(OFFSET($H$3,0,0,'Données projet'!$E$11+1,1))</f>
        <v>250.17147737747007</v>
      </c>
      <c r="BJ186" s="62">
        <f t="shared" si="146"/>
        <v>172.25613380618552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266</v>
      </c>
      <c r="BZ186" s="14">
        <f>BY186*VLOOKUP('Données projet'!$B$12,Paramètres!$A$1:$I$89,3,0)*VLOOKUP('Données projet'!$B$12,Paramètres!$A$1:$I$89,5,0)</f>
        <v>286.32240000000002</v>
      </c>
      <c r="CA186" s="14">
        <f t="shared" si="170"/>
        <v>68.301372478551315</v>
      </c>
      <c r="CB186" s="22">
        <f t="shared" si="171"/>
        <v>617.63640373347687</v>
      </c>
      <c r="CC186" s="62">
        <f t="shared" si="119"/>
        <v>910.96973706681024</v>
      </c>
      <c r="CD186" s="62">
        <f ca="1">AVERAGE(OFFSET($CC$3,0,0,'Données projet'!$E$12+1,1))-AVERAGE(OFFSET($H$3,0,0,'Données projet'!$E$12+1,1))</f>
        <v>311.71521576048417</v>
      </c>
      <c r="CE186" s="62">
        <f t="shared" si="148"/>
        <v>208.54841796921403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280.47174439810988</v>
      </c>
      <c r="CZ186" s="62">
        <f t="shared" si="150"/>
        <v>231.19476400361157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3.4764343727713101E-2</v>
      </c>
      <c r="DH186" s="23">
        <f>EXP(-LN(2)/2)*DH185+(1-EXP(-LN(2)/2))/(LN(2)/2)*DB186*DE186*VLOOKUP('Données projet'!$B$13,Paramètres!$A$1:$I$89,3,0)*0.475*44/12</f>
        <v>1.9772841200234656E-22</v>
      </c>
      <c r="DI186" s="24">
        <f t="shared" si="175"/>
        <v>3.4764343727713101E-2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6.7984728957526396E-14</v>
      </c>
      <c r="DQ186" s="14">
        <f t="shared" si="176"/>
        <v>1.0682447123141398E-12</v>
      </c>
      <c r="DR186" s="22">
        <f t="shared" si="177"/>
        <v>1.978932943548152E-12</v>
      </c>
      <c r="DS186" s="62">
        <f t="shared" si="125"/>
        <v>293.3333333333353</v>
      </c>
      <c r="DT186" s="62">
        <f ca="1">AVERAGE(OFFSET($DS$3,0,0,'Données projet'!$E$14+1,1))-AVERAGE(OFFSET($H$3,0,0,'Données projet'!$E$14+1,1))</f>
        <v>282.98919020956595</v>
      </c>
      <c r="DU186" s="62">
        <f t="shared" si="152"/>
        <v>182.23565317232647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7.6630743911932916E-23</v>
      </c>
      <c r="ED186" s="24">
        <f t="shared" si="178"/>
        <v>7.6630743911932916E-23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9">
        <f t="shared" si="110"/>
        <v>614.17706903754288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-5.6843418860808015E-13</v>
      </c>
      <c r="O187" s="14">
        <f>N187*VLOOKUP('Données projet'!$B$9,Paramètres!$A$1:$I$89,3,0)*VLOOKUP('Données projet'!$B$9,Paramètres!$A$1:$I$89,5,0)</f>
        <v>-2.6602720026858149E-13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172.62653085905839</v>
      </c>
      <c r="T187" s="62">
        <f t="shared" si="142"/>
        <v>103.0747749312265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266</v>
      </c>
      <c r="AJ187" s="14">
        <f>AI187*VLOOKUP('Données projet'!$B$10,Paramètres!$A$1:$I$89,3,0)*VLOOKUP('Données projet'!$B$10,Paramètres!$A$1:$I$89,5,0)</f>
        <v>269.72400000000005</v>
      </c>
      <c r="AK187" s="14">
        <f t="shared" si="164"/>
        <v>64.790691635967406</v>
      </c>
      <c r="AL187" s="22">
        <f t="shared" si="165"/>
        <v>582.61308793264323</v>
      </c>
      <c r="AM187" s="62">
        <f t="shared" si="113"/>
        <v>875.9464212659766</v>
      </c>
      <c r="AN187" s="62">
        <f ca="1">AVERAGE(OFFSET($AM$3,0,0,'Données projet'!$E$10+1,1))-AVERAGE(OFFSET($H$3,0,0,'Données projet'!$E$10+1,1))</f>
        <v>289.36126704091066</v>
      </c>
      <c r="AO187" s="62">
        <f t="shared" si="144"/>
        <v>195.3674411454258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266</v>
      </c>
      <c r="BE187" s="14">
        <f>BD187*VLOOKUP('Données projet'!$B$11,Paramètres!$A$1:$I$89,3,0)*VLOOKUP('Données projet'!$B$11,Paramètres!$A$1:$I$89,5,0)</f>
        <v>240.67680000000001</v>
      </c>
      <c r="BF187" s="14">
        <f t="shared" si="167"/>
        <v>58.585123425001029</v>
      </c>
      <c r="BG187" s="22">
        <f t="shared" si="168"/>
        <v>521.21451663187679</v>
      </c>
      <c r="BH187" s="62">
        <f t="shared" si="116"/>
        <v>814.54784996521016</v>
      </c>
      <c r="BI187" s="62">
        <f ca="1">AVERAGE(OFFSET($BH$3,0,0,'Données projet'!$E$11+1,1))-AVERAGE(OFFSET($H$3,0,0,'Données projet'!$E$11+1,1))</f>
        <v>250.17147737747007</v>
      </c>
      <c r="BJ187" s="62">
        <f t="shared" si="146"/>
        <v>172.25613380618552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266</v>
      </c>
      <c r="BZ187" s="14">
        <f>BY187*VLOOKUP('Données projet'!$B$12,Paramètres!$A$1:$I$89,3,0)*VLOOKUP('Données projet'!$B$12,Paramètres!$A$1:$I$89,5,0)</f>
        <v>286.32240000000002</v>
      </c>
      <c r="CA187" s="14">
        <f t="shared" si="170"/>
        <v>68.301372478551315</v>
      </c>
      <c r="CB187" s="22">
        <f t="shared" si="171"/>
        <v>617.63640373347687</v>
      </c>
      <c r="CC187" s="62">
        <f t="shared" si="119"/>
        <v>910.96973706681024</v>
      </c>
      <c r="CD187" s="62">
        <f ca="1">AVERAGE(OFFSET($CC$3,0,0,'Données projet'!$E$12+1,1))-AVERAGE(OFFSET($H$3,0,0,'Données projet'!$E$12+1,1))</f>
        <v>311.71521576048417</v>
      </c>
      <c r="CE187" s="62">
        <f t="shared" si="148"/>
        <v>208.54841796921403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280.47174439810988</v>
      </c>
      <c r="CZ187" s="62">
        <f t="shared" si="150"/>
        <v>231.19476400361157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3.3813710920301401E-2</v>
      </c>
      <c r="DH187" s="23">
        <f>EXP(-LN(2)/2)*DH186+(1-EXP(-LN(2)/2))/(LN(2)/2)*DB187*DE187*VLOOKUP('Données projet'!$B$13,Paramètres!$A$1:$I$89,3,0)*0.475*44/12</f>
        <v>1.3981510096010678E-22</v>
      </c>
      <c r="DI187" s="24">
        <f t="shared" si="175"/>
        <v>3.3813710920301401E-2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6.7984728957526396E-14</v>
      </c>
      <c r="DQ187" s="14">
        <f t="shared" si="176"/>
        <v>1.0682447123141398E-12</v>
      </c>
      <c r="DR187" s="22">
        <f t="shared" si="177"/>
        <v>1.978932943548152E-12</v>
      </c>
      <c r="DS187" s="62">
        <f t="shared" si="125"/>
        <v>293.3333333333353</v>
      </c>
      <c r="DT187" s="62">
        <f ca="1">AVERAGE(OFFSET($DS$3,0,0,'Données projet'!$E$14+1,1))-AVERAGE(OFFSET($H$3,0,0,'Données projet'!$E$14+1,1))</f>
        <v>282.98919020956595</v>
      </c>
      <c r="DU187" s="62">
        <f t="shared" si="152"/>
        <v>182.23565317232647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5.4186118667497507E-23</v>
      </c>
      <c r="ED187" s="24">
        <f t="shared" si="178"/>
        <v>5.4186118667497507E-23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9">
        <f t="shared" si="110"/>
        <v>616.07405370178697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-5.6843418860808015E-13</v>
      </c>
      <c r="O188" s="14">
        <f>N188*VLOOKUP('Données projet'!$B$9,Paramètres!$A$1:$I$89,3,0)*VLOOKUP('Données projet'!$B$9,Paramètres!$A$1:$I$89,5,0)</f>
        <v>-2.6602720026858149E-13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172.62653085905839</v>
      </c>
      <c r="T188" s="62">
        <f t="shared" si="142"/>
        <v>103.0747749312265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266</v>
      </c>
      <c r="AJ188" s="14">
        <f>AI188*VLOOKUP('Données projet'!$B$10,Paramètres!$A$1:$I$89,3,0)*VLOOKUP('Données projet'!$B$10,Paramètres!$A$1:$I$89,5,0)</f>
        <v>269.72400000000005</v>
      </c>
      <c r="AK188" s="14">
        <f t="shared" si="164"/>
        <v>64.790691635967406</v>
      </c>
      <c r="AL188" s="22">
        <f t="shared" si="165"/>
        <v>582.61308793264323</v>
      </c>
      <c r="AM188" s="62">
        <f t="shared" si="113"/>
        <v>875.9464212659766</v>
      </c>
      <c r="AN188" s="62">
        <f ca="1">AVERAGE(OFFSET($AM$3,0,0,'Données projet'!$E$10+1,1))-AVERAGE(OFFSET($H$3,0,0,'Données projet'!$E$10+1,1))</f>
        <v>289.36126704091066</v>
      </c>
      <c r="AO188" s="62">
        <f t="shared" si="144"/>
        <v>195.3674411454258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266</v>
      </c>
      <c r="BE188" s="14">
        <f>BD188*VLOOKUP('Données projet'!$B$11,Paramètres!$A$1:$I$89,3,0)*VLOOKUP('Données projet'!$B$11,Paramètres!$A$1:$I$89,5,0)</f>
        <v>240.67680000000001</v>
      </c>
      <c r="BF188" s="14">
        <f t="shared" si="167"/>
        <v>58.585123425001029</v>
      </c>
      <c r="BG188" s="22">
        <f t="shared" si="168"/>
        <v>521.21451663187679</v>
      </c>
      <c r="BH188" s="62">
        <f t="shared" si="116"/>
        <v>814.54784996521016</v>
      </c>
      <c r="BI188" s="62">
        <f ca="1">AVERAGE(OFFSET($BH$3,0,0,'Données projet'!$E$11+1,1))-AVERAGE(OFFSET($H$3,0,0,'Données projet'!$E$11+1,1))</f>
        <v>250.17147737747007</v>
      </c>
      <c r="BJ188" s="62">
        <f t="shared" si="146"/>
        <v>172.25613380618552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266</v>
      </c>
      <c r="BZ188" s="14">
        <f>BY188*VLOOKUP('Données projet'!$B$12,Paramètres!$A$1:$I$89,3,0)*VLOOKUP('Données projet'!$B$12,Paramètres!$A$1:$I$89,5,0)</f>
        <v>286.32240000000002</v>
      </c>
      <c r="CA188" s="14">
        <f t="shared" si="170"/>
        <v>68.301372478551315</v>
      </c>
      <c r="CB188" s="22">
        <f t="shared" si="171"/>
        <v>617.63640373347687</v>
      </c>
      <c r="CC188" s="62">
        <f t="shared" si="119"/>
        <v>910.96973706681024</v>
      </c>
      <c r="CD188" s="62">
        <f ca="1">AVERAGE(OFFSET($CC$3,0,0,'Données projet'!$E$12+1,1))-AVERAGE(OFFSET($H$3,0,0,'Données projet'!$E$12+1,1))</f>
        <v>311.71521576048417</v>
      </c>
      <c r="CE188" s="62">
        <f t="shared" si="148"/>
        <v>208.54841796921403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280.47174439810988</v>
      </c>
      <c r="CZ188" s="62">
        <f t="shared" si="150"/>
        <v>231.19476400361157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3.2889073216999985E-2</v>
      </c>
      <c r="DH188" s="23">
        <f>EXP(-LN(2)/2)*DH187+(1-EXP(-LN(2)/2))/(LN(2)/2)*DB188*DE188*VLOOKUP('Données projet'!$B$13,Paramètres!$A$1:$I$89,3,0)*0.475*44/12</f>
        <v>9.8864206001173279E-23</v>
      </c>
      <c r="DI188" s="24">
        <f t="shared" si="175"/>
        <v>3.2889073216999985E-2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6.7984728957526396E-14</v>
      </c>
      <c r="DQ188" s="14">
        <f t="shared" si="176"/>
        <v>1.0682447123141398E-12</v>
      </c>
      <c r="DR188" s="22">
        <f t="shared" si="177"/>
        <v>1.978932943548152E-12</v>
      </c>
      <c r="DS188" s="62">
        <f t="shared" si="125"/>
        <v>293.3333333333353</v>
      </c>
      <c r="DT188" s="62">
        <f ca="1">AVERAGE(OFFSET($DS$3,0,0,'Données projet'!$E$14+1,1))-AVERAGE(OFFSET($H$3,0,0,'Données projet'!$E$14+1,1))</f>
        <v>282.98919020956595</v>
      </c>
      <c r="DU188" s="62">
        <f t="shared" si="152"/>
        <v>182.23565317232647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3.8315371955966458E-23</v>
      </c>
      <c r="ED188" s="24">
        <f t="shared" si="178"/>
        <v>3.8315371955966458E-23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9">
        <f t="shared" si="110"/>
        <v>617.97081929059186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-5.6843418860808015E-13</v>
      </c>
      <c r="O189" s="14">
        <f>N189*VLOOKUP('Données projet'!$B$9,Paramètres!$A$1:$I$89,3,0)*VLOOKUP('Données projet'!$B$9,Paramètres!$A$1:$I$89,5,0)</f>
        <v>-2.6602720026858149E-13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172.62653085905839</v>
      </c>
      <c r="T189" s="62">
        <f t="shared" si="142"/>
        <v>103.0747749312265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266</v>
      </c>
      <c r="AJ189" s="14">
        <f>AI189*VLOOKUP('Données projet'!$B$10,Paramètres!$A$1:$I$89,3,0)*VLOOKUP('Données projet'!$B$10,Paramètres!$A$1:$I$89,5,0)</f>
        <v>269.72400000000005</v>
      </c>
      <c r="AK189" s="14">
        <f t="shared" si="164"/>
        <v>64.790691635967406</v>
      </c>
      <c r="AL189" s="22">
        <f t="shared" si="165"/>
        <v>582.61308793264323</v>
      </c>
      <c r="AM189" s="62">
        <f t="shared" si="113"/>
        <v>875.9464212659766</v>
      </c>
      <c r="AN189" s="62">
        <f ca="1">AVERAGE(OFFSET($AM$3,0,0,'Données projet'!$E$10+1,1))-AVERAGE(OFFSET($H$3,0,0,'Données projet'!$E$10+1,1))</f>
        <v>289.36126704091066</v>
      </c>
      <c r="AO189" s="62">
        <f t="shared" si="144"/>
        <v>195.3674411454258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266</v>
      </c>
      <c r="BE189" s="14">
        <f>BD189*VLOOKUP('Données projet'!$B$11,Paramètres!$A$1:$I$89,3,0)*VLOOKUP('Données projet'!$B$11,Paramètres!$A$1:$I$89,5,0)</f>
        <v>240.67680000000001</v>
      </c>
      <c r="BF189" s="14">
        <f t="shared" si="167"/>
        <v>58.585123425001029</v>
      </c>
      <c r="BG189" s="22">
        <f t="shared" si="168"/>
        <v>521.21451663187679</v>
      </c>
      <c r="BH189" s="62">
        <f t="shared" si="116"/>
        <v>814.54784996521016</v>
      </c>
      <c r="BI189" s="62">
        <f ca="1">AVERAGE(OFFSET($BH$3,0,0,'Données projet'!$E$11+1,1))-AVERAGE(OFFSET($H$3,0,0,'Données projet'!$E$11+1,1))</f>
        <v>250.17147737747007</v>
      </c>
      <c r="BJ189" s="62">
        <f t="shared" si="146"/>
        <v>172.25613380618552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266</v>
      </c>
      <c r="BZ189" s="14">
        <f>BY189*VLOOKUP('Données projet'!$B$12,Paramètres!$A$1:$I$89,3,0)*VLOOKUP('Données projet'!$B$12,Paramètres!$A$1:$I$89,5,0)</f>
        <v>286.32240000000002</v>
      </c>
      <c r="CA189" s="14">
        <f t="shared" si="170"/>
        <v>68.301372478551315</v>
      </c>
      <c r="CB189" s="22">
        <f t="shared" si="171"/>
        <v>617.63640373347687</v>
      </c>
      <c r="CC189" s="62">
        <f t="shared" si="119"/>
        <v>910.96973706681024</v>
      </c>
      <c r="CD189" s="62">
        <f ca="1">AVERAGE(OFFSET($CC$3,0,0,'Données projet'!$E$12+1,1))-AVERAGE(OFFSET($H$3,0,0,'Données projet'!$E$12+1,1))</f>
        <v>311.71521576048417</v>
      </c>
      <c r="CE189" s="62">
        <f t="shared" si="148"/>
        <v>208.54841796921403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280.47174439810988</v>
      </c>
      <c r="CZ189" s="62">
        <f t="shared" si="150"/>
        <v>231.19476400361157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3.1989719780319927E-2</v>
      </c>
      <c r="DH189" s="23">
        <f>EXP(-LN(2)/2)*DH188+(1-EXP(-LN(2)/2))/(LN(2)/2)*DB189*DE189*VLOOKUP('Données projet'!$B$13,Paramètres!$A$1:$I$89,3,0)*0.475*44/12</f>
        <v>6.9907550480053392E-23</v>
      </c>
      <c r="DI189" s="24">
        <f t="shared" si="175"/>
        <v>3.1989719780319927E-2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6.7984728957526396E-14</v>
      </c>
      <c r="DQ189" s="14">
        <f t="shared" si="176"/>
        <v>1.0682447123141398E-12</v>
      </c>
      <c r="DR189" s="22">
        <f t="shared" si="177"/>
        <v>1.978932943548152E-12</v>
      </c>
      <c r="DS189" s="62">
        <f t="shared" si="125"/>
        <v>293.3333333333353</v>
      </c>
      <c r="DT189" s="62">
        <f ca="1">AVERAGE(OFFSET($DS$3,0,0,'Données projet'!$E$14+1,1))-AVERAGE(OFFSET($H$3,0,0,'Données projet'!$E$14+1,1))</f>
        <v>282.98919020956595</v>
      </c>
      <c r="DU189" s="62">
        <f t="shared" si="152"/>
        <v>182.23565317232647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2.7093059333748754E-23</v>
      </c>
      <c r="ED189" s="24">
        <f t="shared" si="178"/>
        <v>2.7093059333748754E-23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9">
        <f t="shared" si="110"/>
        <v>619.86736711848266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-5.6843418860808015E-13</v>
      </c>
      <c r="O190" s="14">
        <f>N190*VLOOKUP('Données projet'!$B$9,Paramètres!$A$1:$I$89,3,0)*VLOOKUP('Données projet'!$B$9,Paramètres!$A$1:$I$89,5,0)</f>
        <v>-2.6602720026858149E-13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172.62653085905839</v>
      </c>
      <c r="T190" s="62">
        <f t="shared" si="142"/>
        <v>103.0747749312265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266</v>
      </c>
      <c r="AJ190" s="14">
        <f>AI190*VLOOKUP('Données projet'!$B$10,Paramètres!$A$1:$I$89,3,0)*VLOOKUP('Données projet'!$B$10,Paramètres!$A$1:$I$89,5,0)</f>
        <v>269.72400000000005</v>
      </c>
      <c r="AK190" s="14">
        <f t="shared" si="164"/>
        <v>64.790691635967406</v>
      </c>
      <c r="AL190" s="22">
        <f t="shared" si="165"/>
        <v>582.61308793264323</v>
      </c>
      <c r="AM190" s="62">
        <f t="shared" si="113"/>
        <v>875.9464212659766</v>
      </c>
      <c r="AN190" s="62">
        <f ca="1">AVERAGE(OFFSET($AM$3,0,0,'Données projet'!$E$10+1,1))-AVERAGE(OFFSET($H$3,0,0,'Données projet'!$E$10+1,1))</f>
        <v>289.36126704091066</v>
      </c>
      <c r="AO190" s="62">
        <f t="shared" si="144"/>
        <v>195.3674411454258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266</v>
      </c>
      <c r="BE190" s="14">
        <f>BD190*VLOOKUP('Données projet'!$B$11,Paramètres!$A$1:$I$89,3,0)*VLOOKUP('Données projet'!$B$11,Paramètres!$A$1:$I$89,5,0)</f>
        <v>240.67680000000001</v>
      </c>
      <c r="BF190" s="14">
        <f t="shared" si="167"/>
        <v>58.585123425001029</v>
      </c>
      <c r="BG190" s="22">
        <f t="shared" si="168"/>
        <v>521.21451663187679</v>
      </c>
      <c r="BH190" s="62">
        <f t="shared" si="116"/>
        <v>814.54784996521016</v>
      </c>
      <c r="BI190" s="62">
        <f ca="1">AVERAGE(OFFSET($BH$3,0,0,'Données projet'!$E$11+1,1))-AVERAGE(OFFSET($H$3,0,0,'Données projet'!$E$11+1,1))</f>
        <v>250.17147737747007</v>
      </c>
      <c r="BJ190" s="62">
        <f t="shared" si="146"/>
        <v>172.25613380618552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266</v>
      </c>
      <c r="BZ190" s="14">
        <f>BY190*VLOOKUP('Données projet'!$B$12,Paramètres!$A$1:$I$89,3,0)*VLOOKUP('Données projet'!$B$12,Paramètres!$A$1:$I$89,5,0)</f>
        <v>286.32240000000002</v>
      </c>
      <c r="CA190" s="14">
        <f t="shared" si="170"/>
        <v>68.301372478551315</v>
      </c>
      <c r="CB190" s="22">
        <f t="shared" si="171"/>
        <v>617.63640373347687</v>
      </c>
      <c r="CC190" s="62">
        <f t="shared" si="119"/>
        <v>910.96973706681024</v>
      </c>
      <c r="CD190" s="62">
        <f ca="1">AVERAGE(OFFSET($CC$3,0,0,'Données projet'!$E$12+1,1))-AVERAGE(OFFSET($H$3,0,0,'Données projet'!$E$12+1,1))</f>
        <v>311.71521576048417</v>
      </c>
      <c r="CE190" s="62">
        <f t="shared" si="148"/>
        <v>208.54841796921403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280.47174439810988</v>
      </c>
      <c r="CZ190" s="62">
        <f t="shared" si="150"/>
        <v>231.19476400361157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3.1114959210660827E-2</v>
      </c>
      <c r="DH190" s="23">
        <f>EXP(-LN(2)/2)*DH189+(1-EXP(-LN(2)/2))/(LN(2)/2)*DB190*DE190*VLOOKUP('Données projet'!$B$13,Paramètres!$A$1:$I$89,3,0)*0.475*44/12</f>
        <v>4.9432103000586639E-23</v>
      </c>
      <c r="DI190" s="24">
        <f t="shared" si="175"/>
        <v>3.1114959210660827E-2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6.7984728957526396E-14</v>
      </c>
      <c r="DQ190" s="14">
        <f t="shared" si="176"/>
        <v>1.0682447123141398E-12</v>
      </c>
      <c r="DR190" s="22">
        <f t="shared" si="177"/>
        <v>1.978932943548152E-12</v>
      </c>
      <c r="DS190" s="62">
        <f t="shared" si="125"/>
        <v>293.3333333333353</v>
      </c>
      <c r="DT190" s="62">
        <f ca="1">AVERAGE(OFFSET($DS$3,0,0,'Données projet'!$E$14+1,1))-AVERAGE(OFFSET($H$3,0,0,'Données projet'!$E$14+1,1))</f>
        <v>282.98919020956595</v>
      </c>
      <c r="DU190" s="62">
        <f t="shared" si="152"/>
        <v>182.23565317232647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1.9157685977983229E-23</v>
      </c>
      <c r="ED190" s="24">
        <f t="shared" si="178"/>
        <v>1.9157685977983229E-23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9">
        <f t="shared" si="110"/>
        <v>621.7636984851116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-5.6843418860808015E-13</v>
      </c>
      <c r="O191" s="14">
        <f>N191*VLOOKUP('Données projet'!$B$9,Paramètres!$A$1:$I$89,3,0)*VLOOKUP('Données projet'!$B$9,Paramètres!$A$1:$I$89,5,0)</f>
        <v>-2.6602720026858149E-13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172.62653085905839</v>
      </c>
      <c r="T191" s="62">
        <f t="shared" si="142"/>
        <v>103.0747749312265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266</v>
      </c>
      <c r="AJ191" s="14">
        <f>AI191*VLOOKUP('Données projet'!$B$10,Paramètres!$A$1:$I$89,3,0)*VLOOKUP('Données projet'!$B$10,Paramètres!$A$1:$I$89,5,0)</f>
        <v>269.72400000000005</v>
      </c>
      <c r="AK191" s="14">
        <f t="shared" si="164"/>
        <v>64.790691635967406</v>
      </c>
      <c r="AL191" s="22">
        <f t="shared" si="165"/>
        <v>582.61308793264323</v>
      </c>
      <c r="AM191" s="62">
        <f t="shared" si="113"/>
        <v>875.9464212659766</v>
      </c>
      <c r="AN191" s="62">
        <f ca="1">AVERAGE(OFFSET($AM$3,0,0,'Données projet'!$E$10+1,1))-AVERAGE(OFFSET($H$3,0,0,'Données projet'!$E$10+1,1))</f>
        <v>289.36126704091066</v>
      </c>
      <c r="AO191" s="62">
        <f t="shared" si="144"/>
        <v>195.3674411454258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266</v>
      </c>
      <c r="BE191" s="14">
        <f>BD191*VLOOKUP('Données projet'!$B$11,Paramètres!$A$1:$I$89,3,0)*VLOOKUP('Données projet'!$B$11,Paramètres!$A$1:$I$89,5,0)</f>
        <v>240.67680000000001</v>
      </c>
      <c r="BF191" s="14">
        <f t="shared" si="167"/>
        <v>58.585123425001029</v>
      </c>
      <c r="BG191" s="22">
        <f t="shared" si="168"/>
        <v>521.21451663187679</v>
      </c>
      <c r="BH191" s="62">
        <f t="shared" si="116"/>
        <v>814.54784996521016</v>
      </c>
      <c r="BI191" s="62">
        <f ca="1">AVERAGE(OFFSET($BH$3,0,0,'Données projet'!$E$11+1,1))-AVERAGE(OFFSET($H$3,0,0,'Données projet'!$E$11+1,1))</f>
        <v>250.17147737747007</v>
      </c>
      <c r="BJ191" s="62">
        <f t="shared" si="146"/>
        <v>172.25613380618552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266</v>
      </c>
      <c r="BZ191" s="14">
        <f>BY191*VLOOKUP('Données projet'!$B$12,Paramètres!$A$1:$I$89,3,0)*VLOOKUP('Données projet'!$B$12,Paramètres!$A$1:$I$89,5,0)</f>
        <v>286.32240000000002</v>
      </c>
      <c r="CA191" s="14">
        <f t="shared" si="170"/>
        <v>68.301372478551315</v>
      </c>
      <c r="CB191" s="22">
        <f t="shared" si="171"/>
        <v>617.63640373347687</v>
      </c>
      <c r="CC191" s="62">
        <f t="shared" si="119"/>
        <v>910.96973706681024</v>
      </c>
      <c r="CD191" s="62">
        <f ca="1">AVERAGE(OFFSET($CC$3,0,0,'Données projet'!$E$12+1,1))-AVERAGE(OFFSET($H$3,0,0,'Données projet'!$E$12+1,1))</f>
        <v>311.71521576048417</v>
      </c>
      <c r="CE191" s="62">
        <f t="shared" si="148"/>
        <v>208.54841796921403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280.47174439810988</v>
      </c>
      <c r="CZ191" s="62">
        <f t="shared" si="150"/>
        <v>231.19476400361157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3.0264119014780717E-2</v>
      </c>
      <c r="DH191" s="23">
        <f>EXP(-LN(2)/2)*DH190+(1-EXP(-LN(2)/2))/(LN(2)/2)*DB191*DE191*VLOOKUP('Données projet'!$B$13,Paramètres!$A$1:$I$89,3,0)*0.475*44/12</f>
        <v>3.4953775240026696E-23</v>
      </c>
      <c r="DI191" s="24">
        <f t="shared" si="175"/>
        <v>3.0264119014780717E-2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6.7984728957526396E-14</v>
      </c>
      <c r="DQ191" s="14">
        <f t="shared" si="176"/>
        <v>1.0682447123141398E-12</v>
      </c>
      <c r="DR191" s="22">
        <f t="shared" si="177"/>
        <v>1.978932943548152E-12</v>
      </c>
      <c r="DS191" s="62">
        <f t="shared" si="125"/>
        <v>293.3333333333353</v>
      </c>
      <c r="DT191" s="62">
        <f ca="1">AVERAGE(OFFSET($DS$3,0,0,'Données projet'!$E$14+1,1))-AVERAGE(OFFSET($H$3,0,0,'Données projet'!$E$14+1,1))</f>
        <v>282.98919020956595</v>
      </c>
      <c r="DU191" s="62">
        <f t="shared" si="152"/>
        <v>182.23565317232647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1.3546529666874377E-23</v>
      </c>
      <c r="ED191" s="24">
        <f t="shared" si="178"/>
        <v>1.3546529666874377E-23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9">
        <f t="shared" si="110"/>
        <v>623.65981467550444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-5.6843418860808015E-13</v>
      </c>
      <c r="O192" s="14">
        <f>N192*VLOOKUP('Données projet'!$B$9,Paramètres!$A$1:$I$89,3,0)*VLOOKUP('Données projet'!$B$9,Paramètres!$A$1:$I$89,5,0)</f>
        <v>-2.6602720026858149E-13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172.62653085905839</v>
      </c>
      <c r="T192" s="62">
        <f t="shared" si="142"/>
        <v>103.0747749312265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266</v>
      </c>
      <c r="AJ192" s="14">
        <f>AI192*VLOOKUP('Données projet'!$B$10,Paramètres!$A$1:$I$89,3,0)*VLOOKUP('Données projet'!$B$10,Paramètres!$A$1:$I$89,5,0)</f>
        <v>269.72400000000005</v>
      </c>
      <c r="AK192" s="14">
        <f t="shared" si="164"/>
        <v>64.790691635967406</v>
      </c>
      <c r="AL192" s="22">
        <f t="shared" si="165"/>
        <v>582.61308793264323</v>
      </c>
      <c r="AM192" s="62">
        <f t="shared" si="113"/>
        <v>875.9464212659766</v>
      </c>
      <c r="AN192" s="62">
        <f ca="1">AVERAGE(OFFSET($AM$3,0,0,'Données projet'!$E$10+1,1))-AVERAGE(OFFSET($H$3,0,0,'Données projet'!$E$10+1,1))</f>
        <v>289.36126704091066</v>
      </c>
      <c r="AO192" s="62">
        <f t="shared" si="144"/>
        <v>195.3674411454258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266</v>
      </c>
      <c r="BE192" s="14">
        <f>BD192*VLOOKUP('Données projet'!$B$11,Paramètres!$A$1:$I$89,3,0)*VLOOKUP('Données projet'!$B$11,Paramètres!$A$1:$I$89,5,0)</f>
        <v>240.67680000000001</v>
      </c>
      <c r="BF192" s="14">
        <f t="shared" si="167"/>
        <v>58.585123425001029</v>
      </c>
      <c r="BG192" s="22">
        <f t="shared" si="168"/>
        <v>521.21451663187679</v>
      </c>
      <c r="BH192" s="62">
        <f t="shared" si="116"/>
        <v>814.54784996521016</v>
      </c>
      <c r="BI192" s="62">
        <f ca="1">AVERAGE(OFFSET($BH$3,0,0,'Données projet'!$E$11+1,1))-AVERAGE(OFFSET($H$3,0,0,'Données projet'!$E$11+1,1))</f>
        <v>250.17147737747007</v>
      </c>
      <c r="BJ192" s="62">
        <f t="shared" si="146"/>
        <v>172.25613380618552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266</v>
      </c>
      <c r="BZ192" s="14">
        <f>BY192*VLOOKUP('Données projet'!$B$12,Paramètres!$A$1:$I$89,3,0)*VLOOKUP('Données projet'!$B$12,Paramètres!$A$1:$I$89,5,0)</f>
        <v>286.32240000000002</v>
      </c>
      <c r="CA192" s="14">
        <f t="shared" si="170"/>
        <v>68.301372478551315</v>
      </c>
      <c r="CB192" s="22">
        <f t="shared" si="171"/>
        <v>617.63640373347687</v>
      </c>
      <c r="CC192" s="62">
        <f t="shared" si="119"/>
        <v>910.96973706681024</v>
      </c>
      <c r="CD192" s="62">
        <f ca="1">AVERAGE(OFFSET($CC$3,0,0,'Données projet'!$E$12+1,1))-AVERAGE(OFFSET($H$3,0,0,'Données projet'!$E$12+1,1))</f>
        <v>311.71521576048417</v>
      </c>
      <c r="CE192" s="62">
        <f t="shared" si="148"/>
        <v>208.54841796921403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280.47174439810988</v>
      </c>
      <c r="CZ192" s="62">
        <f t="shared" si="150"/>
        <v>231.19476400361157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2.943654508880069E-2</v>
      </c>
      <c r="DH192" s="23">
        <f>EXP(-LN(2)/2)*DH191+(1-EXP(-LN(2)/2))/(LN(2)/2)*DB192*DE192*VLOOKUP('Données projet'!$B$13,Paramètres!$A$1:$I$89,3,0)*0.475*44/12</f>
        <v>2.471605150029332E-23</v>
      </c>
      <c r="DI192" s="24">
        <f t="shared" si="175"/>
        <v>2.943654508880069E-2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6.7984728957526396E-14</v>
      </c>
      <c r="DQ192" s="14">
        <f t="shared" si="176"/>
        <v>1.0682447123141398E-12</v>
      </c>
      <c r="DR192" s="22">
        <f t="shared" si="177"/>
        <v>1.978932943548152E-12</v>
      </c>
      <c r="DS192" s="62">
        <f t="shared" si="125"/>
        <v>293.3333333333353</v>
      </c>
      <c r="DT192" s="62">
        <f ca="1">AVERAGE(OFFSET($DS$3,0,0,'Données projet'!$E$14+1,1))-AVERAGE(OFFSET($H$3,0,0,'Données projet'!$E$14+1,1))</f>
        <v>282.98919020956595</v>
      </c>
      <c r="DU192" s="62">
        <f t="shared" si="152"/>
        <v>182.23565317232647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9.5788429889916146E-24</v>
      </c>
      <c r="ED192" s="24">
        <f t="shared" si="178"/>
        <v>9.5788429889916146E-24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9">
        <f t="shared" si="110"/>
        <v>625.55571696030165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-5.6843418860808015E-13</v>
      </c>
      <c r="O193" s="14">
        <f>N193*VLOOKUP('Données projet'!$B$9,Paramètres!$A$1:$I$89,3,0)*VLOOKUP('Données projet'!$B$9,Paramètres!$A$1:$I$89,5,0)</f>
        <v>-2.6602720026858149E-13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172.62653085905839</v>
      </c>
      <c r="T193" s="62">
        <f t="shared" si="142"/>
        <v>103.0747749312265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266</v>
      </c>
      <c r="AJ193" s="14">
        <f>AI193*VLOOKUP('Données projet'!$B$10,Paramètres!$A$1:$I$89,3,0)*VLOOKUP('Données projet'!$B$10,Paramètres!$A$1:$I$89,5,0)</f>
        <v>269.72400000000005</v>
      </c>
      <c r="AK193" s="14">
        <f t="shared" si="164"/>
        <v>64.790691635967406</v>
      </c>
      <c r="AL193" s="22">
        <f t="shared" si="165"/>
        <v>582.61308793264323</v>
      </c>
      <c r="AM193" s="62">
        <f t="shared" si="113"/>
        <v>875.9464212659766</v>
      </c>
      <c r="AN193" s="62">
        <f ca="1">AVERAGE(OFFSET($AM$3,0,0,'Données projet'!$E$10+1,1))-AVERAGE(OFFSET($H$3,0,0,'Données projet'!$E$10+1,1))</f>
        <v>289.36126704091066</v>
      </c>
      <c r="AO193" s="62">
        <f t="shared" si="144"/>
        <v>195.3674411454258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266</v>
      </c>
      <c r="BE193" s="14">
        <f>BD193*VLOOKUP('Données projet'!$B$11,Paramètres!$A$1:$I$89,3,0)*VLOOKUP('Données projet'!$B$11,Paramètres!$A$1:$I$89,5,0)</f>
        <v>240.67680000000001</v>
      </c>
      <c r="BF193" s="14">
        <f t="shared" si="167"/>
        <v>58.585123425001029</v>
      </c>
      <c r="BG193" s="22">
        <f t="shared" si="168"/>
        <v>521.21451663187679</v>
      </c>
      <c r="BH193" s="62">
        <f t="shared" si="116"/>
        <v>814.54784996521016</v>
      </c>
      <c r="BI193" s="62">
        <f ca="1">AVERAGE(OFFSET($BH$3,0,0,'Données projet'!$E$11+1,1))-AVERAGE(OFFSET($H$3,0,0,'Données projet'!$E$11+1,1))</f>
        <v>250.17147737747007</v>
      </c>
      <c r="BJ193" s="62">
        <f t="shared" si="146"/>
        <v>172.25613380618552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266</v>
      </c>
      <c r="BZ193" s="14">
        <f>BY193*VLOOKUP('Données projet'!$B$12,Paramètres!$A$1:$I$89,3,0)*VLOOKUP('Données projet'!$B$12,Paramètres!$A$1:$I$89,5,0)</f>
        <v>286.32240000000002</v>
      </c>
      <c r="CA193" s="14">
        <f t="shared" si="170"/>
        <v>68.301372478551315</v>
      </c>
      <c r="CB193" s="22">
        <f t="shared" si="171"/>
        <v>617.63640373347687</v>
      </c>
      <c r="CC193" s="62">
        <f t="shared" si="119"/>
        <v>910.96973706681024</v>
      </c>
      <c r="CD193" s="62">
        <f ca="1">AVERAGE(OFFSET($CC$3,0,0,'Données projet'!$E$12+1,1))-AVERAGE(OFFSET($H$3,0,0,'Données projet'!$E$12+1,1))</f>
        <v>311.71521576048417</v>
      </c>
      <c r="CE193" s="62">
        <f t="shared" si="148"/>
        <v>208.54841796921403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280.47174439810988</v>
      </c>
      <c r="CZ193" s="62">
        <f t="shared" si="150"/>
        <v>231.19476400361157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2.8631601215346806E-2</v>
      </c>
      <c r="DH193" s="23">
        <f>EXP(-LN(2)/2)*DH192+(1-EXP(-LN(2)/2))/(LN(2)/2)*DB193*DE193*VLOOKUP('Données projet'!$B$13,Paramètres!$A$1:$I$89,3,0)*0.475*44/12</f>
        <v>1.7476887620013348E-23</v>
      </c>
      <c r="DI193" s="24">
        <f t="shared" si="175"/>
        <v>2.8631601215346806E-2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6.7984728957526396E-14</v>
      </c>
      <c r="DQ193" s="14">
        <f t="shared" si="176"/>
        <v>1.0682447123141398E-12</v>
      </c>
      <c r="DR193" s="22">
        <f t="shared" si="177"/>
        <v>1.978932943548152E-12</v>
      </c>
      <c r="DS193" s="62">
        <f t="shared" si="125"/>
        <v>293.3333333333353</v>
      </c>
      <c r="DT193" s="62">
        <f ca="1">AVERAGE(OFFSET($DS$3,0,0,'Données projet'!$E$14+1,1))-AVERAGE(OFFSET($H$3,0,0,'Données projet'!$E$14+1,1))</f>
        <v>282.98919020956595</v>
      </c>
      <c r="DU193" s="62">
        <f t="shared" si="152"/>
        <v>182.23565317232647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6.7732648334371884E-24</v>
      </c>
      <c r="ED193" s="24">
        <f t="shared" si="178"/>
        <v>6.7732648334371884E-24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9">
        <f t="shared" si="110"/>
        <v>627.45140659599406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-5.6843418860808015E-13</v>
      </c>
      <c r="O194" s="14">
        <f>N194*VLOOKUP('Données projet'!$B$9,Paramètres!$A$1:$I$89,3,0)*VLOOKUP('Données projet'!$B$9,Paramètres!$A$1:$I$89,5,0)</f>
        <v>-2.6602720026858149E-13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172.62653085905839</v>
      </c>
      <c r="T194" s="62">
        <f t="shared" si="142"/>
        <v>103.0747749312265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266</v>
      </c>
      <c r="AJ194" s="14">
        <f>AI194*VLOOKUP('Données projet'!$B$10,Paramètres!$A$1:$I$89,3,0)*VLOOKUP('Données projet'!$B$10,Paramètres!$A$1:$I$89,5,0)</f>
        <v>269.72400000000005</v>
      </c>
      <c r="AK194" s="14">
        <f t="shared" si="164"/>
        <v>64.790691635967406</v>
      </c>
      <c r="AL194" s="22">
        <f t="shared" si="165"/>
        <v>582.61308793264323</v>
      </c>
      <c r="AM194" s="62">
        <f t="shared" si="113"/>
        <v>875.9464212659766</v>
      </c>
      <c r="AN194" s="62">
        <f ca="1">AVERAGE(OFFSET($AM$3,0,0,'Données projet'!$E$10+1,1))-AVERAGE(OFFSET($H$3,0,0,'Données projet'!$E$10+1,1))</f>
        <v>289.36126704091066</v>
      </c>
      <c r="AO194" s="62">
        <f t="shared" si="144"/>
        <v>195.3674411454258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266</v>
      </c>
      <c r="BE194" s="14">
        <f>BD194*VLOOKUP('Données projet'!$B$11,Paramètres!$A$1:$I$89,3,0)*VLOOKUP('Données projet'!$B$11,Paramètres!$A$1:$I$89,5,0)</f>
        <v>240.67680000000001</v>
      </c>
      <c r="BF194" s="14">
        <f t="shared" si="167"/>
        <v>58.585123425001029</v>
      </c>
      <c r="BG194" s="22">
        <f t="shared" si="168"/>
        <v>521.21451663187679</v>
      </c>
      <c r="BH194" s="62">
        <f t="shared" si="116"/>
        <v>814.54784996521016</v>
      </c>
      <c r="BI194" s="62">
        <f ca="1">AVERAGE(OFFSET($BH$3,0,0,'Données projet'!$E$11+1,1))-AVERAGE(OFFSET($H$3,0,0,'Données projet'!$E$11+1,1))</f>
        <v>250.17147737747007</v>
      </c>
      <c r="BJ194" s="62">
        <f t="shared" si="146"/>
        <v>172.25613380618552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266</v>
      </c>
      <c r="BZ194" s="14">
        <f>BY194*VLOOKUP('Données projet'!$B$12,Paramètres!$A$1:$I$89,3,0)*VLOOKUP('Données projet'!$B$12,Paramètres!$A$1:$I$89,5,0)</f>
        <v>286.32240000000002</v>
      </c>
      <c r="CA194" s="14">
        <f t="shared" si="170"/>
        <v>68.301372478551315</v>
      </c>
      <c r="CB194" s="22">
        <f t="shared" si="171"/>
        <v>617.63640373347687</v>
      </c>
      <c r="CC194" s="62">
        <f t="shared" si="119"/>
        <v>910.96973706681024</v>
      </c>
      <c r="CD194" s="62">
        <f ca="1">AVERAGE(OFFSET($CC$3,0,0,'Données projet'!$E$12+1,1))-AVERAGE(OFFSET($H$3,0,0,'Données projet'!$E$12+1,1))</f>
        <v>311.71521576048417</v>
      </c>
      <c r="CE194" s="62">
        <f t="shared" si="148"/>
        <v>208.54841796921403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280.47174439810988</v>
      </c>
      <c r="CZ194" s="62">
        <f t="shared" si="150"/>
        <v>231.19476400361157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2.7848668574442677E-2</v>
      </c>
      <c r="DH194" s="23">
        <f>EXP(-LN(2)/2)*DH193+(1-EXP(-LN(2)/2))/(LN(2)/2)*DB194*DE194*VLOOKUP('Données projet'!$B$13,Paramètres!$A$1:$I$89,3,0)*0.475*44/12</f>
        <v>1.235802575014666E-23</v>
      </c>
      <c r="DI194" s="24">
        <f t="shared" si="175"/>
        <v>2.7848668574442677E-2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6.7984728957526396E-14</v>
      </c>
      <c r="DQ194" s="14">
        <f t="shared" si="176"/>
        <v>1.0682447123141398E-12</v>
      </c>
      <c r="DR194" s="22">
        <f t="shared" si="177"/>
        <v>1.978932943548152E-12</v>
      </c>
      <c r="DS194" s="62">
        <f t="shared" si="125"/>
        <v>293.3333333333353</v>
      </c>
      <c r="DT194" s="62">
        <f ca="1">AVERAGE(OFFSET($DS$3,0,0,'Données projet'!$E$14+1,1))-AVERAGE(OFFSET($H$3,0,0,'Données projet'!$E$14+1,1))</f>
        <v>282.98919020956595</v>
      </c>
      <c r="DU194" s="62">
        <f t="shared" si="152"/>
        <v>182.23565317232647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4.7894214944958073E-24</v>
      </c>
      <c r="ED194" s="24">
        <f t="shared" si="178"/>
        <v>4.7894214944958073E-24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9">
        <f t="shared" si="110"/>
        <v>629.34688482515401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-5.6843418860808015E-13</v>
      </c>
      <c r="O195" s="14">
        <f>N195*VLOOKUP('Données projet'!$B$9,Paramètres!$A$1:$I$89,3,0)*VLOOKUP('Données projet'!$B$9,Paramètres!$A$1:$I$89,5,0)</f>
        <v>-2.6602720026858149E-13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172.62653085905839</v>
      </c>
      <c r="T195" s="62">
        <f t="shared" si="142"/>
        <v>103.0747749312265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266</v>
      </c>
      <c r="AJ195" s="14">
        <f>AI195*VLOOKUP('Données projet'!$B$10,Paramètres!$A$1:$I$89,3,0)*VLOOKUP('Données projet'!$B$10,Paramètres!$A$1:$I$89,5,0)</f>
        <v>269.72400000000005</v>
      </c>
      <c r="AK195" s="14">
        <f t="shared" si="164"/>
        <v>64.790691635967406</v>
      </c>
      <c r="AL195" s="22">
        <f t="shared" si="165"/>
        <v>582.61308793264323</v>
      </c>
      <c r="AM195" s="62">
        <f t="shared" si="113"/>
        <v>875.9464212659766</v>
      </c>
      <c r="AN195" s="62">
        <f ca="1">AVERAGE(OFFSET($AM$3,0,0,'Données projet'!$E$10+1,1))-AVERAGE(OFFSET($H$3,0,0,'Données projet'!$E$10+1,1))</f>
        <v>289.36126704091066</v>
      </c>
      <c r="AO195" s="62">
        <f t="shared" si="144"/>
        <v>195.3674411454258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266</v>
      </c>
      <c r="BE195" s="14">
        <f>BD195*VLOOKUP('Données projet'!$B$11,Paramètres!$A$1:$I$89,3,0)*VLOOKUP('Données projet'!$B$11,Paramètres!$A$1:$I$89,5,0)</f>
        <v>240.67680000000001</v>
      </c>
      <c r="BF195" s="14">
        <f t="shared" si="167"/>
        <v>58.585123425001029</v>
      </c>
      <c r="BG195" s="22">
        <f t="shared" si="168"/>
        <v>521.21451663187679</v>
      </c>
      <c r="BH195" s="62">
        <f t="shared" si="116"/>
        <v>814.54784996521016</v>
      </c>
      <c r="BI195" s="62">
        <f ca="1">AVERAGE(OFFSET($BH$3,0,0,'Données projet'!$E$11+1,1))-AVERAGE(OFFSET($H$3,0,0,'Données projet'!$E$11+1,1))</f>
        <v>250.17147737747007</v>
      </c>
      <c r="BJ195" s="62">
        <f t="shared" si="146"/>
        <v>172.25613380618552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266</v>
      </c>
      <c r="BZ195" s="14">
        <f>BY195*VLOOKUP('Données projet'!$B$12,Paramètres!$A$1:$I$89,3,0)*VLOOKUP('Données projet'!$B$12,Paramètres!$A$1:$I$89,5,0)</f>
        <v>286.32240000000002</v>
      </c>
      <c r="CA195" s="14">
        <f t="shared" si="170"/>
        <v>68.301372478551315</v>
      </c>
      <c r="CB195" s="22">
        <f t="shared" si="171"/>
        <v>617.63640373347687</v>
      </c>
      <c r="CC195" s="62">
        <f t="shared" si="119"/>
        <v>910.96973706681024</v>
      </c>
      <c r="CD195" s="62">
        <f ca="1">AVERAGE(OFFSET($CC$3,0,0,'Données projet'!$E$12+1,1))-AVERAGE(OFFSET($H$3,0,0,'Données projet'!$E$12+1,1))</f>
        <v>311.71521576048417</v>
      </c>
      <c r="CE195" s="62">
        <f t="shared" si="148"/>
        <v>208.54841796921403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280.47174439810988</v>
      </c>
      <c r="CZ195" s="62">
        <f t="shared" si="150"/>
        <v>231.19476400361157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2.708714526777671E-2</v>
      </c>
      <c r="DH195" s="23">
        <f>EXP(-LN(2)/2)*DH194+(1-EXP(-LN(2)/2))/(LN(2)/2)*DB195*DE195*VLOOKUP('Données projet'!$B$13,Paramètres!$A$1:$I$89,3,0)*0.475*44/12</f>
        <v>8.7384438100066739E-24</v>
      </c>
      <c r="DI195" s="24">
        <f t="shared" si="175"/>
        <v>2.708714526777671E-2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6.7984728957526396E-14</v>
      </c>
      <c r="DQ195" s="14">
        <f t="shared" si="176"/>
        <v>1.0682447123141398E-12</v>
      </c>
      <c r="DR195" s="22">
        <f t="shared" si="177"/>
        <v>1.978932943548152E-12</v>
      </c>
      <c r="DS195" s="62">
        <f t="shared" si="125"/>
        <v>293.3333333333353</v>
      </c>
      <c r="DT195" s="62">
        <f ca="1">AVERAGE(OFFSET($DS$3,0,0,'Données projet'!$E$14+1,1))-AVERAGE(OFFSET($H$3,0,0,'Données projet'!$E$14+1,1))</f>
        <v>282.98919020956595</v>
      </c>
      <c r="DU195" s="62">
        <f t="shared" si="152"/>
        <v>182.23565317232647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3.3866324167185942E-24</v>
      </c>
      <c r="ED195" s="24">
        <f t="shared" si="178"/>
        <v>3.3866324167185942E-24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9">
        <f t="shared" ref="H196:H203" si="192">(B196+E196+F196)*44/12+(C196+D196)*0.475*44/12</f>
        <v>631.24215287666095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-5.6843418860808015E-13</v>
      </c>
      <c r="O196" s="14">
        <f>N196*VLOOKUP('Données projet'!$B$9,Paramètres!$A$1:$I$89,3,0)*VLOOKUP('Données projet'!$B$9,Paramètres!$A$1:$I$89,5,0)</f>
        <v>-2.6602720026858149E-13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172.62653085905839</v>
      </c>
      <c r="T196" s="62">
        <f t="shared" si="142"/>
        <v>103.0747749312265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266</v>
      </c>
      <c r="AJ196" s="14">
        <f>AI196*VLOOKUP('Données projet'!$B$10,Paramètres!$A$1:$I$89,3,0)*VLOOKUP('Données projet'!$B$10,Paramètres!$A$1:$I$89,5,0)</f>
        <v>269.72400000000005</v>
      </c>
      <c r="AK196" s="14">
        <f t="shared" si="164"/>
        <v>64.790691635967406</v>
      </c>
      <c r="AL196" s="22">
        <f t="shared" si="165"/>
        <v>582.61308793264323</v>
      </c>
      <c r="AM196" s="62">
        <f t="shared" ref="AM196:AM203" si="193">AL196+(AD196+AE196)*44/12</f>
        <v>875.9464212659766</v>
      </c>
      <c r="AN196" s="62">
        <f ca="1">AVERAGE(OFFSET($AM$3,0,0,'Données projet'!$E$10+1,1))-AVERAGE(OFFSET($H$3,0,0,'Données projet'!$E$10+1,1))</f>
        <v>289.36126704091066</v>
      </c>
      <c r="AO196" s="62">
        <f t="shared" si="144"/>
        <v>195.3674411454258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266</v>
      </c>
      <c r="BE196" s="14">
        <f>BD196*VLOOKUP('Données projet'!$B$11,Paramètres!$A$1:$I$89,3,0)*VLOOKUP('Données projet'!$B$11,Paramètres!$A$1:$I$89,5,0)</f>
        <v>240.67680000000001</v>
      </c>
      <c r="BF196" s="14">
        <f t="shared" si="167"/>
        <v>58.585123425001029</v>
      </c>
      <c r="BG196" s="22">
        <f t="shared" si="168"/>
        <v>521.21451663187679</v>
      </c>
      <c r="BH196" s="62">
        <f t="shared" ref="BH196:BH203" si="194">BG196+(AY196+AZ196)*44/12</f>
        <v>814.54784996521016</v>
      </c>
      <c r="BI196" s="62">
        <f ca="1">AVERAGE(OFFSET($BH$3,0,0,'Données projet'!$E$11+1,1))-AVERAGE(OFFSET($H$3,0,0,'Données projet'!$E$11+1,1))</f>
        <v>250.17147737747007</v>
      </c>
      <c r="BJ196" s="62">
        <f t="shared" si="146"/>
        <v>172.25613380618552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266</v>
      </c>
      <c r="BZ196" s="14">
        <f>BY196*VLOOKUP('Données projet'!$B$12,Paramètres!$A$1:$I$89,3,0)*VLOOKUP('Données projet'!$B$12,Paramètres!$A$1:$I$89,5,0)</f>
        <v>286.32240000000002</v>
      </c>
      <c r="CA196" s="14">
        <f t="shared" si="170"/>
        <v>68.301372478551315</v>
      </c>
      <c r="CB196" s="22">
        <f t="shared" si="171"/>
        <v>617.63640373347687</v>
      </c>
      <c r="CC196" s="62">
        <f t="shared" ref="CC196:CC203" si="195">CB196+(BT196+BU196)*44/12</f>
        <v>910.96973706681024</v>
      </c>
      <c r="CD196" s="62">
        <f ca="1">AVERAGE(OFFSET($CC$3,0,0,'Données projet'!$E$12+1,1))-AVERAGE(OFFSET($H$3,0,0,'Données projet'!$E$12+1,1))</f>
        <v>311.71521576048417</v>
      </c>
      <c r="CE196" s="62">
        <f t="shared" si="148"/>
        <v>208.54841796921403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280.47174439810988</v>
      </c>
      <c r="CZ196" s="62">
        <f t="shared" si="150"/>
        <v>231.19476400361157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2.6346445855978295E-2</v>
      </c>
      <c r="DH196" s="23">
        <f>EXP(-LN(2)/2)*DH195+(1-EXP(-LN(2)/2))/(LN(2)/2)*DB196*DE196*VLOOKUP('Données projet'!$B$13,Paramètres!$A$1:$I$89,3,0)*0.475*44/12</f>
        <v>6.1790128750733299E-24</v>
      </c>
      <c r="DI196" s="24">
        <f t="shared" si="175"/>
        <v>2.6346445855978295E-2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6.7984728957526396E-14</v>
      </c>
      <c r="DQ196" s="14">
        <f t="shared" si="176"/>
        <v>1.0682447123141398E-12</v>
      </c>
      <c r="DR196" s="22">
        <f t="shared" si="177"/>
        <v>1.978932943548152E-12</v>
      </c>
      <c r="DS196" s="62">
        <f t="shared" ref="DS196:DS203" si="197">DR196+(DJ196+DK196)*44/12</f>
        <v>293.3333333333353</v>
      </c>
      <c r="DT196" s="62">
        <f ca="1">AVERAGE(OFFSET($DS$3,0,0,'Données projet'!$E$14+1,1))-AVERAGE(OFFSET($H$3,0,0,'Données projet'!$E$14+1,1))</f>
        <v>282.98919020956595</v>
      </c>
      <c r="DU196" s="62">
        <f t="shared" si="152"/>
        <v>182.23565317232647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2.3947107472479036E-24</v>
      </c>
      <c r="ED196" s="24">
        <f t="shared" si="178"/>
        <v>2.3947107472479036E-24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9">
        <f t="shared" si="192"/>
        <v>633.13721196592269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-5.6843418860808015E-13</v>
      </c>
      <c r="O197" s="14">
        <f>N197*VLOOKUP('Données projet'!$B$9,Paramètres!$A$1:$I$89,3,0)*VLOOKUP('Données projet'!$B$9,Paramètres!$A$1:$I$89,5,0)</f>
        <v>-2.6602720026858149E-13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172.62653085905839</v>
      </c>
      <c r="T197" s="62">
        <f t="shared" ref="T197:T203" si="204">$T$3</f>
        <v>103.0747749312265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266</v>
      </c>
      <c r="AJ197" s="14">
        <f>AI197*VLOOKUP('Données projet'!$B$10,Paramètres!$A$1:$I$89,3,0)*VLOOKUP('Données projet'!$B$10,Paramètres!$A$1:$I$89,5,0)</f>
        <v>269.72400000000005</v>
      </c>
      <c r="AK197" s="14">
        <f t="shared" si="164"/>
        <v>64.790691635967406</v>
      </c>
      <c r="AL197" s="22">
        <f t="shared" si="165"/>
        <v>582.61308793264323</v>
      </c>
      <c r="AM197" s="62">
        <f t="shared" si="193"/>
        <v>875.9464212659766</v>
      </c>
      <c r="AN197" s="62">
        <f ca="1">AVERAGE(OFFSET($AM$3,0,0,'Données projet'!$E$10+1,1))-AVERAGE(OFFSET($H$3,0,0,'Données projet'!$E$10+1,1))</f>
        <v>289.36126704091066</v>
      </c>
      <c r="AO197" s="62">
        <f t="shared" ref="AO197:AO203" si="205">$AO$3</f>
        <v>195.3674411454258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266</v>
      </c>
      <c r="BE197" s="14">
        <f>BD197*VLOOKUP('Données projet'!$B$11,Paramètres!$A$1:$I$89,3,0)*VLOOKUP('Données projet'!$B$11,Paramètres!$A$1:$I$89,5,0)</f>
        <v>240.67680000000001</v>
      </c>
      <c r="BF197" s="14">
        <f t="shared" si="167"/>
        <v>58.585123425001029</v>
      </c>
      <c r="BG197" s="22">
        <f t="shared" si="168"/>
        <v>521.21451663187679</v>
      </c>
      <c r="BH197" s="62">
        <f t="shared" si="194"/>
        <v>814.54784996521016</v>
      </c>
      <c r="BI197" s="62">
        <f ca="1">AVERAGE(OFFSET($BH$3,0,0,'Données projet'!$E$11+1,1))-AVERAGE(OFFSET($H$3,0,0,'Données projet'!$E$11+1,1))</f>
        <v>250.17147737747007</v>
      </c>
      <c r="BJ197" s="62">
        <f t="shared" ref="BJ197:BJ203" si="206">$BJ$3</f>
        <v>172.25613380618552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266</v>
      </c>
      <c r="BZ197" s="14">
        <f>BY197*VLOOKUP('Données projet'!$B$12,Paramètres!$A$1:$I$89,3,0)*VLOOKUP('Données projet'!$B$12,Paramètres!$A$1:$I$89,5,0)</f>
        <v>286.32240000000002</v>
      </c>
      <c r="CA197" s="14">
        <f t="shared" si="170"/>
        <v>68.301372478551315</v>
      </c>
      <c r="CB197" s="22">
        <f t="shared" si="171"/>
        <v>617.63640373347687</v>
      </c>
      <c r="CC197" s="62">
        <f t="shared" si="195"/>
        <v>910.96973706681024</v>
      </c>
      <c r="CD197" s="62">
        <f ca="1">AVERAGE(OFFSET($CC$3,0,0,'Données projet'!$E$12+1,1))-AVERAGE(OFFSET($H$3,0,0,'Données projet'!$E$12+1,1))</f>
        <v>311.71521576048417</v>
      </c>
      <c r="CE197" s="62">
        <f t="shared" ref="CE197:CE203" si="207">$CE$3</f>
        <v>208.54841796921403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280.47174439810988</v>
      </c>
      <c r="CZ197" s="62">
        <f t="shared" ref="CZ197:CZ203" si="208">$CZ$3</f>
        <v>231.19476400361157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2.5626000908547195E-2</v>
      </c>
      <c r="DH197" s="23">
        <f>EXP(-LN(2)/2)*DH196+(1-EXP(-LN(2)/2))/(LN(2)/2)*DB197*DE197*VLOOKUP('Données projet'!$B$13,Paramètres!$A$1:$I$89,3,0)*0.475*44/12</f>
        <v>4.369221905003337E-24</v>
      </c>
      <c r="DI197" s="24">
        <f t="shared" si="175"/>
        <v>2.5626000908547195E-2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6.7984728957526396E-14</v>
      </c>
      <c r="DQ197" s="14">
        <f t="shared" si="176"/>
        <v>1.0682447123141398E-12</v>
      </c>
      <c r="DR197" s="22">
        <f t="shared" si="177"/>
        <v>1.978932943548152E-12</v>
      </c>
      <c r="DS197" s="62">
        <f t="shared" si="197"/>
        <v>293.3333333333353</v>
      </c>
      <c r="DT197" s="62">
        <f ca="1">AVERAGE(OFFSET($DS$3,0,0,'Données projet'!$E$14+1,1))-AVERAGE(OFFSET($H$3,0,0,'Données projet'!$E$14+1,1))</f>
        <v>282.98919020956595</v>
      </c>
      <c r="DU197" s="62">
        <f t="shared" ref="DU197:DU203" si="209">$DU$3</f>
        <v>182.23565317232647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1.6933162083592971E-24</v>
      </c>
      <c r="ED197" s="24">
        <f t="shared" si="178"/>
        <v>1.6933162083592971E-24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9">
        <f t="shared" si="192"/>
        <v>635.0320632950918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-5.6843418860808015E-13</v>
      </c>
      <c r="O198" s="14">
        <f>N198*VLOOKUP('Données projet'!$B$9,Paramètres!$A$1:$I$89,3,0)*VLOOKUP('Données projet'!$B$9,Paramètres!$A$1:$I$89,5,0)</f>
        <v>-2.6602720026858149E-13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172.62653085905839</v>
      </c>
      <c r="T198" s="62">
        <f t="shared" si="204"/>
        <v>103.0747749312265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266</v>
      </c>
      <c r="AJ198" s="14">
        <f>AI198*VLOOKUP('Données projet'!$B$10,Paramètres!$A$1:$I$89,3,0)*VLOOKUP('Données projet'!$B$10,Paramètres!$A$1:$I$89,5,0)</f>
        <v>269.72400000000005</v>
      </c>
      <c r="AK198" s="14">
        <f t="shared" si="164"/>
        <v>64.790691635967406</v>
      </c>
      <c r="AL198" s="22">
        <f t="shared" si="165"/>
        <v>582.61308793264323</v>
      </c>
      <c r="AM198" s="62">
        <f t="shared" si="193"/>
        <v>875.9464212659766</v>
      </c>
      <c r="AN198" s="62">
        <f ca="1">AVERAGE(OFFSET($AM$3,0,0,'Données projet'!$E$10+1,1))-AVERAGE(OFFSET($H$3,0,0,'Données projet'!$E$10+1,1))</f>
        <v>289.36126704091066</v>
      </c>
      <c r="AO198" s="62">
        <f t="shared" si="205"/>
        <v>195.3674411454258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266</v>
      </c>
      <c r="BE198" s="14">
        <f>BD198*VLOOKUP('Données projet'!$B$11,Paramètres!$A$1:$I$89,3,0)*VLOOKUP('Données projet'!$B$11,Paramètres!$A$1:$I$89,5,0)</f>
        <v>240.67680000000001</v>
      </c>
      <c r="BF198" s="14">
        <f t="shared" si="167"/>
        <v>58.585123425001029</v>
      </c>
      <c r="BG198" s="22">
        <f t="shared" si="168"/>
        <v>521.21451663187679</v>
      </c>
      <c r="BH198" s="62">
        <f t="shared" si="194"/>
        <v>814.54784996521016</v>
      </c>
      <c r="BI198" s="62">
        <f ca="1">AVERAGE(OFFSET($BH$3,0,0,'Données projet'!$E$11+1,1))-AVERAGE(OFFSET($H$3,0,0,'Données projet'!$E$11+1,1))</f>
        <v>250.17147737747007</v>
      </c>
      <c r="BJ198" s="62">
        <f t="shared" si="206"/>
        <v>172.25613380618552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266</v>
      </c>
      <c r="BZ198" s="14">
        <f>BY198*VLOOKUP('Données projet'!$B$12,Paramètres!$A$1:$I$89,3,0)*VLOOKUP('Données projet'!$B$12,Paramètres!$A$1:$I$89,5,0)</f>
        <v>286.32240000000002</v>
      </c>
      <c r="CA198" s="14">
        <f t="shared" si="170"/>
        <v>68.301372478551315</v>
      </c>
      <c r="CB198" s="22">
        <f t="shared" si="171"/>
        <v>617.63640373347687</v>
      </c>
      <c r="CC198" s="62">
        <f t="shared" si="195"/>
        <v>910.96973706681024</v>
      </c>
      <c r="CD198" s="62">
        <f ca="1">AVERAGE(OFFSET($CC$3,0,0,'Données projet'!$E$12+1,1))-AVERAGE(OFFSET($H$3,0,0,'Données projet'!$E$12+1,1))</f>
        <v>311.71521576048417</v>
      </c>
      <c r="CE198" s="62">
        <f t="shared" si="207"/>
        <v>208.54841796921403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280.47174439810988</v>
      </c>
      <c r="CZ198" s="62">
        <f t="shared" si="208"/>
        <v>231.19476400361157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2.4925256566090154E-2</v>
      </c>
      <c r="DH198" s="23">
        <f>EXP(-LN(2)/2)*DH197+(1-EXP(-LN(2)/2))/(LN(2)/2)*DB198*DE198*VLOOKUP('Données projet'!$B$13,Paramètres!$A$1:$I$89,3,0)*0.475*44/12</f>
        <v>3.089506437536665E-24</v>
      </c>
      <c r="DI198" s="24">
        <f t="shared" si="175"/>
        <v>2.4925256566090154E-2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6.7984728957526396E-14</v>
      </c>
      <c r="DQ198" s="14">
        <f t="shared" si="176"/>
        <v>1.0682447123141398E-12</v>
      </c>
      <c r="DR198" s="22">
        <f t="shared" si="177"/>
        <v>1.978932943548152E-12</v>
      </c>
      <c r="DS198" s="62">
        <f t="shared" si="197"/>
        <v>293.3333333333353</v>
      </c>
      <c r="DT198" s="62">
        <f ca="1">AVERAGE(OFFSET($DS$3,0,0,'Données projet'!$E$14+1,1))-AVERAGE(OFFSET($H$3,0,0,'Données projet'!$E$14+1,1))</f>
        <v>282.98919020956595</v>
      </c>
      <c r="DU198" s="62">
        <f t="shared" si="209"/>
        <v>182.23565317232647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1.1973553736239518E-24</v>
      </c>
      <c r="ED198" s="24">
        <f t="shared" si="178"/>
        <v>1.1973553736239518E-24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9">
        <f t="shared" si="192"/>
        <v>636.92670805327657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-5.6843418860808015E-13</v>
      </c>
      <c r="O199" s="14">
        <f>N199*VLOOKUP('Données projet'!$B$9,Paramètres!$A$1:$I$89,3,0)*VLOOKUP('Données projet'!$B$9,Paramètres!$A$1:$I$89,5,0)</f>
        <v>-2.6602720026858149E-13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172.62653085905839</v>
      </c>
      <c r="T199" s="62">
        <f t="shared" si="204"/>
        <v>103.0747749312265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266</v>
      </c>
      <c r="AJ199" s="14">
        <f>AI199*VLOOKUP('Données projet'!$B$10,Paramètres!$A$1:$I$89,3,0)*VLOOKUP('Données projet'!$B$10,Paramètres!$A$1:$I$89,5,0)</f>
        <v>269.72400000000005</v>
      </c>
      <c r="AK199" s="14">
        <f t="shared" si="164"/>
        <v>64.790691635967406</v>
      </c>
      <c r="AL199" s="22">
        <f t="shared" si="165"/>
        <v>582.61308793264323</v>
      </c>
      <c r="AM199" s="62">
        <f t="shared" si="193"/>
        <v>875.9464212659766</v>
      </c>
      <c r="AN199" s="62">
        <f ca="1">AVERAGE(OFFSET($AM$3,0,0,'Données projet'!$E$10+1,1))-AVERAGE(OFFSET($H$3,0,0,'Données projet'!$E$10+1,1))</f>
        <v>289.36126704091066</v>
      </c>
      <c r="AO199" s="62">
        <f t="shared" si="205"/>
        <v>195.3674411454258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266</v>
      </c>
      <c r="BE199" s="14">
        <f>BD199*VLOOKUP('Données projet'!$B$11,Paramètres!$A$1:$I$89,3,0)*VLOOKUP('Données projet'!$B$11,Paramètres!$A$1:$I$89,5,0)</f>
        <v>240.67680000000001</v>
      </c>
      <c r="BF199" s="14">
        <f t="shared" si="167"/>
        <v>58.585123425001029</v>
      </c>
      <c r="BG199" s="22">
        <f t="shared" si="168"/>
        <v>521.21451663187679</v>
      </c>
      <c r="BH199" s="62">
        <f t="shared" si="194"/>
        <v>814.54784996521016</v>
      </c>
      <c r="BI199" s="62">
        <f ca="1">AVERAGE(OFFSET($BH$3,0,0,'Données projet'!$E$11+1,1))-AVERAGE(OFFSET($H$3,0,0,'Données projet'!$E$11+1,1))</f>
        <v>250.17147737747007</v>
      </c>
      <c r="BJ199" s="62">
        <f t="shared" si="206"/>
        <v>172.25613380618552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266</v>
      </c>
      <c r="BZ199" s="14">
        <f>BY199*VLOOKUP('Données projet'!$B$12,Paramètres!$A$1:$I$89,3,0)*VLOOKUP('Données projet'!$B$12,Paramètres!$A$1:$I$89,5,0)</f>
        <v>286.32240000000002</v>
      </c>
      <c r="CA199" s="14">
        <f t="shared" si="170"/>
        <v>68.301372478551315</v>
      </c>
      <c r="CB199" s="22">
        <f t="shared" si="171"/>
        <v>617.63640373347687</v>
      </c>
      <c r="CC199" s="62">
        <f t="shared" si="195"/>
        <v>910.96973706681024</v>
      </c>
      <c r="CD199" s="62">
        <f ca="1">AVERAGE(OFFSET($CC$3,0,0,'Données projet'!$E$12+1,1))-AVERAGE(OFFSET($H$3,0,0,'Données projet'!$E$12+1,1))</f>
        <v>311.71521576048417</v>
      </c>
      <c r="CE199" s="62">
        <f t="shared" si="207"/>
        <v>208.54841796921403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280.47174439810988</v>
      </c>
      <c r="CZ199" s="62">
        <f t="shared" si="208"/>
        <v>231.19476400361157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2.4243674114528144E-2</v>
      </c>
      <c r="DH199" s="23">
        <f>EXP(-LN(2)/2)*DH198+(1-EXP(-LN(2)/2))/(LN(2)/2)*DB199*DE199*VLOOKUP('Données projet'!$B$13,Paramètres!$A$1:$I$89,3,0)*0.475*44/12</f>
        <v>2.1846109525016685E-24</v>
      </c>
      <c r="DI199" s="24">
        <f t="shared" si="175"/>
        <v>2.4243674114528144E-2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6.7984728957526396E-14</v>
      </c>
      <c r="DQ199" s="14">
        <f t="shared" si="176"/>
        <v>1.0682447123141398E-12</v>
      </c>
      <c r="DR199" s="22">
        <f t="shared" si="177"/>
        <v>1.978932943548152E-12</v>
      </c>
      <c r="DS199" s="62">
        <f t="shared" si="197"/>
        <v>293.3333333333353</v>
      </c>
      <c r="DT199" s="62">
        <f ca="1">AVERAGE(OFFSET($DS$3,0,0,'Données projet'!$E$14+1,1))-AVERAGE(OFFSET($H$3,0,0,'Données projet'!$E$14+1,1))</f>
        <v>282.98919020956595</v>
      </c>
      <c r="DU199" s="62">
        <f t="shared" si="209"/>
        <v>182.23565317232647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8.4665810417964855E-25</v>
      </c>
      <c r="ED199" s="24">
        <f t="shared" si="178"/>
        <v>8.4665810417964855E-25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9">
        <f t="shared" si="192"/>
        <v>638.82114741674945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-5.6843418860808015E-13</v>
      </c>
      <c r="O200" s="14">
        <f>N200*VLOOKUP('Données projet'!$B$9,Paramètres!$A$1:$I$89,3,0)*VLOOKUP('Données projet'!$B$9,Paramètres!$A$1:$I$89,5,0)</f>
        <v>-2.6602720026858149E-13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172.62653085905839</v>
      </c>
      <c r="T200" s="62">
        <f t="shared" si="204"/>
        <v>103.0747749312265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266</v>
      </c>
      <c r="AJ200" s="14">
        <f>AI200*VLOOKUP('Données projet'!$B$10,Paramètres!$A$1:$I$89,3,0)*VLOOKUP('Données projet'!$B$10,Paramètres!$A$1:$I$89,5,0)</f>
        <v>269.72400000000005</v>
      </c>
      <c r="AK200" s="14">
        <f t="shared" si="164"/>
        <v>64.790691635967406</v>
      </c>
      <c r="AL200" s="22">
        <f t="shared" si="165"/>
        <v>582.61308793264323</v>
      </c>
      <c r="AM200" s="62">
        <f t="shared" si="193"/>
        <v>875.9464212659766</v>
      </c>
      <c r="AN200" s="62">
        <f ca="1">AVERAGE(OFFSET($AM$3,0,0,'Données projet'!$E$10+1,1))-AVERAGE(OFFSET($H$3,0,0,'Données projet'!$E$10+1,1))</f>
        <v>289.36126704091066</v>
      </c>
      <c r="AO200" s="62">
        <f t="shared" si="205"/>
        <v>195.3674411454258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266</v>
      </c>
      <c r="BE200" s="14">
        <f>BD200*VLOOKUP('Données projet'!$B$11,Paramètres!$A$1:$I$89,3,0)*VLOOKUP('Données projet'!$B$11,Paramètres!$A$1:$I$89,5,0)</f>
        <v>240.67680000000001</v>
      </c>
      <c r="BF200" s="14">
        <f t="shared" si="167"/>
        <v>58.585123425001029</v>
      </c>
      <c r="BG200" s="22">
        <f t="shared" si="168"/>
        <v>521.21451663187679</v>
      </c>
      <c r="BH200" s="62">
        <f t="shared" si="194"/>
        <v>814.54784996521016</v>
      </c>
      <c r="BI200" s="62">
        <f ca="1">AVERAGE(OFFSET($BH$3,0,0,'Données projet'!$E$11+1,1))-AVERAGE(OFFSET($H$3,0,0,'Données projet'!$E$11+1,1))</f>
        <v>250.17147737747007</v>
      </c>
      <c r="BJ200" s="62">
        <f t="shared" si="206"/>
        <v>172.25613380618552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266</v>
      </c>
      <c r="BZ200" s="14">
        <f>BY200*VLOOKUP('Données projet'!$B$12,Paramètres!$A$1:$I$89,3,0)*VLOOKUP('Données projet'!$B$12,Paramètres!$A$1:$I$89,5,0)</f>
        <v>286.32240000000002</v>
      </c>
      <c r="CA200" s="14">
        <f t="shared" si="170"/>
        <v>68.301372478551315</v>
      </c>
      <c r="CB200" s="22">
        <f t="shared" si="171"/>
        <v>617.63640373347687</v>
      </c>
      <c r="CC200" s="62">
        <f t="shared" si="195"/>
        <v>910.96973706681024</v>
      </c>
      <c r="CD200" s="62">
        <f ca="1">AVERAGE(OFFSET($CC$3,0,0,'Données projet'!$E$12+1,1))-AVERAGE(OFFSET($H$3,0,0,'Données projet'!$E$12+1,1))</f>
        <v>311.71521576048417</v>
      </c>
      <c r="CE200" s="62">
        <f t="shared" si="207"/>
        <v>208.54841796921403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280.47174439810988</v>
      </c>
      <c r="CZ200" s="62">
        <f t="shared" si="208"/>
        <v>231.19476400361157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2.3580729570946958E-2</v>
      </c>
      <c r="DH200" s="23">
        <f>EXP(-LN(2)/2)*DH199+(1-EXP(-LN(2)/2))/(LN(2)/2)*DB200*DE200*VLOOKUP('Données projet'!$B$13,Paramètres!$A$1:$I$89,3,0)*0.475*44/12</f>
        <v>1.5447532187683325E-24</v>
      </c>
      <c r="DI200" s="24">
        <f t="shared" si="175"/>
        <v>2.3580729570946958E-2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6.7984728957526396E-14</v>
      </c>
      <c r="DQ200" s="14">
        <f t="shared" si="176"/>
        <v>1.0682447123141398E-12</v>
      </c>
      <c r="DR200" s="22">
        <f t="shared" si="177"/>
        <v>1.978932943548152E-12</v>
      </c>
      <c r="DS200" s="62">
        <f t="shared" si="197"/>
        <v>293.3333333333353</v>
      </c>
      <c r="DT200" s="62">
        <f ca="1">AVERAGE(OFFSET($DS$3,0,0,'Données projet'!$E$14+1,1))-AVERAGE(OFFSET($H$3,0,0,'Données projet'!$E$14+1,1))</f>
        <v>282.98919020956595</v>
      </c>
      <c r="DU200" s="62">
        <f t="shared" si="209"/>
        <v>182.23565317232647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5.9867768681197591E-25</v>
      </c>
      <c r="ED200" s="24">
        <f t="shared" si="178"/>
        <v>5.9867768681197591E-25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9">
        <f t="shared" si="192"/>
        <v>640.71538254914947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-5.6843418860808015E-13</v>
      </c>
      <c r="O201" s="14">
        <f>N201*VLOOKUP('Données projet'!$B$9,Paramètres!$A$1:$I$89,3,0)*VLOOKUP('Données projet'!$B$9,Paramètres!$A$1:$I$89,5,0)</f>
        <v>-2.6602720026858149E-13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172.62653085905839</v>
      </c>
      <c r="T201" s="62">
        <f t="shared" si="204"/>
        <v>103.0747749312265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266</v>
      </c>
      <c r="AJ201" s="14">
        <f>AI201*VLOOKUP('Données projet'!$B$10,Paramètres!$A$1:$I$89,3,0)*VLOOKUP('Données projet'!$B$10,Paramètres!$A$1:$I$89,5,0)</f>
        <v>269.72400000000005</v>
      </c>
      <c r="AK201" s="14">
        <f t="shared" si="164"/>
        <v>64.790691635967406</v>
      </c>
      <c r="AL201" s="22">
        <f t="shared" si="165"/>
        <v>582.61308793264323</v>
      </c>
      <c r="AM201" s="62">
        <f t="shared" si="193"/>
        <v>875.9464212659766</v>
      </c>
      <c r="AN201" s="62">
        <f ca="1">AVERAGE(OFFSET($AM$3,0,0,'Données projet'!$E$10+1,1))-AVERAGE(OFFSET($H$3,0,0,'Données projet'!$E$10+1,1))</f>
        <v>289.36126704091066</v>
      </c>
      <c r="AO201" s="62">
        <f t="shared" si="205"/>
        <v>195.3674411454258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266</v>
      </c>
      <c r="BE201" s="14">
        <f>BD201*VLOOKUP('Données projet'!$B$11,Paramètres!$A$1:$I$89,3,0)*VLOOKUP('Données projet'!$B$11,Paramètres!$A$1:$I$89,5,0)</f>
        <v>240.67680000000001</v>
      </c>
      <c r="BF201" s="14">
        <f t="shared" si="167"/>
        <v>58.585123425001029</v>
      </c>
      <c r="BG201" s="22">
        <f t="shared" si="168"/>
        <v>521.21451663187679</v>
      </c>
      <c r="BH201" s="62">
        <f t="shared" si="194"/>
        <v>814.54784996521016</v>
      </c>
      <c r="BI201" s="62">
        <f ca="1">AVERAGE(OFFSET($BH$3,0,0,'Données projet'!$E$11+1,1))-AVERAGE(OFFSET($H$3,0,0,'Données projet'!$E$11+1,1))</f>
        <v>250.17147737747007</v>
      </c>
      <c r="BJ201" s="62">
        <f t="shared" si="206"/>
        <v>172.25613380618552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266</v>
      </c>
      <c r="BZ201" s="14">
        <f>BY201*VLOOKUP('Données projet'!$B$12,Paramètres!$A$1:$I$89,3,0)*VLOOKUP('Données projet'!$B$12,Paramètres!$A$1:$I$89,5,0)</f>
        <v>286.32240000000002</v>
      </c>
      <c r="CA201" s="14">
        <f t="shared" si="170"/>
        <v>68.301372478551315</v>
      </c>
      <c r="CB201" s="22">
        <f t="shared" si="171"/>
        <v>617.63640373347687</v>
      </c>
      <c r="CC201" s="62">
        <f t="shared" si="195"/>
        <v>910.96973706681024</v>
      </c>
      <c r="CD201" s="62">
        <f ca="1">AVERAGE(OFFSET($CC$3,0,0,'Données projet'!$E$12+1,1))-AVERAGE(OFFSET($H$3,0,0,'Données projet'!$E$12+1,1))</f>
        <v>311.71521576048417</v>
      </c>
      <c r="CE201" s="62">
        <f t="shared" si="207"/>
        <v>208.54841796921403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280.47174439810988</v>
      </c>
      <c r="CZ201" s="62">
        <f t="shared" si="208"/>
        <v>231.19476400361157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2.2935913280772741E-2</v>
      </c>
      <c r="DH201" s="23">
        <f>EXP(-LN(2)/2)*DH200+(1-EXP(-LN(2)/2))/(LN(2)/2)*DB201*DE201*VLOOKUP('Données projet'!$B$13,Paramètres!$A$1:$I$89,3,0)*0.475*44/12</f>
        <v>1.0923054762508342E-24</v>
      </c>
      <c r="DI201" s="24">
        <f t="shared" si="175"/>
        <v>2.2935913280772741E-2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6.7984728957526396E-14</v>
      </c>
      <c r="DQ201" s="14">
        <f t="shared" si="176"/>
        <v>1.0682447123141398E-12</v>
      </c>
      <c r="DR201" s="22">
        <f t="shared" si="177"/>
        <v>1.978932943548152E-12</v>
      </c>
      <c r="DS201" s="62">
        <f t="shared" si="197"/>
        <v>293.3333333333353</v>
      </c>
      <c r="DT201" s="62">
        <f ca="1">AVERAGE(OFFSET($DS$3,0,0,'Données projet'!$E$14+1,1))-AVERAGE(OFFSET($H$3,0,0,'Données projet'!$E$14+1,1))</f>
        <v>282.98919020956595</v>
      </c>
      <c r="DU201" s="62">
        <f t="shared" si="209"/>
        <v>182.23565317232647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4.2332905208982428E-25</v>
      </c>
      <c r="ED201" s="24">
        <f t="shared" si="178"/>
        <v>4.2332905208982428E-25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9">
        <f t="shared" si="192"/>
        <v>642.60941460168146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-5.6843418860808015E-13</v>
      </c>
      <c r="O202" s="14">
        <f>N202*VLOOKUP('Données projet'!$B$9,Paramètres!$A$1:$I$89,3,0)*VLOOKUP('Données projet'!$B$9,Paramètres!$A$1:$I$89,5,0)</f>
        <v>-2.6602720026858149E-13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172.62653085905839</v>
      </c>
      <c r="T202" s="62">
        <f t="shared" si="204"/>
        <v>103.0747749312265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266</v>
      </c>
      <c r="AJ202" s="14">
        <f>AI202*VLOOKUP('Données projet'!$B$10,Paramètres!$A$1:$I$89,3,0)*VLOOKUP('Données projet'!$B$10,Paramètres!$A$1:$I$89,5,0)</f>
        <v>269.72400000000005</v>
      </c>
      <c r="AK202" s="14">
        <f t="shared" si="164"/>
        <v>64.790691635967406</v>
      </c>
      <c r="AL202" s="22">
        <f t="shared" si="165"/>
        <v>582.61308793264323</v>
      </c>
      <c r="AM202" s="62">
        <f t="shared" si="193"/>
        <v>875.9464212659766</v>
      </c>
      <c r="AN202" s="62">
        <f ca="1">AVERAGE(OFFSET($AM$3,0,0,'Données projet'!$E$10+1,1))-AVERAGE(OFFSET($H$3,0,0,'Données projet'!$E$10+1,1))</f>
        <v>289.36126704091066</v>
      </c>
      <c r="AO202" s="62">
        <f t="shared" si="205"/>
        <v>195.3674411454258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266</v>
      </c>
      <c r="BE202" s="14">
        <f>BD202*VLOOKUP('Données projet'!$B$11,Paramètres!$A$1:$I$89,3,0)*VLOOKUP('Données projet'!$B$11,Paramètres!$A$1:$I$89,5,0)</f>
        <v>240.67680000000001</v>
      </c>
      <c r="BF202" s="14">
        <f t="shared" si="167"/>
        <v>58.585123425001029</v>
      </c>
      <c r="BG202" s="22">
        <f t="shared" si="168"/>
        <v>521.21451663187679</v>
      </c>
      <c r="BH202" s="62">
        <f t="shared" si="194"/>
        <v>814.54784996521016</v>
      </c>
      <c r="BI202" s="62">
        <f ca="1">AVERAGE(OFFSET($BH$3,0,0,'Données projet'!$E$11+1,1))-AVERAGE(OFFSET($H$3,0,0,'Données projet'!$E$11+1,1))</f>
        <v>250.17147737747007</v>
      </c>
      <c r="BJ202" s="62">
        <f t="shared" si="206"/>
        <v>172.25613380618552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266</v>
      </c>
      <c r="BZ202" s="14">
        <f>BY202*VLOOKUP('Données projet'!$B$12,Paramètres!$A$1:$I$89,3,0)*VLOOKUP('Données projet'!$B$12,Paramètres!$A$1:$I$89,5,0)</f>
        <v>286.32240000000002</v>
      </c>
      <c r="CA202" s="14">
        <f t="shared" si="170"/>
        <v>68.301372478551315</v>
      </c>
      <c r="CB202" s="22">
        <f t="shared" si="171"/>
        <v>617.63640373347687</v>
      </c>
      <c r="CC202" s="62">
        <f t="shared" si="195"/>
        <v>910.96973706681024</v>
      </c>
      <c r="CD202" s="62">
        <f ca="1">AVERAGE(OFFSET($CC$3,0,0,'Données projet'!$E$12+1,1))-AVERAGE(OFFSET($H$3,0,0,'Données projet'!$E$12+1,1))</f>
        <v>311.71521576048417</v>
      </c>
      <c r="CE202" s="62">
        <f t="shared" si="207"/>
        <v>208.54841796921403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280.47174439810988</v>
      </c>
      <c r="CZ202" s="62">
        <f t="shared" si="208"/>
        <v>231.19476400361157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2.2308729525962752E-2</v>
      </c>
      <c r="DH202" s="23">
        <f>EXP(-LN(2)/2)*DH201+(1-EXP(-LN(2)/2))/(LN(2)/2)*DB202*DE202*VLOOKUP('Données projet'!$B$13,Paramètres!$A$1:$I$89,3,0)*0.475*44/12</f>
        <v>7.7237660938416624E-25</v>
      </c>
      <c r="DI202" s="24">
        <f t="shared" si="175"/>
        <v>2.2308729525962752E-2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6.7984728957526396E-14</v>
      </c>
      <c r="DQ202" s="14">
        <f t="shared" si="176"/>
        <v>1.0682447123141398E-12</v>
      </c>
      <c r="DR202" s="22">
        <f t="shared" si="177"/>
        <v>1.978932943548152E-12</v>
      </c>
      <c r="DS202" s="62">
        <f t="shared" si="197"/>
        <v>293.3333333333353</v>
      </c>
      <c r="DT202" s="62">
        <f ca="1">AVERAGE(OFFSET($DS$3,0,0,'Données projet'!$E$14+1,1))-AVERAGE(OFFSET($H$3,0,0,'Données projet'!$E$14+1,1))</f>
        <v>282.98919020956595</v>
      </c>
      <c r="DU202" s="62">
        <f t="shared" si="209"/>
        <v>182.23565317232647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2.9933884340598795E-25</v>
      </c>
      <c r="ED202" s="24">
        <f t="shared" si="178"/>
        <v>2.9933884340598795E-25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9">
        <f t="shared" si="192"/>
        <v>644.5032447133101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-5.6843418860808015E-13</v>
      </c>
      <c r="O203" s="14">
        <f>N203*VLOOKUP('Données projet'!$B$9,Paramètres!$A$1:$I$89,3,0)*VLOOKUP('Données projet'!$B$9,Paramètres!$A$1:$I$89,5,0)</f>
        <v>-2.6602720026858149E-13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172.62653085905839</v>
      </c>
      <c r="T203" s="62">
        <f t="shared" si="204"/>
        <v>103.0747749312265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266</v>
      </c>
      <c r="AJ203" s="14">
        <f>AI203*VLOOKUP('Données projet'!$B$10,Paramètres!$A$1:$I$89,3,0)*VLOOKUP('Données projet'!$B$10,Paramètres!$A$1:$I$89,5,0)</f>
        <v>269.72400000000005</v>
      </c>
      <c r="AK203" s="14">
        <f t="shared" si="164"/>
        <v>64.790691635967406</v>
      </c>
      <c r="AL203" s="22">
        <f t="shared" si="165"/>
        <v>582.61308793264323</v>
      </c>
      <c r="AM203" s="62">
        <f t="shared" si="193"/>
        <v>875.9464212659766</v>
      </c>
      <c r="AN203" s="62">
        <f ca="1">AVERAGE(OFFSET($AM$3,0,0,'Données projet'!$E$10+1,1))-AVERAGE(OFFSET($H$3,0,0,'Données projet'!$E$10+1,1))</f>
        <v>289.36126704091066</v>
      </c>
      <c r="AO203" s="62">
        <f t="shared" si="205"/>
        <v>195.3674411454258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266</v>
      </c>
      <c r="BE203" s="14">
        <f>BD203*VLOOKUP('Données projet'!$B$11,Paramètres!$A$1:$I$89,3,0)*VLOOKUP('Données projet'!$B$11,Paramètres!$A$1:$I$89,5,0)</f>
        <v>240.67680000000001</v>
      </c>
      <c r="BF203" s="14">
        <f t="shared" si="167"/>
        <v>58.585123425001029</v>
      </c>
      <c r="BG203" s="22">
        <f t="shared" si="168"/>
        <v>521.21451663187679</v>
      </c>
      <c r="BH203" s="62">
        <f t="shared" si="194"/>
        <v>814.54784996521016</v>
      </c>
      <c r="BI203" s="62">
        <f ca="1">AVERAGE(OFFSET($BH$3,0,0,'Données projet'!$E$11+1,1))-AVERAGE(OFFSET($H$3,0,0,'Données projet'!$E$11+1,1))</f>
        <v>250.17147737747007</v>
      </c>
      <c r="BJ203" s="62">
        <f t="shared" si="206"/>
        <v>172.25613380618552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266</v>
      </c>
      <c r="BZ203" s="14">
        <f>BY203*VLOOKUP('Données projet'!$B$12,Paramètres!$A$1:$I$89,3,0)*VLOOKUP('Données projet'!$B$12,Paramètres!$A$1:$I$89,5,0)</f>
        <v>286.32240000000002</v>
      </c>
      <c r="CA203" s="14">
        <f t="shared" si="170"/>
        <v>68.301372478551315</v>
      </c>
      <c r="CB203" s="22">
        <f t="shared" si="171"/>
        <v>617.63640373347687</v>
      </c>
      <c r="CC203" s="62">
        <f t="shared" si="195"/>
        <v>910.96973706681024</v>
      </c>
      <c r="CD203" s="62">
        <f ca="1">AVERAGE(OFFSET($CC$3,0,0,'Données projet'!$E$12+1,1))-AVERAGE(OFFSET($H$3,0,0,'Données projet'!$E$12+1,1))</f>
        <v>311.71521576048417</v>
      </c>
      <c r="CE203" s="62">
        <f t="shared" si="207"/>
        <v>208.54841796921403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280.47174439810988</v>
      </c>
      <c r="CZ203" s="62">
        <f t="shared" si="208"/>
        <v>231.19476400361157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2.1698696143910203E-2</v>
      </c>
      <c r="DH203" s="23">
        <f>EXP(-LN(2)/2)*DH202+(1-EXP(-LN(2)/2))/(LN(2)/2)*DB203*DE203*VLOOKUP('Données projet'!$B$13,Paramètres!$A$1:$I$89,3,0)*0.475*44/12</f>
        <v>5.4615273812541712E-25</v>
      </c>
      <c r="DI203" s="24">
        <f t="shared" si="175"/>
        <v>2.1698696143910203E-2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6.7984728957526396E-14</v>
      </c>
      <c r="DQ203" s="14">
        <f t="shared" si="176"/>
        <v>1.0682447123141398E-12</v>
      </c>
      <c r="DR203" s="22">
        <f t="shared" si="177"/>
        <v>1.978932943548152E-12</v>
      </c>
      <c r="DS203" s="62">
        <f t="shared" si="197"/>
        <v>293.3333333333353</v>
      </c>
      <c r="DT203" s="62">
        <f ca="1">AVERAGE(OFFSET($DS$3,0,0,'Données projet'!$E$14+1,1))-AVERAGE(OFFSET($H$3,0,0,'Données projet'!$E$14+1,1))</f>
        <v>282.98919020956595</v>
      </c>
      <c r="DU203" s="62">
        <f t="shared" si="209"/>
        <v>182.23565317232647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2.1166452604491214E-25</v>
      </c>
      <c r="ED203" s="24">
        <f t="shared" si="178"/>
        <v>2.1166452604491214E-25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1.1734849744378069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1.2054868146447177</v>
      </c>
      <c r="BA205" s="87">
        <f>EXP(LN('Données projet'!B88)/'Données projet'!A88)</f>
        <v>1.2054868146447177</v>
      </c>
      <c r="BV205" s="87">
        <f>EXP(LN('Données projet'!B114)/'Données projet'!A114)</f>
        <v>1.2054868146447177</v>
      </c>
      <c r="CQ205" s="87">
        <f>EXP(LN('Données projet'!B140)/'Données projet'!A140)</f>
        <v>1.244502252163008</v>
      </c>
      <c r="DL205" s="87">
        <f>EXP(LN('Données projet'!B166)/'Données projet'!A166)</f>
        <v>1.226147171351889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1" sqref="L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cèdre de l'atlas</v>
      </c>
      <c r="B6" s="153">
        <f>'Données projet'!D9</f>
        <v>0.92349600000000009</v>
      </c>
      <c r="C6" s="154">
        <f ca="1">IF(OR('Données projet'!B9="",'Données projet'!C9="",'Données projet'!C9=0%),0,Calculateur!S3)</f>
        <v>172.62653085905839</v>
      </c>
      <c r="D6" s="154">
        <f>IF(OR('Données projet'!B9="",'Données projet'!C9="",'Données projet'!C9=0%),0,Calculateur!T3)</f>
        <v>103.0747749312265</v>
      </c>
      <c r="E6" s="154">
        <f ca="1">MIN(C6,D6)</f>
        <v>103.0747749312265</v>
      </c>
      <c r="F6" s="154">
        <f ca="1">E6*B6</f>
        <v>95.189142349887959</v>
      </c>
      <c r="G6" s="154">
        <f ca="1">F6*(100%-'Données projet'!$C$24)*(100%-'Données projet'!$C$25)*(100%-'Données projet'!$C$26)*(100%-'Données projet'!$C$27)</f>
        <v>85.67022811489916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85.67022811489916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chêne pubescent</v>
      </c>
      <c r="B7" s="161">
        <f>'Données projet'!D10</f>
        <v>0.85131800000000013</v>
      </c>
      <c r="C7" s="154">
        <f ca="1">IF(OR('Données projet'!B10="",'Données projet'!C10="",'Données projet'!C10=0%),0,Calculateur!AN3)</f>
        <v>289.36126704091066</v>
      </c>
      <c r="D7" s="154">
        <f>IF(OR('Données projet'!B10="",'Données projet'!C10="",'Données projet'!C10=0%),0,Calculateur!AO3)</f>
        <v>195.3674411454258</v>
      </c>
      <c r="E7" s="154">
        <f t="shared" ref="E7:E15" ca="1" si="0">MIN(C7,D7)</f>
        <v>195.3674411454258</v>
      </c>
      <c r="F7" s="154">
        <f t="shared" ref="F7:F15" ca="1" si="1">E7*B7</f>
        <v>166.31981926104163</v>
      </c>
      <c r="G7" s="154">
        <f ca="1">F7*(100%-'Données projet'!$C$24)*(100%-'Données projet'!$C$25)*(100%-'Données projet'!$C$26)*(100%-'Données projet'!$C$27)</f>
        <v>149.68783733493748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6.1720555000000008</v>
      </c>
      <c r="K7" s="158">
        <f>J7*(100%-'Données projet'!$C$24)*(100%-'Données projet'!$C$25)*(100%-'Données projet'!$C$26)*(100%-'Données projet'!$C$27)</f>
        <v>5.5548499500000013</v>
      </c>
      <c r="L7" s="159">
        <f t="shared" ref="L7:L15" ca="1" si="2">G7+I7+K7</f>
        <v>155.24268728493749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chêne sessile</v>
      </c>
      <c r="B8" s="161">
        <f>'Données projet'!D11</f>
        <v>4.6366000000000004E-2</v>
      </c>
      <c r="C8" s="154">
        <f ca="1">IF(OR('Données projet'!B11="",'Données projet'!C11="",'Données projet'!C11=0%),0,Calculateur!BI3)</f>
        <v>250.17147737747007</v>
      </c>
      <c r="D8" s="154">
        <f>IF(OR('Données projet'!B11="",'Données projet'!C11="",'Données projet'!C11=0%),0,Calculateur!BJ3)</f>
        <v>172.25613380618552</v>
      </c>
      <c r="E8" s="154">
        <f t="shared" ca="1" si="0"/>
        <v>172.25613380618552</v>
      </c>
      <c r="F8" s="154">
        <f t="shared" ca="1" si="1"/>
        <v>7.9868279000575981</v>
      </c>
      <c r="G8" s="154">
        <f ca="1">F8*(100%-'Données projet'!$C$24)*(100%-'Données projet'!$C$25)*(100%-'Données projet'!$C$26)*(100%-'Données projet'!$C$27)</f>
        <v>7.1881451100518383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0.33615350000000005</v>
      </c>
      <c r="K8" s="158">
        <f>J8*(100%-'Données projet'!$C$24)*(100%-'Données projet'!$C$25)*(100%-'Données projet'!$C$26)*(100%-'Données projet'!$C$27)</f>
        <v>0.30253815000000006</v>
      </c>
      <c r="L8" s="159">
        <f t="shared" ca="1" si="2"/>
        <v>7.4906832600518385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cormier</v>
      </c>
      <c r="B9" s="161">
        <f>'Données projet'!D12</f>
        <v>0.16730000000000003</v>
      </c>
      <c r="C9" s="154">
        <f ca="1">IF(OR('Données projet'!B12="",'Données projet'!C12="",'Données projet'!C12=0%),0,Calculateur!CD3)</f>
        <v>311.71521576048417</v>
      </c>
      <c r="D9" s="154">
        <f>IF(OR('Données projet'!B12="",'Données projet'!C12="",'Données projet'!C12=0%),0,Calculateur!CE3)</f>
        <v>208.54841796921403</v>
      </c>
      <c r="E9" s="154">
        <f t="shared" ca="1" si="0"/>
        <v>208.54841796921403</v>
      </c>
      <c r="F9" s="154">
        <f t="shared" ca="1" si="1"/>
        <v>34.890150326249511</v>
      </c>
      <c r="G9" s="154">
        <f ca="1">F9*(100%-'Données projet'!$C$24)*(100%-'Données projet'!$C$25)*(100%-'Données projet'!$C$26)*(100%-'Données projet'!$C$27)</f>
        <v>31.401135293624559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1.2129250000000003</v>
      </c>
      <c r="K9" s="158">
        <f>J9*(100%-'Données projet'!$C$24)*(100%-'Données projet'!$C$25)*(100%-'Données projet'!$C$26)*(100%-'Données projet'!$C$27)</f>
        <v>1.0916325000000002</v>
      </c>
      <c r="L9" s="159">
        <f t="shared" ca="1" si="2"/>
        <v>32.492767793624559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pin laricio</v>
      </c>
      <c r="B10" s="161">
        <f>'Données projet'!D13</f>
        <v>0.19837000000000002</v>
      </c>
      <c r="C10" s="154">
        <f ca="1">IF(OR('Données projet'!B13="",'Données projet'!C13="",'Données projet'!C13=0%),0,Calculateur!CY3)</f>
        <v>280.47174439810988</v>
      </c>
      <c r="D10" s="154">
        <f>IF(OR('Données projet'!B13="",'Données projet'!C13="",'Données projet'!C13=0%),0,Calculateur!CZ3)</f>
        <v>231.19476400361157</v>
      </c>
      <c r="E10" s="154">
        <f t="shared" ca="1" si="0"/>
        <v>231.19476400361157</v>
      </c>
      <c r="F10" s="154">
        <f t="shared" ca="1" si="1"/>
        <v>45.862105335396429</v>
      </c>
      <c r="G10" s="154">
        <f ca="1">F10*(100%-'Données projet'!$C$24)*(100%-'Données projet'!$C$25)*(100%-'Données projet'!$C$26)*(100%-'Données projet'!$C$27)</f>
        <v>41.275894801856786</v>
      </c>
      <c r="H10" s="162">
        <f>IF(OR('Données projet'!B13="",'Données projet'!C13="",'Données projet'!C13=0%),0,AVERAGE(Calculateur!$DI$3:$DI$33)*B10)</f>
        <v>0.5795782647386083</v>
      </c>
      <c r="I10" s="156">
        <f>H10*(100%-'Données projet'!$C$24)*(100%-'Données projet'!$C$25)*(100%-'Données projet'!$C$26)*(100%-'Données projet'!$C$27)</f>
        <v>0.52162043826474747</v>
      </c>
      <c r="J10" s="157">
        <f>IF(OR('Données projet'!B13="",'Données projet'!C13="",'Données projet'!C13=0%),0,SUM(Calculateur!$DB$3:$DB$33)*VLOOKUP('Données projet'!$B$13,Paramètres!$A$1:$I$89,9,0)*B10)</f>
        <v>5.7150397000000002</v>
      </c>
      <c r="K10" s="158">
        <f>J10*(100%-'Données projet'!$C$24)*(100%-'Données projet'!$C$25)*(100%-'Données projet'!$C$26)*(100%-'Données projet'!$C$27)</f>
        <v>5.14353573</v>
      </c>
      <c r="L10" s="159">
        <f t="shared" ca="1" si="2"/>
        <v>46.941050970121537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Pin noir d'Autriche</v>
      </c>
      <c r="B11" s="161">
        <f>'Données projet'!D14</f>
        <v>0.19837000000000002</v>
      </c>
      <c r="C11" s="154">
        <f ca="1">IF(OR('Données projet'!B14="",'Données projet'!C14="",'Données projet'!C14=0%),0,Calculateur!DT3)</f>
        <v>282.98919020956595</v>
      </c>
      <c r="D11" s="154">
        <f>IF(OR('Données projet'!B14="",'Données projet'!C14="",'Données projet'!C14=0%),0,Calculateur!DU3)</f>
        <v>182.23565317232647</v>
      </c>
      <c r="E11" s="154">
        <f t="shared" ca="1" si="0"/>
        <v>182.23565317232647</v>
      </c>
      <c r="F11" s="154">
        <f t="shared" ca="1" si="1"/>
        <v>36.150086519794407</v>
      </c>
      <c r="G11" s="154">
        <f ca="1">F11*(100%-'Données projet'!$C$24)*(100%-'Données projet'!$C$25)*(100%-'Données projet'!$C$26)*(100%-'Données projet'!$C$27)</f>
        <v>32.535077867814969</v>
      </c>
      <c r="H11" s="162">
        <f>IF(OR('Données projet'!B14="",'Données projet'!C14="",'Données projet'!C14=0%),0,AVERAGE(Calculateur!$ED$3:$ED$33)*B11)</f>
        <v>9.5388389890112335E-2</v>
      </c>
      <c r="I11" s="156">
        <f>H11*(100%-'Données projet'!$C$24)*(100%-'Données projet'!$C$25)*(100%-'Données projet'!$C$26)*(100%-'Données projet'!$C$27)</f>
        <v>8.5849550901101107E-2</v>
      </c>
      <c r="J11" s="157">
        <f>IF(OR('Données projet'!B14="",'Données projet'!C14="",'Données projet'!C14=0%),0,SUM(Calculateur!$DW$3:$DW$33)*VLOOKUP('Données projet'!$B$14,Paramètres!$A$1:$I$89,9,0)*B11)</f>
        <v>1.2794865000000002</v>
      </c>
      <c r="K11" s="158">
        <f>J11*(100%-'Données projet'!$C$24)*(100%-'Données projet'!$C$25)*(100%-'Données projet'!$C$26)*(100%-'Données projet'!$C$27)</f>
        <v>1.1515378500000002</v>
      </c>
      <c r="L11" s="159">
        <f t="shared" ca="1" si="2"/>
        <v>33.772465268716068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386.39813169242757</v>
      </c>
      <c r="G16" s="173">
        <f t="shared" ca="1" si="3"/>
        <v>347.75831852318481</v>
      </c>
      <c r="H16" s="174">
        <f t="shared" si="3"/>
        <v>0.67496665462872063</v>
      </c>
      <c r="I16" s="174">
        <f t="shared" si="3"/>
        <v>0.6074699891658486</v>
      </c>
      <c r="J16" s="175">
        <f t="shared" si="3"/>
        <v>14.715660200000002</v>
      </c>
      <c r="K16" s="175">
        <f t="shared" si="3"/>
        <v>13.244094180000001</v>
      </c>
      <c r="L16" s="176">
        <f t="shared" ca="1" si="3"/>
        <v>361.60988269235065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cèdre de l'atlas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chêne sessile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cormier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pin laricio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Pin noir d'Autriche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7" zoomScale="115" zoomScaleNormal="115" workbookViewId="0">
      <selection activeCell="I20" sqref="I20: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9" t="s">
        <v>315</v>
      </c>
      <c r="I4" s="339"/>
      <c r="K4" s="336" t="s">
        <v>253</v>
      </c>
      <c r="L4" s="337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8" t="s">
        <v>310</v>
      </c>
      <c r="S7" s="329"/>
      <c r="T7" s="329"/>
      <c r="U7" s="329"/>
      <c r="V7" s="330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cèdre de l'atlas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916.61292840020747</v>
      </c>
      <c r="U10" s="188">
        <f>'Données projet'!D9</f>
        <v>0.92349600000000009</v>
      </c>
      <c r="V10" s="187">
        <f>U10*T10</f>
        <v>846.48837292587802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pubescent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1165.2543345477154</v>
      </c>
      <c r="U11" s="188">
        <f>'Données projet'!D10</f>
        <v>0.85131800000000013</v>
      </c>
      <c r="V11" s="187">
        <f t="shared" ref="V11" si="0">U11*T11</f>
        <v>992.00198957849216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sessile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1205.1820061490669</v>
      </c>
      <c r="U12" s="188">
        <f>'Données projet'!D11</f>
        <v>4.6366000000000004E-2</v>
      </c>
      <c r="V12" s="187">
        <f t="shared" ref="V12:V19" si="1">U12*T12</f>
        <v>55.879468897107643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cormier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596.97523800094416</v>
      </c>
      <c r="U13" s="188">
        <f>'Données projet'!D12</f>
        <v>0.16730000000000003</v>
      </c>
      <c r="V13" s="187">
        <f t="shared" si="1"/>
        <v>99.873957317557981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cèdre de l'atlas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pin laricio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1923.9539887349326</v>
      </c>
      <c r="U14" s="188">
        <f>'Données projet'!D13</f>
        <v>0.19837000000000002</v>
      </c>
      <c r="V14" s="187">
        <f t="shared" si="1"/>
        <v>381.65475274534862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40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Pin noir d'Autriche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673.21418808212775</v>
      </c>
      <c r="U15" s="188">
        <f>'Données projet'!D14</f>
        <v>0.19837000000000002</v>
      </c>
      <c r="V15" s="187">
        <f t="shared" si="1"/>
        <v>133.5454984898517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0"/>
      <c r="H16" s="201"/>
      <c r="I16" s="202"/>
      <c r="J16" s="214"/>
      <c r="K16" s="223"/>
      <c r="L16" s="336" t="s">
        <v>254</v>
      </c>
      <c r="M16" s="337"/>
      <c r="N16" s="2">
        <v>110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0"/>
      <c r="J17" s="214"/>
      <c r="K17" s="223"/>
      <c r="L17" s="294" t="s">
        <v>289</v>
      </c>
      <c r="M17" s="296"/>
      <c r="N17" s="185">
        <f>VLOOKUP(N16,Calculateur!$A$2:$H$153,3,0)/VLOOKUP('Scénario référence'!$G$15,Paramètres!A1:I89,3,0)/VLOOKUP('Scénario référence'!$G$15,Paramètres!A1:I89,5,0)</f>
        <v>110.0000000000002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0"/>
      <c r="J18" s="214"/>
      <c r="K18" s="223"/>
      <c r="L18" s="294" t="s">
        <v>255</v>
      </c>
      <c r="M18" s="296"/>
      <c r="N18" s="203">
        <v>20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0"/>
      <c r="H19" s="230" t="s">
        <v>178</v>
      </c>
      <c r="I19" s="230" t="s">
        <v>287</v>
      </c>
      <c r="J19" s="258"/>
      <c r="K19" s="181"/>
      <c r="L19" s="336" t="s">
        <v>288</v>
      </c>
      <c r="M19" s="337"/>
      <c r="N19" s="189">
        <f>N17*N18</f>
        <v>2200.0000000000041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0"/>
      <c r="H20" s="201">
        <v>0</v>
      </c>
      <c r="I20" s="202">
        <v>4498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1</v>
      </c>
      <c r="I21" s="202">
        <v>1398.87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>
        <v>2</v>
      </c>
      <c r="I22" s="202">
        <v>990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30</v>
      </c>
      <c r="B23" s="191">
        <f>'Données projet'!D36</f>
        <v>0</v>
      </c>
      <c r="C23" s="204">
        <v>10</v>
      </c>
      <c r="D23" s="192">
        <f>B23*C23</f>
        <v>0</v>
      </c>
      <c r="E23" s="204"/>
      <c r="F23" s="259"/>
      <c r="H23" s="201">
        <v>3</v>
      </c>
      <c r="I23" s="202">
        <v>990</v>
      </c>
      <c r="K23" s="223"/>
      <c r="L23" s="338" t="s">
        <v>260</v>
      </c>
      <c r="M23" s="338"/>
      <c r="N23" s="338"/>
      <c r="O23" s="25"/>
      <c r="P23" s="25"/>
      <c r="Q23" s="263"/>
      <c r="R23" s="25"/>
      <c r="S23" s="183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-15680.219466207061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40</v>
      </c>
      <c r="B24" s="191">
        <f>'Données projet'!D37</f>
        <v>0</v>
      </c>
      <c r="C24" s="204">
        <v>10</v>
      </c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41.498140103311087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51</v>
      </c>
      <c r="B25" s="191">
        <f>'Données projet'!D38</f>
        <v>171.3</v>
      </c>
      <c r="C25" s="204">
        <v>10</v>
      </c>
      <c r="D25" s="192">
        <f t="shared" si="2"/>
        <v>1713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5">
        <f ca="1">T23-T24</f>
        <v>-15721.717606310373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53</v>
      </c>
      <c r="B26" s="191">
        <f>'Données projet'!D39</f>
        <v>0</v>
      </c>
      <c r="C26" s="204">
        <v>10</v>
      </c>
      <c r="D26" s="192">
        <f t="shared" si="2"/>
        <v>0</v>
      </c>
      <c r="E26" s="204"/>
      <c r="F26" s="262"/>
      <c r="G26" s="257"/>
      <c r="H26" s="201"/>
      <c r="I26" s="202"/>
      <c r="K26" s="223"/>
      <c r="L26" s="322" t="s">
        <v>258</v>
      </c>
      <c r="M26" s="323"/>
      <c r="N26" s="323"/>
      <c r="O26" s="323"/>
      <c r="P26" s="324"/>
      <c r="Q26" s="263"/>
      <c r="R26" s="25"/>
      <c r="S26" s="196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61</v>
      </c>
      <c r="B27" s="191">
        <f>'Données projet'!D40</f>
        <v>100.2</v>
      </c>
      <c r="C27" s="204">
        <v>20</v>
      </c>
      <c r="D27" s="192">
        <f t="shared" si="2"/>
        <v>2004</v>
      </c>
      <c r="E27" s="204"/>
      <c r="F27" s="262"/>
      <c r="G27" s="257"/>
      <c r="H27" s="201"/>
      <c r="I27" s="202"/>
      <c r="K27" s="223"/>
      <c r="L27" s="325"/>
      <c r="M27" s="326"/>
      <c r="N27" s="326"/>
      <c r="O27" s="326"/>
      <c r="P27" s="327"/>
      <c r="Q27" s="263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62</v>
      </c>
      <c r="B28" s="191">
        <f>'Données projet'!D41</f>
        <v>0</v>
      </c>
      <c r="C28" s="204">
        <v>30</v>
      </c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73</v>
      </c>
      <c r="B29" s="191">
        <f>'Données projet'!D42</f>
        <v>102.1</v>
      </c>
      <c r="C29" s="204">
        <v>30</v>
      </c>
      <c r="D29" s="192">
        <f t="shared" si="2"/>
        <v>3063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74</v>
      </c>
      <c r="B30" s="191">
        <f>'Données projet'!D43</f>
        <v>0</v>
      </c>
      <c r="C30" s="204">
        <v>40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84</v>
      </c>
      <c r="B31" s="191">
        <f>'Données projet'!D44</f>
        <v>0</v>
      </c>
      <c r="C31" s="204">
        <v>50</v>
      </c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85</v>
      </c>
      <c r="B32" s="191">
        <f>'Données projet'!D45</f>
        <v>94.69</v>
      </c>
      <c r="C32" s="204">
        <v>60</v>
      </c>
      <c r="D32" s="192">
        <f t="shared" si="2"/>
        <v>5681.4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86</v>
      </c>
      <c r="B33" s="191">
        <f>'Données projet'!D46</f>
        <v>0</v>
      </c>
      <c r="C33" s="204">
        <v>70</v>
      </c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97</v>
      </c>
      <c r="B34" s="191">
        <f>'Données projet'!D47</f>
        <v>89.6</v>
      </c>
      <c r="C34" s="204">
        <v>70</v>
      </c>
      <c r="D34" s="192">
        <f t="shared" si="2"/>
        <v>6272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98</v>
      </c>
      <c r="B35" s="191">
        <f>'Données projet'!D48</f>
        <v>0</v>
      </c>
      <c r="C35" s="204">
        <v>80</v>
      </c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108</v>
      </c>
      <c r="B36" s="191">
        <f>'Données projet'!D49</f>
        <v>0</v>
      </c>
      <c r="C36" s="204">
        <v>80</v>
      </c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109</v>
      </c>
      <c r="B37" s="191">
        <f>'Données projet'!D50</f>
        <v>91.09</v>
      </c>
      <c r="C37" s="204">
        <v>90</v>
      </c>
      <c r="D37" s="192">
        <f t="shared" si="2"/>
        <v>8198.1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0</v>
      </c>
      <c r="C38" s="204">
        <v>90</v>
      </c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0</v>
      </c>
      <c r="C39" s="204">
        <v>90</v>
      </c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121</v>
      </c>
      <c r="B40" s="191">
        <f>'Données projet'!D53</f>
        <v>233.54</v>
      </c>
      <c r="C40" s="204">
        <v>90</v>
      </c>
      <c r="D40" s="192">
        <f t="shared" si="2"/>
        <v>21018.6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122</v>
      </c>
      <c r="B41" s="191">
        <f>'Données projet'!D54</f>
        <v>0</v>
      </c>
      <c r="C41" s="204">
        <v>90</v>
      </c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131</v>
      </c>
      <c r="B42" s="191">
        <f>'Données projet'!D55</f>
        <v>294.08999999999997</v>
      </c>
      <c r="C42" s="204">
        <v>90</v>
      </c>
      <c r="D42" s="192">
        <f t="shared" si="2"/>
        <v>26468.1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20</v>
      </c>
      <c r="B54" s="191">
        <f>'Données projet'!D62</f>
        <v>0</v>
      </c>
      <c r="C54" s="290">
        <v>15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25</v>
      </c>
      <c r="B55" s="191">
        <f>'Données projet'!D63</f>
        <v>8</v>
      </c>
      <c r="C55" s="290">
        <v>15</v>
      </c>
      <c r="D55" s="189">
        <f t="shared" ref="D55:D73" si="4">B55*C55</f>
        <v>120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30</v>
      </c>
      <c r="B56" s="191">
        <f>'Données projet'!D64</f>
        <v>21</v>
      </c>
      <c r="C56" s="290">
        <v>15</v>
      </c>
      <c r="D56" s="189">
        <f t="shared" si="4"/>
        <v>315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35</v>
      </c>
      <c r="B57" s="191">
        <f>'Données projet'!D65</f>
        <v>21</v>
      </c>
      <c r="C57" s="290">
        <v>15</v>
      </c>
      <c r="D57" s="189">
        <f t="shared" si="4"/>
        <v>315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40</v>
      </c>
      <c r="B58" s="191">
        <f>'Données projet'!D66</f>
        <v>21</v>
      </c>
      <c r="C58" s="290">
        <v>15</v>
      </c>
      <c r="D58" s="189">
        <f t="shared" si="4"/>
        <v>315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45</v>
      </c>
      <c r="B59" s="191">
        <f>'Données projet'!D67</f>
        <v>21</v>
      </c>
      <c r="C59" s="290">
        <v>15</v>
      </c>
      <c r="D59" s="189">
        <f t="shared" si="4"/>
        <v>315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50</v>
      </c>
      <c r="B60" s="191">
        <f>'Données projet'!D68</f>
        <v>21</v>
      </c>
      <c r="C60" s="290">
        <v>35</v>
      </c>
      <c r="D60" s="189">
        <f t="shared" si="4"/>
        <v>735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55</v>
      </c>
      <c r="B61" s="191">
        <f>'Données projet'!D69</f>
        <v>21</v>
      </c>
      <c r="C61" s="202">
        <v>35</v>
      </c>
      <c r="D61" s="189">
        <f t="shared" si="4"/>
        <v>735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60</v>
      </c>
      <c r="B62" s="191">
        <f>'Données projet'!D70</f>
        <v>21</v>
      </c>
      <c r="C62" s="202">
        <v>55</v>
      </c>
      <c r="D62" s="189">
        <f t="shared" si="4"/>
        <v>1155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65</v>
      </c>
      <c r="B63" s="191">
        <f>'Données projet'!D71</f>
        <v>21</v>
      </c>
      <c r="C63" s="202">
        <v>125</v>
      </c>
      <c r="D63" s="189">
        <f t="shared" si="4"/>
        <v>2625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70</v>
      </c>
      <c r="B64" s="191">
        <f>'Données projet'!D72</f>
        <v>21</v>
      </c>
      <c r="C64" s="202">
        <v>125</v>
      </c>
      <c r="D64" s="189">
        <f t="shared" si="4"/>
        <v>2625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75</v>
      </c>
      <c r="B65" s="191">
        <f>'Données projet'!D73</f>
        <v>21</v>
      </c>
      <c r="C65" s="202">
        <v>125</v>
      </c>
      <c r="D65" s="189">
        <f t="shared" si="4"/>
        <v>2625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80</v>
      </c>
      <c r="B66" s="191">
        <f>'Données projet'!D74</f>
        <v>21</v>
      </c>
      <c r="C66" s="202">
        <v>125</v>
      </c>
      <c r="D66" s="189">
        <f t="shared" si="4"/>
        <v>2625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85</v>
      </c>
      <c r="B67" s="191">
        <f>'Données projet'!D75</f>
        <v>21</v>
      </c>
      <c r="C67" s="202">
        <v>125</v>
      </c>
      <c r="D67" s="189">
        <f t="shared" si="4"/>
        <v>2625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90</v>
      </c>
      <c r="B68" s="191">
        <f>'Données projet'!D76</f>
        <v>21</v>
      </c>
      <c r="C68" s="202">
        <v>125</v>
      </c>
      <c r="D68" s="189">
        <f t="shared" si="4"/>
        <v>2625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95</v>
      </c>
      <c r="B69" s="191">
        <f>'Données projet'!D77</f>
        <v>21</v>
      </c>
      <c r="C69" s="202">
        <v>125</v>
      </c>
      <c r="D69" s="189">
        <f t="shared" si="4"/>
        <v>2625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100</v>
      </c>
      <c r="B70" s="191">
        <f>'Données projet'!D78</f>
        <v>21</v>
      </c>
      <c r="C70" s="202">
        <v>125</v>
      </c>
      <c r="D70" s="189">
        <f t="shared" si="4"/>
        <v>2625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105</v>
      </c>
      <c r="B71" s="191">
        <f>'Données projet'!D79</f>
        <v>20</v>
      </c>
      <c r="C71" s="202">
        <v>125</v>
      </c>
      <c r="D71" s="189">
        <f t="shared" si="4"/>
        <v>2500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110</v>
      </c>
      <c r="B72" s="191">
        <f>'Données projet'!D80</f>
        <v>19</v>
      </c>
      <c r="C72" s="202">
        <v>125</v>
      </c>
      <c r="D72" s="189">
        <f t="shared" si="4"/>
        <v>2375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115</v>
      </c>
      <c r="B73" s="191">
        <f>'Données projet'!D81</f>
        <v>18</v>
      </c>
      <c r="C73" s="202">
        <v>125</v>
      </c>
      <c r="D73" s="189">
        <f t="shared" si="4"/>
        <v>2250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chêne sessile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20</v>
      </c>
      <c r="B85" s="191">
        <f>'Données projet'!D88</f>
        <v>0</v>
      </c>
      <c r="C85" s="202">
        <v>15</v>
      </c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25</v>
      </c>
      <c r="B86" s="191">
        <f>'Données projet'!D89</f>
        <v>8</v>
      </c>
      <c r="C86" s="202">
        <v>15</v>
      </c>
      <c r="D86" s="189">
        <f t="shared" ref="D86:D102" si="6">B86*C86</f>
        <v>120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30</v>
      </c>
      <c r="B87" s="191">
        <f>'Données projet'!D90</f>
        <v>21</v>
      </c>
      <c r="C87" s="202">
        <v>15</v>
      </c>
      <c r="D87" s="189">
        <f t="shared" si="6"/>
        <v>315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35</v>
      </c>
      <c r="B88" s="191">
        <f>'Données projet'!D91</f>
        <v>21</v>
      </c>
      <c r="C88" s="202">
        <v>15</v>
      </c>
      <c r="D88" s="189">
        <f t="shared" si="6"/>
        <v>315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40</v>
      </c>
      <c r="B89" s="191">
        <f>'Données projet'!D92</f>
        <v>21</v>
      </c>
      <c r="C89" s="202">
        <v>15</v>
      </c>
      <c r="D89" s="189">
        <f t="shared" si="6"/>
        <v>315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45</v>
      </c>
      <c r="B90" s="191">
        <f>'Données projet'!D93</f>
        <v>21</v>
      </c>
      <c r="C90" s="202">
        <v>15</v>
      </c>
      <c r="D90" s="189">
        <f t="shared" si="6"/>
        <v>315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50</v>
      </c>
      <c r="B91" s="191">
        <f>'Données projet'!D94</f>
        <v>21</v>
      </c>
      <c r="C91" s="202">
        <v>35</v>
      </c>
      <c r="D91" s="189">
        <f t="shared" si="6"/>
        <v>735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55</v>
      </c>
      <c r="B92" s="191">
        <f>'Données projet'!D95</f>
        <v>21</v>
      </c>
      <c r="C92" s="202">
        <v>35</v>
      </c>
      <c r="D92" s="189">
        <f t="shared" si="6"/>
        <v>735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60</v>
      </c>
      <c r="B93" s="191">
        <f>'Données projet'!D96</f>
        <v>21</v>
      </c>
      <c r="C93" s="202">
        <v>55</v>
      </c>
      <c r="D93" s="189">
        <f t="shared" si="6"/>
        <v>1155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65</v>
      </c>
      <c r="B94" s="191">
        <f>'Données projet'!D97</f>
        <v>21</v>
      </c>
      <c r="C94" s="202">
        <v>125</v>
      </c>
      <c r="D94" s="189">
        <f t="shared" si="6"/>
        <v>2625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70</v>
      </c>
      <c r="B95" s="191">
        <f>'Données projet'!D98</f>
        <v>21</v>
      </c>
      <c r="C95" s="202">
        <v>125</v>
      </c>
      <c r="D95" s="189">
        <f t="shared" si="6"/>
        <v>2625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75</v>
      </c>
      <c r="B96" s="191">
        <f>'Données projet'!D99</f>
        <v>21</v>
      </c>
      <c r="C96" s="202">
        <v>125</v>
      </c>
      <c r="D96" s="189">
        <f t="shared" si="6"/>
        <v>2625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80</v>
      </c>
      <c r="B97" s="191">
        <f>'Données projet'!D100</f>
        <v>21</v>
      </c>
      <c r="C97" s="202">
        <v>125</v>
      </c>
      <c r="D97" s="189">
        <f t="shared" si="6"/>
        <v>2625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85</v>
      </c>
      <c r="B98" s="191">
        <f>'Données projet'!D101</f>
        <v>21</v>
      </c>
      <c r="C98" s="202">
        <v>125</v>
      </c>
      <c r="D98" s="189">
        <f t="shared" si="6"/>
        <v>2625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90</v>
      </c>
      <c r="B99" s="191">
        <f>'Données projet'!D102</f>
        <v>21</v>
      </c>
      <c r="C99" s="202">
        <v>125</v>
      </c>
      <c r="D99" s="189">
        <f t="shared" si="6"/>
        <v>2625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95</v>
      </c>
      <c r="B100" s="191">
        <f>'Données projet'!D103</f>
        <v>21</v>
      </c>
      <c r="C100" s="202">
        <v>125</v>
      </c>
      <c r="D100" s="189">
        <f t="shared" si="6"/>
        <v>2625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100</v>
      </c>
      <c r="B101" s="191">
        <f>'Données projet'!D104</f>
        <v>21</v>
      </c>
      <c r="C101" s="202">
        <v>125</v>
      </c>
      <c r="D101" s="189">
        <f t="shared" si="6"/>
        <v>2625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105</v>
      </c>
      <c r="B102" s="191">
        <f>'Données projet'!D105</f>
        <v>20</v>
      </c>
      <c r="C102" s="202">
        <v>125</v>
      </c>
      <c r="D102" s="189">
        <f t="shared" si="6"/>
        <v>2500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110</v>
      </c>
      <c r="B103" s="191">
        <f>'Données projet'!D106</f>
        <v>19</v>
      </c>
      <c r="C103" s="202">
        <v>125</v>
      </c>
      <c r="D103" s="189">
        <f>B103*C103</f>
        <v>2375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115</v>
      </c>
      <c r="B104" s="191">
        <f>'Données projet'!D107</f>
        <v>18</v>
      </c>
      <c r="C104" s="202">
        <v>125</v>
      </c>
      <c r="D104" s="189">
        <f>B104*C104</f>
        <v>2250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cormier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>
        <f>IF(O113+1&lt;=MIN('Données projet'!$E$9:$E$18),O113+1,"STOP")</f>
        <v>81</v>
      </c>
      <c r="P114" s="195">
        <f t="shared" si="7"/>
        <v>0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>
        <f>IF(O114+1&lt;=MIN('Données projet'!$E$9:$E$18),O114+1,"STOP")</f>
        <v>82</v>
      </c>
      <c r="P115" s="195">
        <f t="shared" si="7"/>
        <v>0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>
        <v>8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str">
        <f>IF(O115+1&lt;=MIN('Données projet'!$E$9:$E$18),O115+1,"STOP")</f>
        <v>STOP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8</v>
      </c>
      <c r="C117" s="202">
        <v>10</v>
      </c>
      <c r="D117" s="189">
        <f t="shared" ref="D117:D135" si="8">B117*C117</f>
        <v>80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21</v>
      </c>
      <c r="C118" s="202">
        <v>15</v>
      </c>
      <c r="D118" s="189">
        <f t="shared" si="8"/>
        <v>315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21</v>
      </c>
      <c r="C119" s="202">
        <v>15</v>
      </c>
      <c r="D119" s="189">
        <f t="shared" si="8"/>
        <v>315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21</v>
      </c>
      <c r="C120" s="202">
        <v>15</v>
      </c>
      <c r="D120" s="189">
        <f t="shared" si="8"/>
        <v>315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21</v>
      </c>
      <c r="C121" s="202">
        <v>15</v>
      </c>
      <c r="D121" s="189">
        <f t="shared" si="8"/>
        <v>315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21</v>
      </c>
      <c r="C122" s="202">
        <v>20</v>
      </c>
      <c r="D122" s="189">
        <f t="shared" si="8"/>
        <v>420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21</v>
      </c>
      <c r="C123" s="202">
        <v>20</v>
      </c>
      <c r="D123" s="189">
        <f t="shared" si="8"/>
        <v>420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21</v>
      </c>
      <c r="C124" s="202">
        <v>25</v>
      </c>
      <c r="D124" s="189">
        <f t="shared" si="8"/>
        <v>525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21</v>
      </c>
      <c r="C125" s="202">
        <v>30</v>
      </c>
      <c r="D125" s="189">
        <f t="shared" si="8"/>
        <v>630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21</v>
      </c>
      <c r="C126" s="202">
        <v>30</v>
      </c>
      <c r="D126" s="189">
        <f t="shared" si="8"/>
        <v>630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21</v>
      </c>
      <c r="C127" s="202">
        <v>40</v>
      </c>
      <c r="D127" s="189">
        <f t="shared" si="8"/>
        <v>840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21</v>
      </c>
      <c r="C128" s="202">
        <v>40</v>
      </c>
      <c r="D128" s="189">
        <f t="shared" si="8"/>
        <v>840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85</v>
      </c>
      <c r="B129" s="191">
        <f>'Données projet'!D127</f>
        <v>21</v>
      </c>
      <c r="C129" s="202">
        <v>40</v>
      </c>
      <c r="D129" s="189">
        <f t="shared" si="8"/>
        <v>840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90</v>
      </c>
      <c r="B130" s="191">
        <f>'Données projet'!D128</f>
        <v>21</v>
      </c>
      <c r="C130" s="202">
        <v>40</v>
      </c>
      <c r="D130" s="189">
        <f t="shared" si="8"/>
        <v>840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95</v>
      </c>
      <c r="B131" s="191">
        <f>'Données projet'!D129</f>
        <v>21</v>
      </c>
      <c r="C131" s="202">
        <v>40</v>
      </c>
      <c r="D131" s="189">
        <f t="shared" si="8"/>
        <v>840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100</v>
      </c>
      <c r="B132" s="191">
        <f>'Données projet'!D130</f>
        <v>21</v>
      </c>
      <c r="C132" s="202">
        <v>40</v>
      </c>
      <c r="D132" s="189">
        <f t="shared" si="8"/>
        <v>840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105</v>
      </c>
      <c r="B133" s="191">
        <f>'Données projet'!D131</f>
        <v>20</v>
      </c>
      <c r="C133" s="202">
        <v>40</v>
      </c>
      <c r="D133" s="189">
        <f t="shared" si="8"/>
        <v>800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110</v>
      </c>
      <c r="B134" s="191">
        <f>'Données projet'!D132</f>
        <v>19</v>
      </c>
      <c r="C134" s="202">
        <v>40</v>
      </c>
      <c r="D134" s="189">
        <f t="shared" si="8"/>
        <v>760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115</v>
      </c>
      <c r="B135" s="191">
        <f>'Données projet'!D133</f>
        <v>18</v>
      </c>
      <c r="C135" s="202">
        <v>55</v>
      </c>
      <c r="D135" s="189">
        <f t="shared" si="8"/>
        <v>990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pin laricio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22</v>
      </c>
      <c r="B147" s="185">
        <f>'Données projet'!D140</f>
        <v>16</v>
      </c>
      <c r="C147" s="202">
        <v>8</v>
      </c>
      <c r="D147" s="192">
        <f>B147*C147</f>
        <v>128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17</v>
      </c>
      <c r="C148" s="202">
        <v>8</v>
      </c>
      <c r="D148" s="192">
        <f t="shared" ref="D148:D166" si="10">B148*C148</f>
        <v>136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34</v>
      </c>
      <c r="C149" s="202">
        <v>15</v>
      </c>
      <c r="D149" s="192">
        <f t="shared" si="10"/>
        <v>510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41</v>
      </c>
      <c r="C150" s="202">
        <v>17</v>
      </c>
      <c r="D150" s="192">
        <f t="shared" si="10"/>
        <v>697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41</v>
      </c>
      <c r="C151" s="202">
        <v>17</v>
      </c>
      <c r="D151" s="192">
        <f t="shared" si="10"/>
        <v>697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53</v>
      </c>
      <c r="C152" s="202">
        <v>22</v>
      </c>
      <c r="D152" s="192">
        <f t="shared" si="10"/>
        <v>1166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53</v>
      </c>
      <c r="C153" s="202">
        <v>30</v>
      </c>
      <c r="D153" s="192">
        <f t="shared" si="10"/>
        <v>1590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58</v>
      </c>
      <c r="B154" s="185">
        <f>'Données projet'!D147</f>
        <v>78</v>
      </c>
      <c r="C154" s="202">
        <v>35</v>
      </c>
      <c r="D154" s="192">
        <f t="shared" si="10"/>
        <v>2730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66</v>
      </c>
      <c r="B155" s="185">
        <f>'Données projet'!D148</f>
        <v>65</v>
      </c>
      <c r="C155" s="202">
        <v>40</v>
      </c>
      <c r="D155" s="192">
        <f t="shared" si="10"/>
        <v>2600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74</v>
      </c>
      <c r="B156" s="185">
        <f>'Données projet'!D149</f>
        <v>37</v>
      </c>
      <c r="C156" s="202">
        <v>40</v>
      </c>
      <c r="D156" s="192">
        <f t="shared" si="10"/>
        <v>1480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82</v>
      </c>
      <c r="B157" s="185">
        <f>'Données projet'!D150</f>
        <v>555</v>
      </c>
      <c r="C157" s="202">
        <v>45</v>
      </c>
      <c r="D157" s="192">
        <f t="shared" si="10"/>
        <v>24975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Pin noir d'Autriche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20</v>
      </c>
      <c r="B178" s="191">
        <f>'Données projet'!D166</f>
        <v>3</v>
      </c>
      <c r="C178" s="290">
        <v>12</v>
      </c>
      <c r="D178" s="189">
        <f>B178*C178</f>
        <v>36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30</v>
      </c>
      <c r="B179" s="191">
        <f>'Données projet'!D167</f>
        <v>12</v>
      </c>
      <c r="C179" s="290">
        <v>12</v>
      </c>
      <c r="D179" s="189">
        <f t="shared" ref="D179:D197" si="11">B179*C179</f>
        <v>144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40</v>
      </c>
      <c r="B180" s="191">
        <f>'Données projet'!D168</f>
        <v>21</v>
      </c>
      <c r="C180" s="290">
        <v>15</v>
      </c>
      <c r="D180" s="189">
        <f t="shared" si="11"/>
        <v>315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50</v>
      </c>
      <c r="B181" s="191">
        <f>'Données projet'!D169</f>
        <v>25</v>
      </c>
      <c r="C181" s="290">
        <v>20</v>
      </c>
      <c r="D181" s="189">
        <f t="shared" si="11"/>
        <v>500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60</v>
      </c>
      <c r="B182" s="191">
        <f>'Données projet'!D170</f>
        <v>27</v>
      </c>
      <c r="C182" s="290">
        <v>25</v>
      </c>
      <c r="D182" s="189">
        <f t="shared" si="11"/>
        <v>675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70</v>
      </c>
      <c r="B183" s="191">
        <f>'Données projet'!D171</f>
        <v>26</v>
      </c>
      <c r="C183" s="290">
        <v>30</v>
      </c>
      <c r="D183" s="189">
        <f t="shared" si="11"/>
        <v>780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80</v>
      </c>
      <c r="B184" s="191">
        <f>'Données projet'!D172</f>
        <v>24</v>
      </c>
      <c r="C184" s="290">
        <v>35</v>
      </c>
      <c r="D184" s="189">
        <f t="shared" si="11"/>
        <v>840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90</v>
      </c>
      <c r="B185" s="191">
        <f>'Données projet'!D173</f>
        <v>24</v>
      </c>
      <c r="C185" s="290">
        <v>50</v>
      </c>
      <c r="D185" s="189">
        <f t="shared" si="11"/>
        <v>1200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100</v>
      </c>
      <c r="B186" s="191">
        <f>'Données projet'!D174</f>
        <v>515</v>
      </c>
      <c r="C186" s="290">
        <v>60</v>
      </c>
      <c r="D186" s="189">
        <f t="shared" si="11"/>
        <v>30900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90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90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2025-07-23T15:11:38Z</dcterms:modified>
</cp:coreProperties>
</file>