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Evreux (Normandie)\LA COULONCHE (61) - M HUET LAURENT SWC E10\Dossier déposé 14 05 2025\"/>
    </mc:Choice>
  </mc:AlternateContent>
  <xr:revisionPtr revIDLastSave="0" documentId="13_ncr:1_{8A43A6D5-91F2-499D-B2E5-13223C9A33B8}" xr6:coauthVersionLast="36" xr6:coauthVersionMax="36" xr10:uidLastSave="{00000000-0000-0000-0000-000000000000}"/>
  <bookViews>
    <workbookView xWindow="0" yWindow="0" windowWidth="28800" windowHeight="1240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6" i="1" l="1"/>
  <c r="B95" i="1"/>
  <c r="B94" i="1"/>
  <c r="B93" i="1"/>
  <c r="B92" i="1"/>
  <c r="B91" i="1"/>
  <c r="B90" i="1"/>
  <c r="B89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65" i="2" l="1" a="1"/>
  <c r="BC65" i="2" s="1"/>
  <c r="BC31" i="2" a="1"/>
  <c r="BC31" i="2" s="1"/>
  <c r="BC32" i="2" a="1"/>
  <c r="BC32" i="2" s="1"/>
  <c r="BC84" i="2" a="1"/>
  <c r="BC84" i="2" s="1"/>
  <c r="BC83" i="2" a="1"/>
  <c r="BC83" i="2" s="1"/>
  <c r="BC114" i="2" a="1"/>
  <c r="BC114" i="2" s="1"/>
  <c r="BC126" i="2" a="1"/>
  <c r="BC126" i="2" s="1"/>
  <c r="BC38" i="2" a="1"/>
  <c r="BC38" i="2" s="1"/>
  <c r="BC117" i="2" a="1"/>
  <c r="BC117" i="2" s="1"/>
  <c r="BC181" i="2" a="1"/>
  <c r="BC181" i="2" s="1"/>
  <c r="BC164" i="2" a="1"/>
  <c r="BC164" i="2" s="1"/>
  <c r="BC47" i="2" a="1"/>
  <c r="BC47" i="2" s="1"/>
  <c r="BC68" i="2" a="1"/>
  <c r="BC68" i="2" s="1"/>
  <c r="BC130" i="2" a="1"/>
  <c r="BC130" i="2" s="1"/>
  <c r="BC192" i="2" a="1"/>
  <c r="BC192" i="2" s="1"/>
  <c r="AH199" i="2" a="1"/>
  <c r="AH199" i="2" s="1"/>
  <c r="BC55" i="2" a="1"/>
  <c r="BC55" i="2" s="1"/>
  <c r="BC82" i="2" a="1"/>
  <c r="BC82" i="2" s="1"/>
  <c r="BC151" i="2" a="1"/>
  <c r="BC151" i="2" s="1"/>
  <c r="BC58" i="2" a="1"/>
  <c r="BC58" i="2" s="1"/>
  <c r="BC7" i="2" a="1"/>
  <c r="BC7" i="2" s="1"/>
  <c r="BC34" i="2" a="1"/>
  <c r="BC34" i="2" s="1"/>
  <c r="BC185" i="2" a="1"/>
  <c r="BC185" i="2" s="1"/>
  <c r="BC143" i="2" a="1"/>
  <c r="BC143" i="2" s="1"/>
  <c r="AH19" i="2" a="1"/>
  <c r="AH19" i="2" s="1"/>
  <c r="AH90" i="2" a="1"/>
  <c r="AH90" i="2" s="1"/>
  <c r="AH151" i="2" a="1"/>
  <c r="AH151" i="2" s="1"/>
  <c r="AH163" i="2" a="1"/>
  <c r="AH163" i="2" s="1"/>
  <c r="AH62" i="2" a="1"/>
  <c r="AH62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M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M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<sst xmlns="http://schemas.openxmlformats.org/spreadsheetml/2006/main" count="1169" uniqueCount="325">
  <si>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</si>
  <si>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</si>
  <si>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</si>
  <si>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</si>
  <si>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</si>
  <si>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</si>
  <si>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</si>
  <si>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</si>
  <si>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</si>
  <si>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</si>
  <si>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</si>
  <si>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</si>
  <si>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</si>
  <si>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</si>
  <si>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</si>
  <si>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</si>
  <si>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</si>
  <si>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</si>
  <si>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</si>
  <si>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</si>
  <si>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</si>
  <si>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</si>
  <si>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</si>
  <si>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</si>
  <si>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</si>
  <si>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</si>
  <si>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</si>
  <si>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</si>
  <si>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</si>
  <si>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</si>
  <si>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</si>
  <si>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</si>
  <si>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</si>
  <si>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</si>
  <si>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</si>
  <si>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</si>
  <si>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</si>
  <si>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</si>
  <si>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</si>
  <si>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</si>
  <si>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</si>
  <si>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</si>
  <si>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</si>
  <si>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</si>
  <si>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</si>
  <si>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</si>
  <si>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</si>
  <si>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</si>
  <si>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</si>
  <si>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</si>
  <si>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</si>
  <si>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</si>
  <si>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</si>
  <si>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</si>
  <si>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</si>
  <si>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</si>
  <si>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</si>
  <si>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</si>
  <si>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</si>
  <si>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</si>
  <si>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</si>
  <si>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</si>
  <si>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</si>
  <si>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</si>
  <si>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</si>
  <si>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</si>
  <si>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</si>
  <si>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</si>
  <si>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</si>
  <si>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</si>
  <si>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</si>
  <si>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</si>
  <si>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</si>
  <si>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</si>
  <si>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</si>
  <si>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</si>
  <si>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</si>
  <si>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</si>
  <si>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</si>
  <si>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</si>
  <si>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</si>
  <si>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</si>
  <si>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</si>
  <si>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</si>
  <si>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</si>
  <si>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</si>
  <si>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</si>
  <si>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</si>
  <si>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</si>
  <si>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</si>
  <si>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</si>
  <si>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</si>
  <si>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</si>
  <si>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</si>
  <si>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</si>
  <si>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</si>
  <si>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</si>
  <si>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</si>
  <si>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</si>
  <si>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</si>
  <si>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</si>
  <si>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</si>
  <si>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</si>
  <si>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</si>
  <si>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</si>
  <si>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</si>
  <si>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</si>
  <si>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</si>
  <si>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</si>
  <si>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</si>
  <si>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</si>
  <si>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</si>
  <si>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</si>
  <si>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</si>
  <si>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</si>
  <si>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</si>
  <si>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</si>
  <si>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</si>
  <si>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</si>
  <si>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</si>
  <si>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</si>
  <si>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</si>
  <si>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</si>
  <si>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</si>
  <si>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</si>
  <si>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</si>
  <si>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</si>
  <si>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</si>
  <si>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</si>
  <si>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</si>
  <si>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</si>
  <si>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</si>
  <si>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</si>
  <si>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</si>
  <si>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</si>
  <si>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</si>
  <si>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</si>
  <si>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</si>
  <si>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</si>
  <si>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</si>
  <si>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</si>
  <si>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</si>
  <si>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</si>
  <si>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</si>
  <si>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</si>
  <si>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</si>
  <si>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</si>
  <si>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</si>
  <si>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</si>
  <si>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</si>
  <si>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</si>
  <si>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</si>
  <si>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</si>
  <si>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</si>
  <si>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</si>
  <si>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</si>
  <si>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</si>
  <si>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</si>
  <si>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</si>
  <si>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</si>
  <si>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</si>
  <si>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</si>
  <si>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</si>
  <si>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</si>
  <si>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</si>
  <si>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</si>
  <si>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</si>
  <si>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</si>
  <si>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</si>
  <si>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</si>
  <si>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</si>
  <si>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</si>
  <si>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</si>
  <si>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</si>
  <si>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</si>
  <si>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</si>
  <si>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</si>
  <si>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</si>
  <si>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</si>
  <si>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</si>
  <si>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</si>
  <si>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</si>
  <si>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</si>
  <si>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</si>
  <si>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</si>
  <si>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</si>
  <si>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</si>
  <si>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</si>
  <si>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</si>
  <si>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</si>
  <si>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</si>
  <si>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</si>
  <si>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</si>
  <si>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</si>
  <si>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</si>
  <si>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</si>
  <si>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</si>
  <si>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</si>
  <si>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</si>
  <si>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</si>
  <si>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</si>
  <si>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</si>
  <si>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</si>
  <si>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</si>
  <si>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</si>
  <si>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</si>
  <si>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</si>
  <si>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</si>
  <si>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</si>
  <si>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</si>
  <si>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</si>
  <si>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</si>
  <si>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</si>
  <si>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</si>
  <si>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</si>
  <si>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</si>
  <si>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</si>
  <si>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</si>
  <si>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</si>
  <si>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</si>
  <si>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</si>
  <si>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</si>
  <si>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</si>
  <si>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</si>
  <si>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</si>
  <si>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</si>
  <si>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</si>
  <si>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</si>
  <si>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</si>
  <si>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</si>
  <si>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</si>
  <si>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</si>
  <si>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</si>
  <si>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</si>
  <si>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</si>
  <si>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</si>
  <si>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</si>
  <si>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</si>
  <si>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</si>
  <si>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</si>
  <si>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</si>
  <si>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</si>
  <si>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</si>
  <si>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</si>
  <si>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</si>
  <si>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</si>
  <si>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</si>
  <si>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</si>
  <si>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</si>
  <si>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</si>
  <si>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</si>
  <si>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</si>
  <si>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</si>
  <si>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</si>
  <si>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</si>
  <si>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</si>
  <si>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</si>
  <si>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</si>
  <si>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</si>
  <si>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</si>
  <si>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</si>
  <si>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</si>
  <si>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</si>
  <si>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</si>
  <si>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</si>
  <si>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</si>
  <si>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</si>
  <si>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</si>
  <si>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</si>
  <si>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</si>
  <si>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</si>
  <si>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</si>
  <si>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</si>
  <si>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</si>
  <si>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</si>
  <si>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</si>
  <si>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</si>
  <si>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</si>
  <si>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</si>
  <si>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</si>
  <si>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</si>
  <si>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</si>
  <si>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</si>
  <si>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</si>
  <si>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</si>
  <si>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</si>
  <si>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</si>
  <si>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</si>
  <si>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</si>
  <si>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</si>
  <si>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</si>
  <si>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</si>
  <si>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</si>
  <si>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</si>
  <si>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</si>
  <si>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</si>
  <si>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</si>
  <si>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</si>
  <si>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</si>
  <si>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</si>
  <si>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</si>
  <si>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</si>
  <si>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</si>
  <si>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</si>
  <si>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</si>
  <si>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</si>
  <si>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</si>
  <si>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</si>
  <si>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</si>
  <si>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</si>
  <si>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</si>
  <si>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</si>
  <si>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</si>
  <si>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</si>
  <si>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</si>
  <si>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</si>
  <si>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</si>
  <si>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</si>
  <si>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</si>
  <si>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</si>
  <si>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</si>
  <si>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</si>
  <si>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</si>
  <si>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</si>
  <si>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chêne rouge d'amérique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</si>
</sst>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2.713993017085917</c:v>
                </c:pt>
                <c:pt idx="2">
                  <c:v>3.297780094167829</c:v>
                </c:pt>
                <c:pt idx="3">
                  <c:v>4.0076148495630122</c:v>
                </c:pt>
                <c:pt idx="4">
                  <c:v>4.8708091687241364</c:v>
                </c:pt>
                <c:pt idx="5">
                  <c:v>5.9206124221209437</c:v>
                </c:pt>
                <c:pt idx="6">
                  <c:v>7.1975062064258246</c:v>
                </c:pt>
                <c:pt idx="7">
                  <c:v>8.7507822174987044</c:v>
                </c:pt>
                <c:pt idx="8">
                  <c:v>10.640465330220749</c:v>
                </c:pt>
                <c:pt idx="9">
                  <c:v>12.939657601942194</c:v>
                </c:pt>
                <c:pt idx="10">
                  <c:v>15.737395562368858</c:v>
                </c:pt>
                <c:pt idx="11">
                  <c:v>19.142133466046261</c:v>
                </c:pt>
                <c:pt idx="12">
                  <c:v>23.285989973678308</c:v>
                </c:pt>
                <c:pt idx="13">
                  <c:v>28.329925983783568</c:v>
                </c:pt>
                <c:pt idx="14">
                  <c:v>34.470058263700928</c:v>
                </c:pt>
                <c:pt idx="15">
                  <c:v>41.945358602794364</c:v>
                </c:pt>
                <c:pt idx="16">
                  <c:v>51.047043231153054</c:v>
                </c:pt>
                <c:pt idx="17">
                  <c:v>62.130024412894237</c:v>
                </c:pt>
                <c:pt idx="18">
                  <c:v>75.626878119916697</c:v>
                </c:pt>
                <c:pt idx="19">
                  <c:v>92.064881799910609</c:v>
                </c:pt>
                <c:pt idx="20">
                  <c:v>112.08679847851977</c:v>
                </c:pt>
                <c:pt idx="21">
                  <c:v>118.59205774561866</c:v>
                </c:pt>
                <c:pt idx="22">
                  <c:v>132.72117073355489</c:v>
                </c:pt>
                <c:pt idx="23">
                  <c:v>146.81397834828738</c:v>
                </c:pt>
                <c:pt idx="24">
                  <c:v>160.87445980010816</c:v>
                </c:pt>
                <c:pt idx="25">
                  <c:v>174.90584046860883</c:v>
                </c:pt>
                <c:pt idx="26">
                  <c:v>150.61714980411793</c:v>
                </c:pt>
                <c:pt idx="27">
                  <c:v>164.29006685083496</c:v>
                </c:pt>
                <c:pt idx="28">
                  <c:v>177.93609396509945</c:v>
                </c:pt>
                <c:pt idx="29">
                  <c:v>191.55758507110079</c:v>
                </c:pt>
                <c:pt idx="30">
                  <c:v>205.15653155887534</c:v>
                </c:pt>
                <c:pt idx="31">
                  <c:v>179.82938633009815</c:v>
                </c:pt>
                <c:pt idx="32">
                  <c:v>192.31365664017588</c:v>
                </c:pt>
                <c:pt idx="33">
                  <c:v>204.77907175916729</c:v>
                </c:pt>
                <c:pt idx="34">
                  <c:v>217.22694181678969</c:v>
                </c:pt>
                <c:pt idx="35">
                  <c:v>229.65841439261337</c:v>
                </c:pt>
                <c:pt idx="36">
                  <c:v>203.64659563079613</c:v>
                </c:pt>
                <c:pt idx="37">
                  <c:v>215.34198157425371</c:v>
                </c:pt>
                <c:pt idx="38">
                  <c:v>227.02275330173859</c:v>
                </c:pt>
                <c:pt idx="39">
                  <c:v>238.68976915585526</c:v>
                </c:pt>
                <c:pt idx="40">
                  <c:v>250.34379664975143</c:v>
                </c:pt>
                <c:pt idx="41">
                  <c:v>224.76305761819131</c:v>
                </c:pt>
                <c:pt idx="42">
                  <c:v>234.92767007142697</c:v>
                </c:pt>
                <c:pt idx="43">
                  <c:v>245.08225003541108</c:v>
                </c:pt>
                <c:pt idx="44">
                  <c:v>255.22727211134486</c:v>
                </c:pt>
                <c:pt idx="45">
                  <c:v>265.36317005758804</c:v>
                </c:pt>
                <c:pt idx="46">
                  <c:v>242.45051729235141</c:v>
                </c:pt>
                <c:pt idx="47">
                  <c:v>251.47094266035708</c:v>
                </c:pt>
                <c:pt idx="48">
                  <c:v>260.48403592293721</c:v>
                </c:pt>
                <c:pt idx="49">
                  <c:v>269.49008678800806</c:v>
                </c:pt>
                <c:pt idx="50">
                  <c:v>278.48936400091287</c:v>
                </c:pt>
                <c:pt idx="51">
                  <c:v>256.72945236768516</c:v>
                </c:pt>
                <c:pt idx="52">
                  <c:v>264.98792439409311</c:v>
                </c:pt>
                <c:pt idx="53">
                  <c:v>273.24059406456837</c:v>
                </c:pt>
                <c:pt idx="54">
                  <c:v>281.48766152009608</c:v>
                </c:pt>
                <c:pt idx="55">
                  <c:v>289.72931420493563</c:v>
                </c:pt>
                <c:pt idx="56">
                  <c:v>270.61536157537017</c:v>
                </c:pt>
                <c:pt idx="57">
                  <c:v>277.73967673325734</c:v>
                </c:pt>
                <c:pt idx="58">
                  <c:v>284.85989094555805</c:v>
                </c:pt>
                <c:pt idx="59">
                  <c:v>291.97612129761052</c:v>
                </c:pt>
                <c:pt idx="60">
                  <c:v>299.0884786949544</c:v>
                </c:pt>
                <c:pt idx="61">
                  <c:v>281.11291365958624</c:v>
                </c:pt>
                <c:pt idx="62">
                  <c:v>287.48211750444835</c:v>
                </c:pt>
                <c:pt idx="63">
                  <c:v>293.84816539917824</c:v>
                </c:pt>
                <c:pt idx="64">
                  <c:v>300.21113544922065</c:v>
                </c:pt>
                <c:pt idx="65">
                  <c:v>306.5711021747656</c:v>
                </c:pt>
                <c:pt idx="66">
                  <c:v>291.22722867703203</c:v>
                </c:pt>
                <c:pt idx="67">
                  <c:v>296.46858031425933</c:v>
                </c:pt>
                <c:pt idx="68">
                  <c:v>301.70786571384616</c:v>
                </c:pt>
                <c:pt idx="69">
                  <c:v>306.94512587259879</c:v>
                </c:pt>
                <c:pt idx="70">
                  <c:v>312.18040027213129</c:v>
                </c:pt>
                <c:pt idx="71">
                  <c:v>298.33998870460488</c:v>
                </c:pt>
                <c:pt idx="72">
                  <c:v>303.20443066215006</c:v>
                </c:pt>
                <c:pt idx="73">
                  <c:v>308.06713623755655</c:v>
                </c:pt>
                <c:pt idx="74">
                  <c:v>312.92813674795354</c:v>
                </c:pt>
                <c:pt idx="75">
                  <c:v>317.78746245668077</c:v>
                </c:pt>
                <c:pt idx="76">
                  <c:v>305.0749057919158</c:v>
                </c:pt>
                <c:pt idx="77">
                  <c:v>309.18905580466139</c:v>
                </c:pt>
                <c:pt idx="78">
                  <c:v>313.30199011471836</c:v>
                </c:pt>
                <c:pt idx="79">
                  <c:v>317.41372695991305</c:v>
                </c:pt>
                <c:pt idx="80">
                  <c:v>321.52428406625825</c:v>
                </c:pt>
                <c:pt idx="81">
                  <c:v>310.31088495066126</c:v>
                </c:pt>
                <c:pt idx="82">
                  <c:v>314.04966717357382</c:v>
                </c:pt>
                <c:pt idx="83">
                  <c:v>317.78746245668066</c:v>
                </c:pt>
                <c:pt idx="84">
                  <c:v>321.52428406625825</c:v>
                </c:pt>
                <c:pt idx="85">
                  <c:v>325.26014493454369</c:v>
                </c:pt>
                <c:pt idx="86">
                  <c:v>315.17110877697866</c:v>
                </c:pt>
                <c:pt idx="87">
                  <c:v>318.16118821698859</c:v>
                </c:pt>
                <c:pt idx="88">
                  <c:v>321.15064534947913</c:v>
                </c:pt>
                <c:pt idx="89">
                  <c:v>324.13948679547377</c:v>
                </c:pt>
                <c:pt idx="90">
                  <c:v>327.12771904371129</c:v>
                </c:pt>
                <c:pt idx="91">
                  <c:v>3.9806453659427267E-12</c:v>
                </c:pt>
                <c:pt idx="92">
                  <c:v>3.9806453659427267E-12</c:v>
                </c:pt>
                <c:pt idx="93">
                  <c:v>3.9806453659427267E-12</c:v>
                </c:pt>
                <c:pt idx="94">
                  <c:v>3.9806453659427267E-12</c:v>
                </c:pt>
                <c:pt idx="95">
                  <c:v>3.9806453659427267E-12</c:v>
                </c:pt>
                <c:pt idx="96">
                  <c:v>3.9806453659427267E-12</c:v>
                </c:pt>
                <c:pt idx="97">
                  <c:v>3.9806453659427267E-12</c:v>
                </c:pt>
                <c:pt idx="98">
                  <c:v>3.9806453659427267E-12</c:v>
                </c:pt>
                <c:pt idx="99">
                  <c:v>3.9806453659427267E-12</c:v>
                </c:pt>
                <c:pt idx="100">
                  <c:v>3.9806453659427267E-12</c:v>
                </c:pt>
                <c:pt idx="101">
                  <c:v>3.9806453659427267E-12</c:v>
                </c:pt>
                <c:pt idx="102">
                  <c:v>3.9806453659427267E-12</c:v>
                </c:pt>
                <c:pt idx="103">
                  <c:v>3.9806453659427267E-12</c:v>
                </c:pt>
                <c:pt idx="104">
                  <c:v>3.9806453659427267E-12</c:v>
                </c:pt>
                <c:pt idx="105">
                  <c:v>3.9806453659427267E-12</c:v>
                </c:pt>
                <c:pt idx="106">
                  <c:v>3.9806453659427267E-12</c:v>
                </c:pt>
                <c:pt idx="107">
                  <c:v>3.9806453659427267E-12</c:v>
                </c:pt>
                <c:pt idx="108">
                  <c:v>3.9806453659427267E-12</c:v>
                </c:pt>
                <c:pt idx="109">
                  <c:v>3.9806453659427267E-12</c:v>
                </c:pt>
                <c:pt idx="110">
                  <c:v>3.9806453659427267E-12</c:v>
                </c:pt>
                <c:pt idx="111">
                  <c:v>3.9806453659427267E-12</c:v>
                </c:pt>
                <c:pt idx="112">
                  <c:v>3.9806453659427267E-12</c:v>
                </c:pt>
                <c:pt idx="113">
                  <c:v>3.9806453659427267E-12</c:v>
                </c:pt>
                <c:pt idx="114">
                  <c:v>3.9806453659427267E-12</c:v>
                </c:pt>
                <c:pt idx="115">
                  <c:v>3.9806453659427267E-12</c:v>
                </c:pt>
                <c:pt idx="116">
                  <c:v>3.9806453659427267E-12</c:v>
                </c:pt>
                <c:pt idx="117">
                  <c:v>3.9806453659427267E-12</c:v>
                </c:pt>
                <c:pt idx="118">
                  <c:v>3.9806453659427267E-12</c:v>
                </c:pt>
                <c:pt idx="119">
                  <c:v>3.9806453659427267E-12</c:v>
                </c:pt>
                <c:pt idx="120">
                  <c:v>3.9806453659427267E-12</c:v>
                </c:pt>
                <c:pt idx="121">
                  <c:v>3.9806453659427267E-12</c:v>
                </c:pt>
                <c:pt idx="122">
                  <c:v>3.9806453659427267E-12</c:v>
                </c:pt>
                <c:pt idx="123">
                  <c:v>3.9806453659427267E-12</c:v>
                </c:pt>
                <c:pt idx="124">
                  <c:v>3.9806453659427267E-12</c:v>
                </c:pt>
                <c:pt idx="125">
                  <c:v>3.9806453659427267E-12</c:v>
                </c:pt>
                <c:pt idx="126">
                  <c:v>3.9806453659427267E-12</c:v>
                </c:pt>
                <c:pt idx="127">
                  <c:v>3.9806453659427267E-12</c:v>
                </c:pt>
                <c:pt idx="128">
                  <c:v>3.9806453659427267E-12</c:v>
                </c:pt>
                <c:pt idx="129">
                  <c:v>3.9806453659427267E-12</c:v>
                </c:pt>
                <c:pt idx="130">
                  <c:v>3.9806453659427267E-12</c:v>
                </c:pt>
                <c:pt idx="131">
                  <c:v>3.9806453659427267E-12</c:v>
                </c:pt>
                <c:pt idx="132">
                  <c:v>3.9806453659427267E-12</c:v>
                </c:pt>
                <c:pt idx="133">
                  <c:v>3.9806453659427267E-12</c:v>
                </c:pt>
                <c:pt idx="134">
                  <c:v>3.9806453659427267E-12</c:v>
                </c:pt>
                <c:pt idx="135">
                  <c:v>3.9806453659427267E-12</c:v>
                </c:pt>
                <c:pt idx="136">
                  <c:v>3.9806453659427267E-12</c:v>
                </c:pt>
                <c:pt idx="137">
                  <c:v>3.9806453659427267E-12</c:v>
                </c:pt>
                <c:pt idx="138">
                  <c:v>3.9806453659427267E-12</c:v>
                </c:pt>
                <c:pt idx="139">
                  <c:v>3.9806453659427267E-12</c:v>
                </c:pt>
                <c:pt idx="140">
                  <c:v>3.9806453659427267E-12</c:v>
                </c:pt>
                <c:pt idx="141">
                  <c:v>3.9806453659427267E-12</c:v>
                </c:pt>
                <c:pt idx="142">
                  <c:v>3.9806453659427267E-12</c:v>
                </c:pt>
                <c:pt idx="143">
                  <c:v>3.9806453659427267E-12</c:v>
                </c:pt>
                <c:pt idx="144">
                  <c:v>3.9806453659427267E-12</c:v>
                </c:pt>
                <c:pt idx="145">
                  <c:v>3.9806453659427267E-12</c:v>
                </c:pt>
                <c:pt idx="146">
                  <c:v>3.9806453659427267E-12</c:v>
                </c:pt>
                <c:pt idx="147">
                  <c:v>3.9806453659427267E-12</c:v>
                </c:pt>
                <c:pt idx="148">
                  <c:v>3.9806453659427267E-12</c:v>
                </c:pt>
                <c:pt idx="149">
                  <c:v>3.9806453659427267E-12</c:v>
                </c:pt>
                <c:pt idx="150">
                  <c:v>3.9806453659427267E-12</c:v>
                </c:pt>
                <c:pt idx="151">
                  <c:v>3.9806453659427267E-12</c:v>
                </c:pt>
                <c:pt idx="152">
                  <c:v>3.9806453659427267E-12</c:v>
                </c:pt>
                <c:pt idx="153">
                  <c:v>3.9806453659427267E-12</c:v>
                </c:pt>
                <c:pt idx="154">
                  <c:v>3.9806453659427267E-12</c:v>
                </c:pt>
                <c:pt idx="155">
                  <c:v>3.9806453659427267E-12</c:v>
                </c:pt>
                <c:pt idx="156">
                  <c:v>3.9806453659427267E-12</c:v>
                </c:pt>
                <c:pt idx="157">
                  <c:v>3.9806453659427267E-12</c:v>
                </c:pt>
                <c:pt idx="158">
                  <c:v>3.9806453659427267E-12</c:v>
                </c:pt>
                <c:pt idx="159">
                  <c:v>3.9806453659427267E-12</c:v>
                </c:pt>
                <c:pt idx="160">
                  <c:v>3.9806453659427267E-12</c:v>
                </c:pt>
                <c:pt idx="161">
                  <c:v>3.9806453659427267E-12</c:v>
                </c:pt>
                <c:pt idx="162">
                  <c:v>3.9806453659427267E-12</c:v>
                </c:pt>
                <c:pt idx="163">
                  <c:v>3.9806453659427267E-12</c:v>
                </c:pt>
                <c:pt idx="164">
                  <c:v>3.9806453659427267E-12</c:v>
                </c:pt>
                <c:pt idx="165">
                  <c:v>3.9806453659427267E-12</c:v>
                </c:pt>
                <c:pt idx="166">
                  <c:v>3.9806453659427267E-12</c:v>
                </c:pt>
                <c:pt idx="167">
                  <c:v>3.9806453659427267E-12</c:v>
                </c:pt>
                <c:pt idx="168">
                  <c:v>3.9806453659427267E-12</c:v>
                </c:pt>
                <c:pt idx="169">
                  <c:v>3.9806453659427267E-12</c:v>
                </c:pt>
                <c:pt idx="170">
                  <c:v>3.9806453659427267E-12</c:v>
                </c:pt>
                <c:pt idx="171">
                  <c:v>3.9806453659427267E-12</c:v>
                </c:pt>
                <c:pt idx="172">
                  <c:v>3.9806453659427267E-12</c:v>
                </c:pt>
                <c:pt idx="173">
                  <c:v>3.9806453659427267E-12</c:v>
                </c:pt>
                <c:pt idx="174">
                  <c:v>3.9806453659427267E-12</c:v>
                </c:pt>
                <c:pt idx="175">
                  <c:v>3.9806453659427267E-12</c:v>
                </c:pt>
                <c:pt idx="176">
                  <c:v>3.9806453659427267E-12</c:v>
                </c:pt>
                <c:pt idx="177">
                  <c:v>3.9806453659427267E-12</c:v>
                </c:pt>
                <c:pt idx="178">
                  <c:v>3.9806453659427267E-12</c:v>
                </c:pt>
                <c:pt idx="179">
                  <c:v>3.9806453659427267E-12</c:v>
                </c:pt>
                <c:pt idx="180">
                  <c:v>3.9806453659427267E-12</c:v>
                </c:pt>
                <c:pt idx="181">
                  <c:v>3.9806453659427267E-12</c:v>
                </c:pt>
                <c:pt idx="182">
                  <c:v>3.9806453659427267E-12</c:v>
                </c:pt>
                <c:pt idx="183">
                  <c:v>3.9806453659427267E-12</c:v>
                </c:pt>
                <c:pt idx="184">
                  <c:v>3.9806453659427267E-12</c:v>
                </c:pt>
                <c:pt idx="185">
                  <c:v>3.9806453659427267E-12</c:v>
                </c:pt>
                <c:pt idx="186">
                  <c:v>3.9806453659427267E-12</c:v>
                </c:pt>
                <c:pt idx="187">
                  <c:v>3.9806453659427267E-12</c:v>
                </c:pt>
                <c:pt idx="188">
                  <c:v>3.9806453659427267E-12</c:v>
                </c:pt>
                <c:pt idx="189">
                  <c:v>3.9806453659427267E-12</c:v>
                </c:pt>
                <c:pt idx="190">
                  <c:v>3.9806453659427267E-12</c:v>
                </c:pt>
                <c:pt idx="191">
                  <c:v>3.9806453659427267E-12</c:v>
                </c:pt>
                <c:pt idx="192">
                  <c:v>3.9806453659427267E-12</c:v>
                </c:pt>
                <c:pt idx="193">
                  <c:v>3.9806453659427267E-12</c:v>
                </c:pt>
                <c:pt idx="194">
                  <c:v>3.9806453659427267E-12</c:v>
                </c:pt>
                <c:pt idx="195">
                  <c:v>3.9806453659427267E-12</c:v>
                </c:pt>
                <c:pt idx="196">
                  <c:v>3.9806453659427267E-12</c:v>
                </c:pt>
                <c:pt idx="197">
                  <c:v>3.9806453659427267E-12</c:v>
                </c:pt>
                <c:pt idx="198">
                  <c:v>3.9806453659427267E-12</c:v>
                </c:pt>
                <c:pt idx="199">
                  <c:v>3.9806453659427267E-12</c:v>
                </c:pt>
                <c:pt idx="200">
                  <c:v>3.9806453659427267E-12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2.5056460090303925</c:v>
                </c:pt>
                <c:pt idx="2">
                  <c:v>3.327732738846354</c:v>
                </c:pt>
                <c:pt idx="3">
                  <c:v>4.4206485604712045</c:v>
                </c:pt>
                <c:pt idx="4">
                  <c:v>5.8739591407388465</c:v>
                </c:pt>
                <c:pt idx="5">
                  <c:v>7.8069564008888577</c:v>
                </c:pt>
                <c:pt idx="6">
                  <c:v>10.378557094398952</c:v>
                </c:pt>
                <c:pt idx="7">
                  <c:v>13.800507525415135</c:v>
                </c:pt>
                <c:pt idx="8">
                  <c:v>18.355001719973249</c:v>
                </c:pt>
                <c:pt idx="9">
                  <c:v>24.418192160645134</c:v>
                </c:pt>
                <c:pt idx="10">
                  <c:v>32.491569113944941</c:v>
                </c:pt>
                <c:pt idx="11">
                  <c:v>44.716696017915012</c:v>
                </c:pt>
                <c:pt idx="12">
                  <c:v>68.267356266852531</c:v>
                </c:pt>
                <c:pt idx="13">
                  <c:v>91.605526277825675</c:v>
                </c:pt>
                <c:pt idx="14">
                  <c:v>114.79386073387417</c:v>
                </c:pt>
                <c:pt idx="15">
                  <c:v>137.86711899238378</c:v>
                </c:pt>
                <c:pt idx="16">
                  <c:v>96.447363572255242</c:v>
                </c:pt>
                <c:pt idx="17">
                  <c:v>122.49645924610256</c:v>
                </c:pt>
                <c:pt idx="18">
                  <c:v>148.41023510355402</c:v>
                </c:pt>
                <c:pt idx="19">
                  <c:v>174.21574506160064</c:v>
                </c:pt>
                <c:pt idx="20">
                  <c:v>199.93131520555619</c:v>
                </c:pt>
                <c:pt idx="21">
                  <c:v>159.89147845501216</c:v>
                </c:pt>
                <c:pt idx="22">
                  <c:v>186.6076360513151</c:v>
                </c:pt>
                <c:pt idx="23">
                  <c:v>213.23441535885948</c:v>
                </c:pt>
                <c:pt idx="24">
                  <c:v>239.78455379251184</c:v>
                </c:pt>
                <c:pt idx="25">
                  <c:v>266.26773098057953</c:v>
                </c:pt>
                <c:pt idx="26">
                  <c:v>225.88624492093732</c:v>
                </c:pt>
                <c:pt idx="27">
                  <c:v>251.77283729785236</c:v>
                </c:pt>
                <c:pt idx="28">
                  <c:v>277.59910531675155</c:v>
                </c:pt>
                <c:pt idx="29">
                  <c:v>303.37144778612094</c:v>
                </c:pt>
                <c:pt idx="30">
                  <c:v>329.09508705409212</c:v>
                </c:pt>
                <c:pt idx="31">
                  <c:v>287.03396888617937</c:v>
                </c:pt>
                <c:pt idx="32">
                  <c:v>310.90515078463847</c:v>
                </c:pt>
                <c:pt idx="33">
                  <c:v>334.73566468440248</c:v>
                </c:pt>
                <c:pt idx="34">
                  <c:v>358.52881092769786</c:v>
                </c:pt>
                <c:pt idx="35">
                  <c:v>382.28741618096228</c:v>
                </c:pt>
                <c:pt idx="36">
                  <c:v>337.24191352703082</c:v>
                </c:pt>
                <c:pt idx="37">
                  <c:v>357.90312952366207</c:v>
                </c:pt>
                <c:pt idx="38">
                  <c:v>378.53824995849158</c:v>
                </c:pt>
                <c:pt idx="39">
                  <c:v>399.14889663922986</c:v>
                </c:pt>
                <c:pt idx="40">
                  <c:v>419.73651029301618</c:v>
                </c:pt>
                <c:pt idx="41">
                  <c:v>375.10080417289322</c:v>
                </c:pt>
                <c:pt idx="42">
                  <c:v>392.90574133229569</c:v>
                </c:pt>
                <c:pt idx="43">
                  <c:v>410.69318870493333</c:v>
                </c:pt>
                <c:pt idx="44">
                  <c:v>428.46401008226007</c:v>
                </c:pt>
                <c:pt idx="45">
                  <c:v>446.21899178570357</c:v>
                </c:pt>
                <c:pt idx="46">
                  <c:v>420.98353332932442</c:v>
                </c:pt>
                <c:pt idx="47">
                  <c:v>436.25318896943855</c:v>
                </c:pt>
                <c:pt idx="48">
                  <c:v>451.51137887574367</c:v>
                </c:pt>
                <c:pt idx="49">
                  <c:v>466.75854497480481</c:v>
                </c:pt>
                <c:pt idx="50">
                  <c:v>481.99509797473166</c:v>
                </c:pt>
                <c:pt idx="51">
                  <c:v>462.4033121825118</c:v>
                </c:pt>
                <c:pt idx="52">
                  <c:v>475.46642110106609</c:v>
                </c:pt>
                <c:pt idx="53">
                  <c:v>488.5218960991653</c:v>
                </c:pt>
                <c:pt idx="54">
                  <c:v>501.5699699024297</c:v>
                </c:pt>
                <c:pt idx="55">
                  <c:v>514.61086214265526</c:v>
                </c:pt>
                <c:pt idx="56">
                  <c:v>498.15332008482136</c:v>
                </c:pt>
                <c:pt idx="57">
                  <c:v>509.64373653602433</c:v>
                </c:pt>
                <c:pt idx="58">
                  <c:v>521.12868049361134</c:v>
                </c:pt>
                <c:pt idx="59">
                  <c:v>532.60828955263503</c:v>
                </c:pt>
                <c:pt idx="60">
                  <c:v>544.08269489370571</c:v>
                </c:pt>
                <c:pt idx="61">
                  <c:v>527.02427283891677</c:v>
                </c:pt>
                <c:pt idx="62">
                  <c:v>536.330282305266</c:v>
                </c:pt>
                <c:pt idx="63">
                  <c:v>545.63289799541383</c:v>
                </c:pt>
                <c:pt idx="64">
                  <c:v>554.9321859329965</c:v>
                </c:pt>
                <c:pt idx="65">
                  <c:v>564.22820974827573</c:v>
                </c:pt>
                <c:pt idx="66">
                  <c:v>547.4930197333249</c:v>
                </c:pt>
                <c:pt idx="67">
                  <c:v>555.55202171385451</c:v>
                </c:pt>
                <c:pt idx="68">
                  <c:v>563.60857513569988</c:v>
                </c:pt>
                <c:pt idx="69">
                  <c:v>571.66271994120405</c:v>
                </c:pt>
                <c:pt idx="70">
                  <c:v>579.71449485526693</c:v>
                </c:pt>
                <c:pt idx="71">
                  <c:v>563.9183942223159</c:v>
                </c:pt>
                <c:pt idx="72">
                  <c:v>571.35298920709954</c:v>
                </c:pt>
                <c:pt idx="73">
                  <c:v>578.78556363786606</c:v>
                </c:pt>
                <c:pt idx="74">
                  <c:v>586.21614712582311</c:v>
                </c:pt>
                <c:pt idx="75">
                  <c:v>593.64476847015783</c:v>
                </c:pt>
                <c:pt idx="76">
                  <c:v>578.47591298878478</c:v>
                </c:pt>
                <c:pt idx="77">
                  <c:v>584.97785357240684</c:v>
                </c:pt>
                <c:pt idx="78">
                  <c:v>591.47828826876241</c:v>
                </c:pt>
                <c:pt idx="79">
                  <c:v>597.97723596598223</c:v>
                </c:pt>
                <c:pt idx="80">
                  <c:v>604.47471510805701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2.1235768107516506</c:v>
                </c:pt>
                <c:pt idx="2">
                  <c:v>3.1747774382906919</c:v>
                </c:pt>
                <c:pt idx="3">
                  <c:v>4.7487335057765518</c:v>
                </c:pt>
                <c:pt idx="4">
                  <c:v>7.1065266585855369</c:v>
                </c:pt>
                <c:pt idx="5">
                  <c:v>10.64015134219788</c:v>
                </c:pt>
                <c:pt idx="6">
                  <c:v>15.938398260732454</c:v>
                </c:pt>
                <c:pt idx="7">
                  <c:v>23.886005345963287</c:v>
                </c:pt>
                <c:pt idx="8">
                  <c:v>35.812925399151389</c:v>
                </c:pt>
                <c:pt idx="9">
                  <c:v>53.719116545060238</c:v>
                </c:pt>
                <c:pt idx="10">
                  <c:v>80.613174971542193</c:v>
                </c:pt>
                <c:pt idx="11">
                  <c:v>81.819481103992061</c:v>
                </c:pt>
                <c:pt idx="12">
                  <c:v>104.66135602287243</c:v>
                </c:pt>
                <c:pt idx="13">
                  <c:v>127.37953432582198</c:v>
                </c:pt>
                <c:pt idx="14">
                  <c:v>149.99929195346508</c:v>
                </c:pt>
                <c:pt idx="15">
                  <c:v>172.53759735059677</c:v>
                </c:pt>
                <c:pt idx="16">
                  <c:v>147.62234714684953</c:v>
                </c:pt>
                <c:pt idx="17">
                  <c:v>171.35318959873044</c:v>
                </c:pt>
                <c:pt idx="18">
                  <c:v>195.00660139274046</c:v>
                </c:pt>
                <c:pt idx="19">
                  <c:v>218.59330254631723</c:v>
                </c:pt>
                <c:pt idx="20">
                  <c:v>242.12150514745778</c:v>
                </c:pt>
                <c:pt idx="21">
                  <c:v>207.75113458127905</c:v>
                </c:pt>
                <c:pt idx="22">
                  <c:v>228.71718675190144</c:v>
                </c:pt>
                <c:pt idx="23">
                  <c:v>249.63927196919656</c:v>
                </c:pt>
                <c:pt idx="24">
                  <c:v>270.52159270562908</c:v>
                </c:pt>
                <c:pt idx="25">
                  <c:v>291.36764931760484</c:v>
                </c:pt>
                <c:pt idx="26">
                  <c:v>256.68251225156041</c:v>
                </c:pt>
                <c:pt idx="27">
                  <c:v>273.56870812584953</c:v>
                </c:pt>
                <c:pt idx="28">
                  <c:v>290.43148311155869</c:v>
                </c:pt>
                <c:pt idx="29">
                  <c:v>307.2723882972831</c:v>
                </c:pt>
                <c:pt idx="30">
                  <c:v>324.09279084959798</c:v>
                </c:pt>
                <c:pt idx="31">
                  <c:v>293.70777135039339</c:v>
                </c:pt>
                <c:pt idx="32">
                  <c:v>306.57110217476514</c:v>
                </c:pt>
                <c:pt idx="33">
                  <c:v>319.42244094831835</c:v>
                </c:pt>
                <c:pt idx="34">
                  <c:v>332.26233823070532</c:v>
                </c:pt>
                <c:pt idx="35">
                  <c:v>345.0912985456078</c:v>
                </c:pt>
                <c:pt idx="36">
                  <c:v>320.82370358138422</c:v>
                </c:pt>
                <c:pt idx="37">
                  <c:v>330.39540802868294</c:v>
                </c:pt>
                <c:pt idx="38">
                  <c:v>339.96099631182739</c:v>
                </c:pt>
                <c:pt idx="39">
                  <c:v>349.52066488969587</c:v>
                </c:pt>
                <c:pt idx="40">
                  <c:v>359.07459859126055</c:v>
                </c:pt>
                <c:pt idx="41">
                  <c:v>340.42745740486811</c:v>
                </c:pt>
                <c:pt idx="42">
                  <c:v>347.42269858873755</c:v>
                </c:pt>
                <c:pt idx="43">
                  <c:v>354.41484835314117</c:v>
                </c:pt>
                <c:pt idx="44">
                  <c:v>361.40397634816742</c:v>
                </c:pt>
                <c:pt idx="45">
                  <c:v>368.39014930773493</c:v>
                </c:pt>
                <c:pt idx="46">
                  <c:v>354.64786759228599</c:v>
                </c:pt>
                <c:pt idx="47">
                  <c:v>359.5405005242755</c:v>
                </c:pt>
                <c:pt idx="48">
                  <c:v>364.43167696167416</c:v>
                </c:pt>
                <c:pt idx="49">
                  <c:v>369.3214192353098</c:v>
                </c:pt>
                <c:pt idx="50">
                  <c:v>374.20974903573392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C101" sqref="C101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1.1100000000000001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324</v>
      </c>
      <c r="C9" s="35">
        <v>0.33300000000000002</v>
      </c>
      <c r="D9" s="36">
        <f t="shared" ref="D9:D18" si="0">C9*$C$5</f>
        <v>0.36963000000000007</v>
      </c>
      <c r="E9" s="37">
        <v>90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8</v>
      </c>
      <c r="C10" s="35">
        <v>0.33300000000000002</v>
      </c>
      <c r="D10" s="36">
        <f t="shared" si="0"/>
        <v>0.36963000000000007</v>
      </c>
      <c r="E10" s="37">
        <v>80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 t="s">
        <v>81</v>
      </c>
      <c r="C11" s="35">
        <v>0.33300000000000002</v>
      </c>
      <c r="D11" s="36">
        <f t="shared" si="0"/>
        <v>0.36963000000000007</v>
      </c>
      <c r="E11" s="37">
        <v>50</v>
      </c>
      <c r="F11" s="38" t="str">
        <f t="array" ref="F11">IF(E11="","",IF(INDEX(A:A,MAX(IF(ISNUMBER($A$88:$A$107),ROW($A$88:$A$107),"")))&lt;&gt;E11,"Corrigez : révolution incorrecte","OK"))</f>
        <v>OK</v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0.99900000000000011</v>
      </c>
      <c r="D19" s="41">
        <f>SUM(D9:D18)</f>
        <v>1.1088900000000002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chêne rouge d'amérique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20</v>
      </c>
      <c r="B36" s="63">
        <v>57</v>
      </c>
      <c r="C36" s="63">
        <v>1</v>
      </c>
      <c r="D36" s="63">
        <v>4</v>
      </c>
      <c r="E36" s="54"/>
      <c r="F36" s="54"/>
      <c r="G36" s="54">
        <v>1</v>
      </c>
      <c r="H36" s="54"/>
      <c r="I36" s="52">
        <f>IFERROR(B36/A36,"")</f>
        <v>2.85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25</v>
      </c>
      <c r="B37" s="63">
        <v>90</v>
      </c>
      <c r="C37" s="63">
        <v>2</v>
      </c>
      <c r="D37" s="63">
        <v>20</v>
      </c>
      <c r="E37" s="54"/>
      <c r="F37" s="54"/>
      <c r="G37" s="54">
        <v>1</v>
      </c>
      <c r="H37" s="54"/>
      <c r="I37" s="56">
        <f t="shared" ref="I37:I55" si="1">IF(A37&lt;&gt;0,(B37-(B36-D36))/(A37-A36),"")</f>
        <v>7.4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30</v>
      </c>
      <c r="B38" s="63">
        <v>106</v>
      </c>
      <c r="C38" s="63">
        <v>3</v>
      </c>
      <c r="D38" s="63">
        <v>20</v>
      </c>
      <c r="E38" s="54"/>
      <c r="F38" s="54"/>
      <c r="G38" s="54">
        <v>1</v>
      </c>
      <c r="H38" s="54"/>
      <c r="I38" s="56">
        <f t="shared" si="1"/>
        <v>7.2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35</v>
      </c>
      <c r="B39" s="63">
        <v>119</v>
      </c>
      <c r="C39" s="63">
        <v>4</v>
      </c>
      <c r="D39" s="63">
        <v>20</v>
      </c>
      <c r="E39" s="54"/>
      <c r="F39" s="54"/>
      <c r="G39" s="54"/>
      <c r="H39" s="54"/>
      <c r="I39" s="52">
        <f t="shared" si="1"/>
        <v>6.6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40</v>
      </c>
      <c r="B40" s="63">
        <v>130</v>
      </c>
      <c r="C40" s="63">
        <v>5</v>
      </c>
      <c r="D40" s="63">
        <v>19</v>
      </c>
      <c r="E40" s="54"/>
      <c r="F40" s="54"/>
      <c r="G40" s="54"/>
      <c r="H40" s="54"/>
      <c r="I40" s="52">
        <f t="shared" si="1"/>
        <v>6.2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45</v>
      </c>
      <c r="B41" s="63">
        <v>138</v>
      </c>
      <c r="C41" s="63">
        <v>6</v>
      </c>
      <c r="D41" s="63">
        <v>17</v>
      </c>
      <c r="E41" s="54"/>
      <c r="F41" s="54"/>
      <c r="G41" s="54"/>
      <c r="H41" s="54"/>
      <c r="I41" s="56">
        <f t="shared" si="1"/>
        <v>5.4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50</v>
      </c>
      <c r="B42" s="63">
        <v>145</v>
      </c>
      <c r="C42" s="63">
        <v>7</v>
      </c>
      <c r="D42" s="63">
        <v>16</v>
      </c>
      <c r="E42" s="54"/>
      <c r="F42" s="54"/>
      <c r="G42" s="54"/>
      <c r="H42" s="54"/>
      <c r="I42" s="56">
        <f t="shared" si="1"/>
        <v>4.8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>
        <v>55</v>
      </c>
      <c r="B43" s="63">
        <v>151</v>
      </c>
      <c r="C43" s="63">
        <v>8</v>
      </c>
      <c r="D43" s="63">
        <v>14</v>
      </c>
      <c r="E43" s="54"/>
      <c r="F43" s="54"/>
      <c r="G43" s="54"/>
      <c r="H43" s="54"/>
      <c r="I43" s="52">
        <f t="shared" si="1"/>
        <v>4.4000000000000004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>
        <v>60</v>
      </c>
      <c r="B44" s="63">
        <v>156</v>
      </c>
      <c r="C44" s="63">
        <v>9</v>
      </c>
      <c r="D44" s="63">
        <v>13</v>
      </c>
      <c r="E44" s="54"/>
      <c r="F44" s="54"/>
      <c r="G44" s="54"/>
      <c r="H44" s="54"/>
      <c r="I44" s="52">
        <f t="shared" si="1"/>
        <v>3.8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>
        <v>65</v>
      </c>
      <c r="B45" s="63">
        <v>160</v>
      </c>
      <c r="C45" s="63">
        <v>10</v>
      </c>
      <c r="D45" s="63">
        <v>11</v>
      </c>
      <c r="E45" s="54"/>
      <c r="F45" s="54"/>
      <c r="G45" s="54"/>
      <c r="H45" s="54"/>
      <c r="I45" s="52">
        <f t="shared" si="1"/>
        <v>3.4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>
        <v>70</v>
      </c>
      <c r="B46" s="63">
        <v>163</v>
      </c>
      <c r="C46" s="63">
        <v>11</v>
      </c>
      <c r="D46" s="63">
        <v>10</v>
      </c>
      <c r="E46" s="54"/>
      <c r="F46" s="54"/>
      <c r="G46" s="54"/>
      <c r="H46" s="54"/>
      <c r="I46" s="52">
        <f t="shared" si="1"/>
        <v>2.8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>
        <v>75</v>
      </c>
      <c r="B47" s="63">
        <v>166</v>
      </c>
      <c r="C47" s="63">
        <v>12</v>
      </c>
      <c r="D47" s="63">
        <v>9</v>
      </c>
      <c r="E47" s="54"/>
      <c r="F47" s="54"/>
      <c r="G47" s="54"/>
      <c r="H47" s="54"/>
      <c r="I47" s="52">
        <f t="shared" si="1"/>
        <v>2.6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>
        <v>80</v>
      </c>
      <c r="B48" s="63">
        <v>168</v>
      </c>
      <c r="C48" s="63">
        <v>13</v>
      </c>
      <c r="D48" s="63">
        <v>8</v>
      </c>
      <c r="E48" s="54"/>
      <c r="F48" s="54"/>
      <c r="G48" s="54"/>
      <c r="H48" s="54"/>
      <c r="I48" s="52">
        <f t="shared" si="1"/>
        <v>2.2000000000000002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>
        <v>85</v>
      </c>
      <c r="B49" s="63">
        <v>170</v>
      </c>
      <c r="C49" s="63">
        <v>14</v>
      </c>
      <c r="D49" s="63">
        <v>7</v>
      </c>
      <c r="E49" s="54"/>
      <c r="F49" s="54"/>
      <c r="G49" s="54"/>
      <c r="H49" s="54"/>
      <c r="I49" s="52">
        <f t="shared" si="1"/>
        <v>2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>
        <v>90</v>
      </c>
      <c r="B50" s="53">
        <v>171</v>
      </c>
      <c r="C50" s="53">
        <v>15</v>
      </c>
      <c r="D50" s="53">
        <v>171</v>
      </c>
      <c r="E50" s="54"/>
      <c r="F50" s="54"/>
      <c r="G50" s="54"/>
      <c r="H50" s="54"/>
      <c r="I50" s="52">
        <f t="shared" si="1"/>
        <v>1.6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Châtaignier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10</v>
      </c>
      <c r="B62" s="63">
        <v>19</v>
      </c>
      <c r="C62" s="63">
        <v>1</v>
      </c>
      <c r="D62" s="63">
        <v>7</v>
      </c>
      <c r="E62" s="54"/>
      <c r="F62" s="54"/>
      <c r="G62" s="54"/>
      <c r="H62" s="54">
        <v>1</v>
      </c>
      <c r="I62" s="56">
        <f>IFERROR(B62/A62,"")</f>
        <v>1.9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15</v>
      </c>
      <c r="B63" s="63">
        <v>84</v>
      </c>
      <c r="C63" s="63">
        <v>2</v>
      </c>
      <c r="D63" s="63">
        <v>42</v>
      </c>
      <c r="E63" s="54"/>
      <c r="F63" s="54"/>
      <c r="G63" s="54"/>
      <c r="H63" s="54">
        <v>1</v>
      </c>
      <c r="I63" s="52">
        <f>IF(A63&lt;&gt;0,(B63-(B62-D62))/(A63-A62),"")</f>
        <v>14.4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20</v>
      </c>
      <c r="B64" s="63">
        <v>123</v>
      </c>
      <c r="C64" s="63">
        <v>3</v>
      </c>
      <c r="D64" s="63">
        <v>42</v>
      </c>
      <c r="E64" s="54"/>
      <c r="F64" s="54"/>
      <c r="G64" s="54"/>
      <c r="H64" s="54">
        <v>1</v>
      </c>
      <c r="I64" s="52">
        <f>IF(A64&lt;&gt;0,(B64-(B63-D63))/(A64-A63),"")</f>
        <v>16.2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25</v>
      </c>
      <c r="B65" s="63">
        <v>165</v>
      </c>
      <c r="C65" s="63">
        <v>4</v>
      </c>
      <c r="D65" s="63">
        <v>42</v>
      </c>
      <c r="E65" s="54"/>
      <c r="F65" s="54">
        <v>0.2</v>
      </c>
      <c r="G65" s="54"/>
      <c r="H65" s="54">
        <v>0.8</v>
      </c>
      <c r="I65" s="52">
        <f>IF(A65&lt;&gt;0,(B65-(B64-D64))/(A65-A64),"")</f>
        <v>16.8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30</v>
      </c>
      <c r="B66" s="63">
        <v>205</v>
      </c>
      <c r="C66" s="63">
        <v>5</v>
      </c>
      <c r="D66" s="63">
        <v>42</v>
      </c>
      <c r="E66" s="54"/>
      <c r="F66" s="54">
        <v>0.2</v>
      </c>
      <c r="G66" s="54"/>
      <c r="H66" s="54">
        <v>0.8</v>
      </c>
      <c r="I66" s="52">
        <f t="shared" ref="I66:I81" si="2">IF(A66&lt;&gt;0,(B66-(B65-D65))/(A66-A65),"")</f>
        <v>16.399999999999999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35</v>
      </c>
      <c r="B67" s="63">
        <v>239</v>
      </c>
      <c r="C67" s="63">
        <v>6</v>
      </c>
      <c r="D67" s="63">
        <v>42</v>
      </c>
      <c r="E67" s="54"/>
      <c r="F67" s="54"/>
      <c r="G67" s="54"/>
      <c r="H67" s="54"/>
      <c r="I67" s="52">
        <f t="shared" si="2"/>
        <v>15.2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40</v>
      </c>
      <c r="B68" s="63">
        <v>263</v>
      </c>
      <c r="C68" s="63">
        <v>7</v>
      </c>
      <c r="D68" s="63">
        <v>40</v>
      </c>
      <c r="E68" s="54"/>
      <c r="F68" s="54"/>
      <c r="G68" s="54"/>
      <c r="H68" s="54"/>
      <c r="I68" s="52">
        <f t="shared" si="2"/>
        <v>13.2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>
        <v>45</v>
      </c>
      <c r="B69" s="53">
        <v>280</v>
      </c>
      <c r="C69" s="53">
        <v>8</v>
      </c>
      <c r="D69" s="53">
        <v>26</v>
      </c>
      <c r="E69" s="54"/>
      <c r="F69" s="54"/>
      <c r="G69" s="54"/>
      <c r="H69" s="54"/>
      <c r="I69" s="52">
        <f t="shared" si="2"/>
        <v>11.4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>
        <v>50</v>
      </c>
      <c r="B70" s="53">
        <v>303</v>
      </c>
      <c r="C70" s="53">
        <v>9</v>
      </c>
      <c r="D70" s="53">
        <v>21</v>
      </c>
      <c r="E70" s="54"/>
      <c r="F70" s="54"/>
      <c r="G70" s="54"/>
      <c r="H70" s="54"/>
      <c r="I70" s="52">
        <f t="shared" si="2"/>
        <v>9.8000000000000007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>
        <v>55</v>
      </c>
      <c r="B71" s="53">
        <v>324</v>
      </c>
      <c r="C71" s="53">
        <v>10</v>
      </c>
      <c r="D71" s="53">
        <v>18</v>
      </c>
      <c r="E71" s="54"/>
      <c r="F71" s="54"/>
      <c r="G71" s="54"/>
      <c r="H71" s="54"/>
      <c r="I71" s="52">
        <f t="shared" si="2"/>
        <v>8.4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>
        <v>60</v>
      </c>
      <c r="B72" s="53">
        <v>343</v>
      </c>
      <c r="C72" s="53">
        <v>11</v>
      </c>
      <c r="D72" s="53">
        <v>17</v>
      </c>
      <c r="E72" s="54"/>
      <c r="F72" s="54"/>
      <c r="G72" s="54"/>
      <c r="H72" s="54"/>
      <c r="I72" s="52">
        <f t="shared" si="2"/>
        <v>7.4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>
        <v>65</v>
      </c>
      <c r="B73" s="53">
        <v>356</v>
      </c>
      <c r="C73" s="53">
        <v>12</v>
      </c>
      <c r="D73" s="53">
        <v>16</v>
      </c>
      <c r="E73" s="54"/>
      <c r="F73" s="54"/>
      <c r="G73" s="54"/>
      <c r="H73" s="54"/>
      <c r="I73" s="52">
        <f t="shared" si="2"/>
        <v>6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>
        <v>70</v>
      </c>
      <c r="B74" s="53">
        <v>366</v>
      </c>
      <c r="C74" s="53">
        <v>13</v>
      </c>
      <c r="D74" s="53">
        <v>15</v>
      </c>
      <c r="E74" s="54"/>
      <c r="F74" s="54"/>
      <c r="G74" s="54"/>
      <c r="H74" s="54"/>
      <c r="I74" s="52">
        <f t="shared" si="2"/>
        <v>5.2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>
        <v>75</v>
      </c>
      <c r="B75" s="53">
        <v>375</v>
      </c>
      <c r="C75" s="53">
        <v>14</v>
      </c>
      <c r="D75" s="53">
        <v>14</v>
      </c>
      <c r="E75" s="54"/>
      <c r="F75" s="54"/>
      <c r="G75" s="54"/>
      <c r="H75" s="54"/>
      <c r="I75" s="52">
        <f t="shared" si="2"/>
        <v>4.8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>
        <v>80</v>
      </c>
      <c r="B76" s="53">
        <v>382</v>
      </c>
      <c r="C76" s="53">
        <v>15</v>
      </c>
      <c r="D76" s="53">
        <v>382</v>
      </c>
      <c r="E76" s="54"/>
      <c r="F76" s="54"/>
      <c r="G76" s="54"/>
      <c r="H76" s="54"/>
      <c r="I76" s="52">
        <f t="shared" si="2"/>
        <v>4.2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>Mélèze hybride</v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>
        <v>10</v>
      </c>
      <c r="B88" s="63">
        <v>65</v>
      </c>
      <c r="C88" s="63">
        <v>1</v>
      </c>
      <c r="D88" s="63">
        <v>18</v>
      </c>
      <c r="E88" s="54"/>
      <c r="F88" s="54"/>
      <c r="G88" s="54">
        <v>1</v>
      </c>
      <c r="H88" s="93"/>
      <c r="I88" s="56">
        <f>IFERROR(B88/A88,"")</f>
        <v>6.5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>
        <v>15</v>
      </c>
      <c r="B89" s="63">
        <f>160-18</f>
        <v>142</v>
      </c>
      <c r="C89" s="63">
        <v>2</v>
      </c>
      <c r="D89" s="63">
        <v>41</v>
      </c>
      <c r="E89" s="54"/>
      <c r="F89" s="54"/>
      <c r="G89" s="54">
        <v>1</v>
      </c>
      <c r="H89" s="93"/>
      <c r="I89" s="56">
        <f t="shared" ref="I89:I107" si="3">IF(A89&lt;&gt;0,(B89-(B88-D88))/(A89-A88),"")</f>
        <v>19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>
        <v>20</v>
      </c>
      <c r="B90" s="63">
        <f>260-41-18</f>
        <v>201</v>
      </c>
      <c r="C90" s="63">
        <v>3</v>
      </c>
      <c r="D90" s="63">
        <v>47</v>
      </c>
      <c r="E90" s="93"/>
      <c r="F90" s="93"/>
      <c r="G90" s="93">
        <v>1</v>
      </c>
      <c r="H90" s="93"/>
      <c r="I90" s="56">
        <f t="shared" si="3"/>
        <v>20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>
        <v>25</v>
      </c>
      <c r="B91" s="63">
        <f>349-47-41-18</f>
        <v>243</v>
      </c>
      <c r="C91" s="63">
        <v>4</v>
      </c>
      <c r="D91" s="63">
        <v>44</v>
      </c>
      <c r="E91" s="93">
        <v>0.2</v>
      </c>
      <c r="F91" s="93">
        <v>0.2</v>
      </c>
      <c r="G91" s="93">
        <v>0.6</v>
      </c>
      <c r="H91" s="93"/>
      <c r="I91" s="56">
        <f t="shared" si="3"/>
        <v>17.8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>
        <v>30</v>
      </c>
      <c r="B92" s="63">
        <f>421-44-47-41-18</f>
        <v>271</v>
      </c>
      <c r="C92" s="63">
        <v>5</v>
      </c>
      <c r="D92" s="63">
        <v>37</v>
      </c>
      <c r="E92" s="93">
        <v>0.2</v>
      </c>
      <c r="F92" s="93">
        <v>0.2</v>
      </c>
      <c r="G92" s="93">
        <v>0.6</v>
      </c>
      <c r="H92" s="93"/>
      <c r="I92" s="56">
        <f t="shared" si="3"/>
        <v>14.4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>
        <v>35</v>
      </c>
      <c r="B93" s="63">
        <f>476-37-44-47-41-18</f>
        <v>289</v>
      </c>
      <c r="C93" s="63">
        <v>6</v>
      </c>
      <c r="D93" s="63">
        <v>29</v>
      </c>
      <c r="E93" s="93"/>
      <c r="F93" s="93"/>
      <c r="G93" s="93"/>
      <c r="H93" s="93"/>
      <c r="I93" s="56">
        <f t="shared" si="3"/>
        <v>11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>
        <v>40</v>
      </c>
      <c r="B94" s="63">
        <f>517-29-37-44-47-41-18</f>
        <v>301</v>
      </c>
      <c r="C94" s="63">
        <v>7</v>
      </c>
      <c r="D94" s="63">
        <v>22</v>
      </c>
      <c r="E94" s="93"/>
      <c r="F94" s="93"/>
      <c r="G94" s="93"/>
      <c r="H94" s="93"/>
      <c r="I94" s="56">
        <f t="shared" si="3"/>
        <v>8.1999999999999993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>
        <v>45</v>
      </c>
      <c r="B95" s="63">
        <f>547-22-29-37-44-47-41-18</f>
        <v>309</v>
      </c>
      <c r="C95" s="63">
        <v>8</v>
      </c>
      <c r="D95" s="63">
        <v>16</v>
      </c>
      <c r="E95" s="93"/>
      <c r="F95" s="93"/>
      <c r="G95" s="93"/>
      <c r="H95" s="93"/>
      <c r="I95" s="56">
        <f t="shared" si="3"/>
        <v>6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>
        <v>50</v>
      </c>
      <c r="B96" s="63">
        <f>568-16-22-29-37-44-47-41-18</f>
        <v>314</v>
      </c>
      <c r="C96" s="63">
        <v>9</v>
      </c>
      <c r="D96" s="63">
        <v>314</v>
      </c>
      <c r="E96" s="93"/>
      <c r="F96" s="93"/>
      <c r="G96" s="93"/>
      <c r="H96" s="93"/>
      <c r="I96" s="56">
        <f t="shared" si="3"/>
        <v>4.2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0" sqref="G20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1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chêne rouge d'amérique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Châtaignier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>Mélèze hybride</v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149.01553333688895</v>
      </c>
      <c r="T3" s="62">
        <f>IF('Données projet'!E9&gt;30,$R$33-$H$33,LOOKUP('Données projet'!$E$9,$A$3:$A$203,R3:R203)-LOOKUP('Données projet'!$E$9,$A$3:$A$203,$H$3:$H$203))</f>
        <v>180.75293059562205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296.15681058372093</v>
      </c>
      <c r="AO3" s="62">
        <f>IF('Données projet'!E10&gt;30,$AM$33-$H$33,LOOKUP('Données projet'!$E$10,$A$3:$A$203,AM3:AM203)-LOOKUP('Données projet'!$E$10,$A$3:$A$203,$H$3:$H$203))</f>
        <v>304.69148609083879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256.66666666666669</v>
      </c>
      <c r="BI3" s="62">
        <f ca="1">AVERAGE(OFFSET($BH$3,0,0,'Données projet'!$E$11+1,1))-AVERAGE(OFFSET($H$3,0,0,'Données projet'!$E$11+1,1))</f>
        <v>198.95219623447554</v>
      </c>
      <c r="BJ3" s="62">
        <f>IF('Données projet'!E11&gt;30,$BH$33-$H$33,LOOKUP('Données projet'!$E$11,$A$3:$A$203,BH3:BH203)-LOOKUP('Données projet'!$E$11,$A$3:$A$203,$H$3:$H$203))</f>
        <v>299.68918988634471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2">
        <f>IFERROR(EXP(-1.0587+0.8836*LN(C4)+0.284),0)</f>
        <v>0.41542055579923082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70">
        <f t="shared" ref="H4:H67" si="1">(B4+E4+F4)*44/12+(C4+D4)*0.475*44/12</f>
        <v>258.93888080135036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2.85</v>
      </c>
      <c r="N4" s="14">
        <f>IF('Données projet'!$A$36&gt;35,N3+M4-V3,IF(A4&lt;'Données projet'!$A$36,$K$205^A4,IF(A4='Données projet'!$A$36,'Données projet'!$B$36,N3+M4-V3)))</f>
        <v>1.2240347367580502</v>
      </c>
      <c r="O4" s="14">
        <f>N4*VLOOKUP('Données projet'!$B$9,Paramètres!$A$1:$I$89,3,0)*VLOOKUP('Données projet'!$B$9,Paramètres!$A$1:$I$89,5,0)</f>
        <v>1.0693167460318327</v>
      </c>
      <c r="P4" s="14">
        <f>EXP(-1.0587+0.8836*LN(O4)+0.284)</f>
        <v>0.48895675660122978</v>
      </c>
      <c r="Q4" s="22">
        <f t="shared" ref="Q4:Q34" si="2">(O4+P4)*0.475*44/12</f>
        <v>2.713993017085917</v>
      </c>
      <c r="R4" s="62">
        <f t="shared" si="0"/>
        <v>260.60288190597475</v>
      </c>
      <c r="S4" s="62">
        <f ca="1">AVERAGE(OFFSET($R$3,0,0,'Données projet'!$E$9+1,1))-AVERAGE(OFFSET($H$3,0,0,'Données projet'!$E$9+1,1))</f>
        <v>149.01553333688895</v>
      </c>
      <c r="T4" s="62">
        <f>$T$3</f>
        <v>180.75293059562205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1.9</v>
      </c>
      <c r="AI4" s="14">
        <f>IF('Données projet'!$A$62&gt;35,AI3+AH4-AQ3,IF(A4&lt;'Données projet'!$A$62,$AF$205^A4,IF(A4='Données projet'!$A$62,'Données projet'!$B$62,AI3+AH4-AQ3)))</f>
        <v>1.3423796509621049</v>
      </c>
      <c r="AJ4" s="14">
        <f>AI4*VLOOKUP('Données projet'!$B$10,Paramètres!$A$1:$I$89,3,0)*VLOOKUP('Données projet'!$B$10,Paramètres!$A$1:$I$89,5,0)</f>
        <v>0.98423276008541516</v>
      </c>
      <c r="AK4" s="14">
        <f>EXP(-1.0587+0.8836*LN(AJ4)+0.284)</f>
        <v>0.45441566615213064</v>
      </c>
      <c r="AL4" s="22">
        <f t="shared" ref="AL4:AL67" si="4">(AJ4+AK4)*0.475*44/12</f>
        <v>2.5056460090303925</v>
      </c>
      <c r="AM4" s="62">
        <f t="shared" ref="AM4:AM67" si="5">AL4+(AD4+AE4)*44/12</f>
        <v>260.39453489791924</v>
      </c>
      <c r="AN4" s="62">
        <f ca="1">AVERAGE(OFFSET($AM$3,0,0,'Données projet'!$E$10+1,1))-AVERAGE(OFFSET($H$3,0,0,'Données projet'!$E$10+1,1))</f>
        <v>296.15681058372093</v>
      </c>
      <c r="AO4" s="62">
        <f>$AO$3</f>
        <v>304.69148609083879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6.5</v>
      </c>
      <c r="BD4" s="13">
        <f>IF('Données projet'!$A$88&gt;35,BD3+BC4-BL3,IF(A4&lt;'Données projet'!$A$88,$BA$205^A4,IF(A4='Données projet'!$A$88,'Données projet'!$B$88,BD3+BC4-BL3)))</f>
        <v>1.5180683844287584</v>
      </c>
      <c r="BE4" s="14">
        <f>BD4*VLOOKUP('Données projet'!$B$11,Paramètres!$A$1:$I$89,3,0)*VLOOKUP('Données projet'!$B$11,Paramètres!$A$1:$I$89,5,0)</f>
        <v>0.82886533789810213</v>
      </c>
      <c r="BF4" s="14">
        <f>EXP(-1.0587+0.8836*LN(BE4)+0.284)</f>
        <v>0.39041321372963989</v>
      </c>
      <c r="BG4" s="22">
        <f t="shared" ref="BG4:BG67" si="7">(BE4+BF4)*0.475*44/12</f>
        <v>2.1235768107516506</v>
      </c>
      <c r="BH4" s="62">
        <f t="shared" ref="BH4:BH67" si="8">BG4+(AY4+AZ4)*44/12</f>
        <v>260.01246569964053</v>
      </c>
      <c r="BI4" s="62">
        <f ca="1">AVERAGE(OFFSET($BH$3,0,0,'Données projet'!$E$11+1,1))-AVERAGE(OFFSET($H$3,0,0,'Données projet'!$E$11+1,1))</f>
        <v>198.95219623447554</v>
      </c>
      <c r="BJ4" s="62">
        <f>$BJ$3</f>
        <v>299.68918988634471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2">
        <f t="shared" ref="D5:D68" si="32">IFERROR(EXP(-1.0587+0.8836*LN(C5)+0.284),0)</f>
        <v>0.76643986660078545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70">
        <f t="shared" si="1"/>
        <v>261.0989294343297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2.85</v>
      </c>
      <c r="N5" s="14">
        <f>IF('Données projet'!$A$36&gt;35,N4+M5-V4,IF(A5&lt;'Données projet'!$A$36,$K$205^A5,IF(A5='Données projet'!$A$36,'Données projet'!$B$36,N4+M5-V4)))</f>
        <v>1.4982610367903493</v>
      </c>
      <c r="O5" s="14">
        <f>N5*VLOOKUP('Données projet'!$B$9,Paramètres!$A$1:$I$89,3,0)*VLOOKUP('Données projet'!$B$9,Paramètres!$A$1:$I$89,5,0)</f>
        <v>1.3088808417400493</v>
      </c>
      <c r="P5" s="14">
        <f t="shared" ref="P5:P68" si="33">EXP(-1.0587+0.8836*LN(O5)+0.284)</f>
        <v>0.58458141328454194</v>
      </c>
      <c r="Q5" s="22">
        <f t="shared" si="2"/>
        <v>3.297780094167829</v>
      </c>
      <c r="R5" s="62">
        <f t="shared" si="0"/>
        <v>262.40889120527896</v>
      </c>
      <c r="S5" s="62">
        <f ca="1">AVERAGE(OFFSET($R$3,0,0,'Données projet'!$E$9+1,1))-AVERAGE(OFFSET($H$3,0,0,'Données projet'!$E$9+1,1))</f>
        <v>149.01553333688895</v>
      </c>
      <c r="T5" s="62">
        <f t="shared" ref="T5:T68" si="34">$T$3</f>
        <v>180.75293059562205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1.9</v>
      </c>
      <c r="AI5" s="14">
        <f>IF('Données projet'!$A$62&gt;35,AI4+AH5-AQ4,IF(A5&lt;'Données projet'!$A$62,$AF$205^A5,IF(A5='Données projet'!$A$62,'Données projet'!$B$62,AI4+AH5-AQ4)))</f>
        <v>1.8019831273171425</v>
      </c>
      <c r="AJ5" s="14">
        <f>AI5*VLOOKUP('Données projet'!$B$10,Paramètres!$A$1:$I$89,3,0)*VLOOKUP('Données projet'!$B$10,Paramètres!$A$1:$I$89,5,0)</f>
        <v>1.3212140289489287</v>
      </c>
      <c r="AK5" s="14">
        <f t="shared" ref="AK5:AK68" si="35">EXP(-1.0587+0.8836*LN(AJ5)+0.284)</f>
        <v>0.58944591680017422</v>
      </c>
      <c r="AL5" s="22">
        <f t="shared" si="4"/>
        <v>3.327732738846354</v>
      </c>
      <c r="AM5" s="62">
        <f t="shared" si="5"/>
        <v>262.43884384995749</v>
      </c>
      <c r="AN5" s="62">
        <f ca="1">AVERAGE(OFFSET($AM$3,0,0,'Données projet'!$E$10+1,1))-AVERAGE(OFFSET($H$3,0,0,'Données projet'!$E$10+1,1))</f>
        <v>296.15681058372093</v>
      </c>
      <c r="AO5" s="62">
        <f t="shared" ref="AO5:AO68" si="36">$AO$3</f>
        <v>304.69148609083879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6.5</v>
      </c>
      <c r="BD5" s="13">
        <f>IF('Données projet'!$A$88&gt;35,BD4+BC5-BL4,IF(A5&lt;'Données projet'!$A$88,$BA$205^A5,IF(A5='Données projet'!$A$88,'Données projet'!$B$88,BD4+BC5-BL4)))</f>
        <v>2.3045316198021406</v>
      </c>
      <c r="BE5" s="14">
        <f>BD5*VLOOKUP('Données projet'!$B$11,Paramètres!$A$1:$I$89,3,0)*VLOOKUP('Données projet'!$B$11,Paramètres!$A$1:$I$89,5,0)</f>
        <v>1.2582742644119687</v>
      </c>
      <c r="BF5" s="14">
        <f t="shared" ref="BF5:BF68" si="37">EXP(-1.0587+0.8836*LN(BE5)+0.284)</f>
        <v>0.564564456137711</v>
      </c>
      <c r="BG5" s="22">
        <f t="shared" si="7"/>
        <v>3.1747774382906919</v>
      </c>
      <c r="BH5" s="62">
        <f t="shared" si="8"/>
        <v>262.28588854940182</v>
      </c>
      <c r="BI5" s="62">
        <f ca="1">AVERAGE(OFFSET($BH$3,0,0,'Données projet'!$E$11+1,1))-AVERAGE(OFFSET($H$3,0,0,'Données projet'!$E$11+1,1))</f>
        <v>198.95219623447554</v>
      </c>
      <c r="BJ5" s="62">
        <f t="shared" ref="BJ5:BJ68" si="38">$BJ$3</f>
        <v>299.68918988634471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2">
        <f t="shared" si="32"/>
        <v>1.0966608080083624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70">
        <f t="shared" si="1"/>
        <v>263.22275424061456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2.85</v>
      </c>
      <c r="N6" s="14">
        <f>IF('Données projet'!$A$36&gt;35,N5+M6-V5,IF(A6&lt;'Données projet'!$A$36,$K$205^A6,IF(A6='Données projet'!$A$36,'Données projet'!$B$36,N5+M6-V5)))</f>
        <v>1.8339235537625185</v>
      </c>
      <c r="O6" s="14">
        <f>N6*VLOOKUP('Données projet'!$B$9,Paramètres!$A$1:$I$89,3,0)*VLOOKUP('Données projet'!$B$9,Paramètres!$A$1:$I$89,5,0)</f>
        <v>1.6021156165669364</v>
      </c>
      <c r="P6" s="14">
        <f t="shared" si="33"/>
        <v>0.69890726356493671</v>
      </c>
      <c r="Q6" s="22">
        <f t="shared" si="2"/>
        <v>4.0076148495630122</v>
      </c>
      <c r="R6" s="62">
        <f t="shared" si="0"/>
        <v>264.34094818289634</v>
      </c>
      <c r="S6" s="62">
        <f ca="1">AVERAGE(OFFSET($R$3,0,0,'Données projet'!$E$9+1,1))-AVERAGE(OFFSET($H$3,0,0,'Données projet'!$E$9+1,1))</f>
        <v>149.01553333688895</v>
      </c>
      <c r="T6" s="62">
        <f t="shared" si="34"/>
        <v>180.75293059562205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1.9</v>
      </c>
      <c r="AI6" s="14">
        <f>IF('Données projet'!$A$62&gt;35,AI5+AH6-AQ5,IF(A6&lt;'Données projet'!$A$62,$AF$205^A6,IF(A6='Données projet'!$A$62,'Données projet'!$B$62,AI5+AH6-AQ5)))</f>
        <v>2.4189454814875879</v>
      </c>
      <c r="AJ6" s="14">
        <f>AI6*VLOOKUP('Données projet'!$B$10,Paramètres!$A$1:$I$89,3,0)*VLOOKUP('Données projet'!$B$10,Paramètres!$A$1:$I$89,5,0)</f>
        <v>1.7735708270266992</v>
      </c>
      <c r="AK6" s="14">
        <f t="shared" si="35"/>
        <v>0.76460059525341872</v>
      </c>
      <c r="AL6" s="22">
        <f t="shared" si="4"/>
        <v>4.4206485604712045</v>
      </c>
      <c r="AM6" s="62">
        <f t="shared" si="5"/>
        <v>264.75398189380451</v>
      </c>
      <c r="AN6" s="62">
        <f ca="1">AVERAGE(OFFSET($AM$3,0,0,'Données projet'!$E$10+1,1))-AVERAGE(OFFSET($H$3,0,0,'Données projet'!$E$10+1,1))</f>
        <v>296.15681058372093</v>
      </c>
      <c r="AO6" s="62">
        <f t="shared" si="36"/>
        <v>304.69148609083879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6.5</v>
      </c>
      <c r="BD6" s="13">
        <f>IF('Données projet'!$A$88&gt;35,BD5+BC6-BL5,IF(A6&lt;'Données projet'!$A$88,$BA$205^A6,IF(A6='Données projet'!$A$88,'Données projet'!$B$88,BD5+BC6-BL5)))</f>
        <v>3.4984365929380252</v>
      </c>
      <c r="BE6" s="14">
        <f>BD6*VLOOKUP('Données projet'!$B$11,Paramètres!$A$1:$I$89,3,0)*VLOOKUP('Données projet'!$B$11,Paramètres!$A$1:$I$89,5,0)</f>
        <v>1.9101463797441618</v>
      </c>
      <c r="BF6" s="14">
        <f t="shared" si="37"/>
        <v>0.8163991738117532</v>
      </c>
      <c r="BG6" s="22">
        <f t="shared" si="7"/>
        <v>4.7487335057765518</v>
      </c>
      <c r="BH6" s="62">
        <f t="shared" si="8"/>
        <v>265.08206683910987</v>
      </c>
      <c r="BI6" s="62">
        <f ca="1">AVERAGE(OFFSET($BH$3,0,0,'Données projet'!$E$11+1,1))-AVERAGE(OFFSET($H$3,0,0,'Données projet'!$E$11+1,1))</f>
        <v>198.95219623447554</v>
      </c>
      <c r="BJ6" s="62">
        <f t="shared" si="38"/>
        <v>299.68918988634471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2">
        <f t="shared" si="32"/>
        <v>1.4140611505968179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70">
        <f t="shared" si="1"/>
        <v>265.32424983728947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2.85</v>
      </c>
      <c r="N7" s="14">
        <f>IF('Données projet'!$A$36&gt;35,N6+M7-V6,IF(A7&lt;'Données projet'!$A$36,$K$205^A7,IF(A7='Données projet'!$A$36,'Données projet'!$B$36,N6+M7-V6)))</f>
        <v>2.2447861343640922</v>
      </c>
      <c r="O7" s="14">
        <f>N7*VLOOKUP('Données projet'!$B$9,Paramètres!$A$1:$I$89,3,0)*VLOOKUP('Données projet'!$B$9,Paramètres!$A$1:$I$89,5,0)</f>
        <v>1.9610451669804712</v>
      </c>
      <c r="P7" s="14">
        <f t="shared" si="33"/>
        <v>0.83559167630611453</v>
      </c>
      <c r="Q7" s="22">
        <f t="shared" si="2"/>
        <v>4.8708091687241364</v>
      </c>
      <c r="R7" s="62">
        <f t="shared" si="0"/>
        <v>266.42636472427967</v>
      </c>
      <c r="S7" s="62">
        <f ca="1">AVERAGE(OFFSET($R$3,0,0,'Données projet'!$E$9+1,1))-AVERAGE(OFFSET($H$3,0,0,'Données projet'!$E$9+1,1))</f>
        <v>149.01553333688895</v>
      </c>
      <c r="T7" s="62">
        <f t="shared" si="34"/>
        <v>180.75293059562205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1.9</v>
      </c>
      <c r="AI7" s="14">
        <f>IF('Données projet'!$A$62&gt;35,AI6+AH7-AQ6,IF(A7&lt;'Données projet'!$A$62,$AF$205^A7,IF(A7='Données projet'!$A$62,'Données projet'!$B$62,AI6+AH7-AQ6)))</f>
        <v>3.247143191135669</v>
      </c>
      <c r="AJ7" s="14">
        <f>AI7*VLOOKUP('Données projet'!$B$10,Paramètres!$A$1:$I$89,3,0)*VLOOKUP('Données projet'!$B$10,Paramètres!$A$1:$I$89,5,0)</f>
        <v>2.3808053877406725</v>
      </c>
      <c r="AK7" s="14">
        <f t="shared" si="35"/>
        <v>0.99180273134383279</v>
      </c>
      <c r="AL7" s="22">
        <f t="shared" si="4"/>
        <v>5.8739591407388465</v>
      </c>
      <c r="AM7" s="62">
        <f t="shared" si="5"/>
        <v>267.4295146962944</v>
      </c>
      <c r="AN7" s="62">
        <f ca="1">AVERAGE(OFFSET($AM$3,0,0,'Données projet'!$E$10+1,1))-AVERAGE(OFFSET($H$3,0,0,'Données projet'!$E$10+1,1))</f>
        <v>296.15681058372093</v>
      </c>
      <c r="AO7" s="62">
        <f t="shared" si="36"/>
        <v>304.69148609083879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6.5</v>
      </c>
      <c r="BD7" s="13">
        <f>IF('Données projet'!$A$88&gt;35,BD6+BC7-BL6,IF(A7&lt;'Données projet'!$A$88,$BA$205^A7,IF(A7='Données projet'!$A$88,'Données projet'!$B$88,BD6+BC7-BL6)))</f>
        <v>5.3108659866678778</v>
      </c>
      <c r="BE7" s="14">
        <f>BD7*VLOOKUP('Données projet'!$B$11,Paramètres!$A$1:$I$89,3,0)*VLOOKUP('Données projet'!$B$11,Paramètres!$A$1:$I$89,5,0)</f>
        <v>2.8997328287206612</v>
      </c>
      <c r="BF7" s="14">
        <f t="shared" si="37"/>
        <v>1.1805695589839535</v>
      </c>
      <c r="BG7" s="22">
        <f t="shared" si="7"/>
        <v>7.1065266585855369</v>
      </c>
      <c r="BH7" s="62">
        <f t="shared" si="8"/>
        <v>268.66208221414109</v>
      </c>
      <c r="BI7" s="62">
        <f ca="1">AVERAGE(OFFSET($BH$3,0,0,'Données projet'!$E$11+1,1))-AVERAGE(OFFSET($H$3,0,0,'Données projet'!$E$11+1,1))</f>
        <v>198.95219623447554</v>
      </c>
      <c r="BJ7" s="62">
        <f t="shared" si="38"/>
        <v>299.68918988634471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2">
        <f t="shared" si="32"/>
        <v>1.7222566815192897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70">
        <f t="shared" si="1"/>
        <v>267.40971372031277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2.85</v>
      </c>
      <c r="N8" s="14">
        <f>IF('Données projet'!$A$36&gt;35,N7+M8-V7,IF(A8&lt;'Données projet'!$A$36,$K$205^A8,IF(A8='Données projet'!$A$36,'Données projet'!$B$36,N7+M8-V7)))</f>
        <v>2.7476962050544729</v>
      </c>
      <c r="O8" s="14">
        <f>N8*VLOOKUP('Données projet'!$B$9,Paramètres!$A$1:$I$89,3,0)*VLOOKUP('Données projet'!$B$9,Paramètres!$A$1:$I$89,5,0)</f>
        <v>2.400387404735588</v>
      </c>
      <c r="P8" s="14">
        <f t="shared" si="33"/>
        <v>0.99900728739126998</v>
      </c>
      <c r="Q8" s="22">
        <f t="shared" si="2"/>
        <v>5.9206124221209437</v>
      </c>
      <c r="R8" s="62">
        <f t="shared" si="0"/>
        <v>268.69839019989871</v>
      </c>
      <c r="S8" s="62">
        <f ca="1">AVERAGE(OFFSET($R$3,0,0,'Données projet'!$E$9+1,1))-AVERAGE(OFFSET($H$3,0,0,'Données projet'!$E$9+1,1))</f>
        <v>149.01553333688895</v>
      </c>
      <c r="T8" s="62">
        <f t="shared" si="34"/>
        <v>180.75293059562205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1.9</v>
      </c>
      <c r="AI8" s="14">
        <f>IF('Données projet'!$A$62&gt;35,AI7+AH8-AQ7,IF(A8&lt;'Données projet'!$A$62,$AF$205^A8,IF(A8='Données projet'!$A$62,'Données projet'!$B$62,AI7+AH8-AQ7)))</f>
        <v>4.3588989435406749</v>
      </c>
      <c r="AJ8" s="14">
        <f>AI8*VLOOKUP('Données projet'!$B$10,Paramètres!$A$1:$I$89,3,0)*VLOOKUP('Données projet'!$B$10,Paramètres!$A$1:$I$89,5,0)</f>
        <v>3.1959447054040226</v>
      </c>
      <c r="AK8" s="14">
        <f t="shared" si="35"/>
        <v>1.2865182998910156</v>
      </c>
      <c r="AL8" s="22">
        <f t="shared" si="4"/>
        <v>7.8069564008888577</v>
      </c>
      <c r="AM8" s="62">
        <f t="shared" si="5"/>
        <v>270.58473417866662</v>
      </c>
      <c r="AN8" s="62">
        <f ca="1">AVERAGE(OFFSET($AM$3,0,0,'Données projet'!$E$10+1,1))-AVERAGE(OFFSET($H$3,0,0,'Données projet'!$E$10+1,1))</f>
        <v>296.15681058372093</v>
      </c>
      <c r="AO8" s="62">
        <f t="shared" si="36"/>
        <v>304.69148609083879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6.5</v>
      </c>
      <c r="BD8" s="13">
        <f>IF('Données projet'!$A$88&gt;35,BD7+BC8-BL7,IF(A8&lt;'Données projet'!$A$88,$BA$205^A8,IF(A8='Données projet'!$A$88,'Données projet'!$B$88,BD7+BC8-BL7)))</f>
        <v>8.0622577482985491</v>
      </c>
      <c r="BE8" s="14">
        <f>BD8*VLOOKUP('Données projet'!$B$11,Paramètres!$A$1:$I$89,3,0)*VLOOKUP('Données projet'!$B$11,Paramètres!$A$1:$I$89,5,0)</f>
        <v>4.401992730571008</v>
      </c>
      <c r="BF8" s="14">
        <f t="shared" si="37"/>
        <v>1.7071850735617471</v>
      </c>
      <c r="BG8" s="22">
        <f t="shared" si="7"/>
        <v>10.64015134219788</v>
      </c>
      <c r="BH8" s="62">
        <f t="shared" si="8"/>
        <v>273.41792911997567</v>
      </c>
      <c r="BI8" s="62">
        <f ca="1">AVERAGE(OFFSET($BH$3,0,0,'Données projet'!$E$11+1,1))-AVERAGE(OFFSET($H$3,0,0,'Données projet'!$E$11+1,1))</f>
        <v>198.95219623447554</v>
      </c>
      <c r="BJ8" s="62">
        <f t="shared" si="38"/>
        <v>299.68918988634471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2">
        <f t="shared" si="32"/>
        <v>2.0233099967312578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70">
        <f t="shared" si="1"/>
        <v>269.48273824430697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2.85</v>
      </c>
      <c r="N9" s="14">
        <f>IF('Données projet'!$A$36&gt;35,N8+M9-V8,IF(A9&lt;'Données projet'!$A$36,$K$205^A9,IF(A9='Données projet'!$A$36,'Données projet'!$B$36,N8+M9-V8)))</f>
        <v>3.3632756010449452</v>
      </c>
      <c r="O9" s="14">
        <f>N9*VLOOKUP('Données projet'!$B$9,Paramètres!$A$1:$I$89,3,0)*VLOOKUP('Données projet'!$B$9,Paramètres!$A$1:$I$89,5,0)</f>
        <v>2.9381575650728644</v>
      </c>
      <c r="P9" s="14">
        <f t="shared" si="33"/>
        <v>1.1943818835926812</v>
      </c>
      <c r="Q9" s="22">
        <f t="shared" si="2"/>
        <v>7.1975062064258246</v>
      </c>
      <c r="R9" s="62">
        <f t="shared" si="0"/>
        <v>271.19750620642583</v>
      </c>
      <c r="S9" s="62">
        <f ca="1">AVERAGE(OFFSET($R$3,0,0,'Données projet'!$E$9+1,1))-AVERAGE(OFFSET($H$3,0,0,'Données projet'!$E$9+1,1))</f>
        <v>149.01553333688895</v>
      </c>
      <c r="T9" s="62">
        <f t="shared" si="34"/>
        <v>180.75293059562205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1.9</v>
      </c>
      <c r="AI9" s="14">
        <f>IF('Données projet'!$A$62&gt;35,AI8+AH9-AQ8,IF(A9&lt;'Données projet'!$A$62,$AF$205^A9,IF(A9='Données projet'!$A$62,'Données projet'!$B$62,AI8+AH9-AQ8)))</f>
        <v>5.8512972424092187</v>
      </c>
      <c r="AJ9" s="14">
        <f>AI9*VLOOKUP('Données projet'!$B$10,Paramètres!$A$1:$I$89,3,0)*VLOOKUP('Données projet'!$B$10,Paramètres!$A$1:$I$89,5,0)</f>
        <v>4.290171138134439</v>
      </c>
      <c r="AK9" s="14">
        <f t="shared" si="35"/>
        <v>1.6688090117596963</v>
      </c>
      <c r="AL9" s="22">
        <f t="shared" si="4"/>
        <v>10.378557094398952</v>
      </c>
      <c r="AM9" s="62">
        <f t="shared" si="5"/>
        <v>274.37855709439896</v>
      </c>
      <c r="AN9" s="62">
        <f ca="1">AVERAGE(OFFSET($AM$3,0,0,'Données projet'!$E$10+1,1))-AVERAGE(OFFSET($H$3,0,0,'Données projet'!$E$10+1,1))</f>
        <v>296.15681058372093</v>
      </c>
      <c r="AO9" s="62">
        <f t="shared" si="36"/>
        <v>304.69148609083879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6.5</v>
      </c>
      <c r="BD9" s="13">
        <f>IF('Données projet'!$A$88&gt;35,BD8+BC9-BL8,IF(A9&lt;'Données projet'!$A$88,$BA$205^A9,IF(A9='Données projet'!$A$88,'Données projet'!$B$88,BD8+BC9-BL8)))</f>
        <v>12.239058594807817</v>
      </c>
      <c r="BE9" s="14">
        <f>BD9*VLOOKUP('Données projet'!$B$11,Paramètres!$A$1:$I$89,3,0)*VLOOKUP('Données projet'!$B$11,Paramètres!$A$1:$I$89,5,0)</f>
        <v>6.6825259927650684</v>
      </c>
      <c r="BF9" s="14">
        <f t="shared" si="37"/>
        <v>2.4687074583731836</v>
      </c>
      <c r="BG9" s="22">
        <f t="shared" si="7"/>
        <v>15.938398260732454</v>
      </c>
      <c r="BH9" s="62">
        <f t="shared" si="8"/>
        <v>279.93839826073247</v>
      </c>
      <c r="BI9" s="62">
        <f ca="1">AVERAGE(OFFSET($BH$3,0,0,'Données projet'!$E$11+1,1))-AVERAGE(OFFSET($H$3,0,0,'Données projet'!$E$11+1,1))</f>
        <v>198.95219623447554</v>
      </c>
      <c r="BJ9" s="62">
        <f t="shared" si="38"/>
        <v>299.68918988634471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2">
        <f t="shared" si="32"/>
        <v>2.3185507720937846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70">
        <f t="shared" si="1"/>
        <v>271.54563926139667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2.85</v>
      </c>
      <c r="N10" s="14">
        <f>IF('Données projet'!$A$36&gt;35,N9+M10-V9,IF(A10&lt;'Données projet'!$A$36,$K$205^A10,IF(A10='Données projet'!$A$36,'Données projet'!$B$36,N9+M10-V9)))</f>
        <v>4.116766164969822</v>
      </c>
      <c r="O10" s="14">
        <f>N10*VLOOKUP('Données projet'!$B$9,Paramètres!$A$1:$I$89,3,0)*VLOOKUP('Données projet'!$B$9,Paramètres!$A$1:$I$89,5,0)</f>
        <v>3.5964069217176369</v>
      </c>
      <c r="P10" s="14">
        <f t="shared" si="33"/>
        <v>1.4279656433533914</v>
      </c>
      <c r="Q10" s="22">
        <f t="shared" si="2"/>
        <v>8.7507822174987044</v>
      </c>
      <c r="R10" s="62">
        <f t="shared" si="0"/>
        <v>273.97300443972091</v>
      </c>
      <c r="S10" s="62">
        <f ca="1">AVERAGE(OFFSET($R$3,0,0,'Données projet'!$E$9+1,1))-AVERAGE(OFFSET($H$3,0,0,'Données projet'!$E$9+1,1))</f>
        <v>149.01553333688895</v>
      </c>
      <c r="T10" s="62">
        <f t="shared" si="34"/>
        <v>180.75293059562205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1.9</v>
      </c>
      <c r="AI10" s="14">
        <f>IF('Données projet'!$A$62&gt;35,AI9+AH10-AQ9,IF(A10&lt;'Données projet'!$A$62,$AF$205^A10,IF(A10='Données projet'!$A$62,'Données projet'!$B$62,AI9+AH10-AQ9)))</f>
        <v>7.8546623499408135</v>
      </c>
      <c r="AJ10" s="14">
        <f>AI10*VLOOKUP('Données projet'!$B$10,Paramètres!$A$1:$I$89,3,0)*VLOOKUP('Données projet'!$B$10,Paramètres!$A$1:$I$89,5,0)</f>
        <v>5.7590384349766044</v>
      </c>
      <c r="AK10" s="14">
        <f t="shared" si="35"/>
        <v>2.1646979432521807</v>
      </c>
      <c r="AL10" s="22">
        <f t="shared" si="4"/>
        <v>13.800507525415135</v>
      </c>
      <c r="AM10" s="62">
        <f t="shared" si="5"/>
        <v>279.02272974763736</v>
      </c>
      <c r="AN10" s="62">
        <f ca="1">AVERAGE(OFFSET($AM$3,0,0,'Données projet'!$E$10+1,1))-AVERAGE(OFFSET($H$3,0,0,'Données projet'!$E$10+1,1))</f>
        <v>296.15681058372093</v>
      </c>
      <c r="AO10" s="62">
        <f t="shared" si="36"/>
        <v>304.69148609083879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6.5</v>
      </c>
      <c r="BD10" s="13">
        <f>IF('Données projet'!$A$88&gt;35,BD9+BC10-BL9,IF(A10&lt;'Données projet'!$A$88,$BA$205^A10,IF(A10='Données projet'!$A$88,'Données projet'!$B$88,BD9+BC10-BL9)))</f>
        <v>18.579727907948815</v>
      </c>
      <c r="BE10" s="14">
        <f>BD10*VLOOKUP('Données projet'!$B$11,Paramètres!$A$1:$I$89,3,0)*VLOOKUP('Données projet'!$B$11,Paramètres!$A$1:$I$89,5,0)</f>
        <v>10.144531437740053</v>
      </c>
      <c r="BF10" s="14">
        <f t="shared" si="37"/>
        <v>3.5699213924781037</v>
      </c>
      <c r="BG10" s="22">
        <f t="shared" si="7"/>
        <v>23.886005345963287</v>
      </c>
      <c r="BH10" s="62">
        <f t="shared" si="8"/>
        <v>289.1082275681855</v>
      </c>
      <c r="BI10" s="62">
        <f ca="1">AVERAGE(OFFSET($BH$3,0,0,'Données projet'!$E$11+1,1))-AVERAGE(OFFSET($H$3,0,0,'Données projet'!$E$11+1,1))</f>
        <v>198.95219623447554</v>
      </c>
      <c r="BJ10" s="62">
        <f t="shared" si="38"/>
        <v>299.68918988634471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2">
        <f t="shared" si="32"/>
        <v>2.6089051793396716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70">
        <f t="shared" si="1"/>
        <v>273.60002985401661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2.85</v>
      </c>
      <c r="N11" s="14">
        <f>IF('Données projet'!$A$36&gt;35,N10+M11-V10,IF(A11&lt;'Données projet'!$A$36,$K$205^A11,IF(A11='Données projet'!$A$36,'Données projet'!$B$36,N10+M11-V10)))</f>
        <v>5.0390647890332847</v>
      </c>
      <c r="O11" s="14">
        <f>N11*VLOOKUP('Données projet'!$B$9,Paramètres!$A$1:$I$89,3,0)*VLOOKUP('Données projet'!$B$9,Paramètres!$A$1:$I$89,5,0)</f>
        <v>4.4021269996994778</v>
      </c>
      <c r="P11" s="14">
        <f t="shared" si="33"/>
        <v>1.7072310846377947</v>
      </c>
      <c r="Q11" s="22">
        <f t="shared" si="2"/>
        <v>10.640465330220749</v>
      </c>
      <c r="R11" s="62">
        <f t="shared" si="0"/>
        <v>277.08490977466522</v>
      </c>
      <c r="S11" s="62">
        <f ca="1">AVERAGE(OFFSET($R$3,0,0,'Données projet'!$E$9+1,1))-AVERAGE(OFFSET($H$3,0,0,'Données projet'!$E$9+1,1))</f>
        <v>149.01553333688895</v>
      </c>
      <c r="T11" s="62">
        <f t="shared" si="34"/>
        <v>180.75293059562205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1.9</v>
      </c>
      <c r="AI11" s="14">
        <f>IF('Données projet'!$A$62&gt;35,AI10+AH11-AQ10,IF(A11&lt;'Données projet'!$A$62,$AF$205^A11,IF(A11='Données projet'!$A$62,'Données projet'!$B$62,AI10+AH11-AQ10)))</f>
        <v>10.543938903738736</v>
      </c>
      <c r="AJ11" s="14">
        <f>AI11*VLOOKUP('Données projet'!$B$10,Paramètres!$A$1:$I$89,3,0)*VLOOKUP('Données projet'!$B$10,Paramètres!$A$1:$I$89,5,0)</f>
        <v>7.730816004221241</v>
      </c>
      <c r="AK11" s="14">
        <f t="shared" si="35"/>
        <v>2.8079409641844508</v>
      </c>
      <c r="AL11" s="22">
        <f t="shared" si="4"/>
        <v>18.355001719973249</v>
      </c>
      <c r="AM11" s="62">
        <f t="shared" si="5"/>
        <v>284.7994461644177</v>
      </c>
      <c r="AN11" s="62">
        <f ca="1">AVERAGE(OFFSET($AM$3,0,0,'Données projet'!$E$10+1,1))-AVERAGE(OFFSET($H$3,0,0,'Données projet'!$E$10+1,1))</f>
        <v>296.15681058372093</v>
      </c>
      <c r="AO11" s="62">
        <f t="shared" si="36"/>
        <v>304.69148609083879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6.5</v>
      </c>
      <c r="BD11" s="13">
        <f>IF('Données projet'!$A$88&gt;35,BD10+BC11-BL10,IF(A11&lt;'Données projet'!$A$88,$BA$205^A11,IF(A11='Données projet'!$A$88,'Données projet'!$B$88,BD10+BC11-BL10)))</f>
        <v>28.205297528345771</v>
      </c>
      <c r="BE11" s="14">
        <f>BD11*VLOOKUP('Données projet'!$B$11,Paramètres!$A$1:$I$89,3,0)*VLOOKUP('Données projet'!$B$11,Paramètres!$A$1:$I$89,5,0)</f>
        <v>15.400092450476791</v>
      </c>
      <c r="BF11" s="14">
        <f t="shared" si="37"/>
        <v>5.1623527547775945</v>
      </c>
      <c r="BG11" s="22">
        <f t="shared" si="7"/>
        <v>35.812925399151389</v>
      </c>
      <c r="BH11" s="62">
        <f t="shared" si="8"/>
        <v>302.25736984359582</v>
      </c>
      <c r="BI11" s="62">
        <f ca="1">AVERAGE(OFFSET($BH$3,0,0,'Données projet'!$E$11+1,1))-AVERAGE(OFFSET($H$3,0,0,'Données projet'!$E$11+1,1))</f>
        <v>198.95219623447554</v>
      </c>
      <c r="BJ11" s="62">
        <f t="shared" si="38"/>
        <v>299.68918988634471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2">
        <f t="shared" si="32"/>
        <v>2.8950539664743791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70">
        <f t="shared" si="1"/>
        <v>275.64709565827621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2.85</v>
      </c>
      <c r="N12" s="14">
        <f>IF('Données projet'!$A$36&gt;35,N11+M12-V11,IF(A12&lt;'Données projet'!$A$36,$K$205^A12,IF(A12='Données projet'!$A$36,'Données projet'!$B$36,N11+M12-V11)))</f>
        <v>6.167990342551116</v>
      </c>
      <c r="O12" s="14">
        <f>N12*VLOOKUP('Données projet'!$B$9,Paramètres!$A$1:$I$89,3,0)*VLOOKUP('Données projet'!$B$9,Paramètres!$A$1:$I$89,5,0)</f>
        <v>5.3883563632526554</v>
      </c>
      <c r="P12" s="14">
        <f t="shared" si="33"/>
        <v>2.0411121163313792</v>
      </c>
      <c r="Q12" s="22">
        <f t="shared" si="2"/>
        <v>12.939657601942194</v>
      </c>
      <c r="R12" s="62">
        <f t="shared" si="0"/>
        <v>280.60632426860889</v>
      </c>
      <c r="S12" s="62">
        <f ca="1">AVERAGE(OFFSET($R$3,0,0,'Données projet'!$E$9+1,1))-AVERAGE(OFFSET($H$3,0,0,'Données projet'!$E$9+1,1))</f>
        <v>149.01553333688895</v>
      </c>
      <c r="T12" s="62">
        <f t="shared" si="34"/>
        <v>180.75293059562205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1.9</v>
      </c>
      <c r="AI12" s="14">
        <f>IF('Données projet'!$A$62&gt;35,AI11+AH12-AQ11,IF(A12&lt;'Données projet'!$A$62,$AF$205^A12,IF(A12='Données projet'!$A$62,'Données projet'!$B$62,AI11+AH12-AQ11)))</f>
        <v>14.153969025366564</v>
      </c>
      <c r="AJ12" s="14">
        <f>AI12*VLOOKUP('Données projet'!$B$10,Paramètres!$A$1:$I$89,3,0)*VLOOKUP('Données projet'!$B$10,Paramètres!$A$1:$I$89,5,0)</f>
        <v>10.377690089398765</v>
      </c>
      <c r="AK12" s="14">
        <f t="shared" si="35"/>
        <v>3.6423245482922235</v>
      </c>
      <c r="AL12" s="22">
        <f t="shared" si="4"/>
        <v>24.418192160645134</v>
      </c>
      <c r="AM12" s="62">
        <f t="shared" si="5"/>
        <v>292.08485882731179</v>
      </c>
      <c r="AN12" s="62">
        <f ca="1">AVERAGE(OFFSET($AM$3,0,0,'Données projet'!$E$10+1,1))-AVERAGE(OFFSET($H$3,0,0,'Données projet'!$E$10+1,1))</f>
        <v>296.15681058372093</v>
      </c>
      <c r="AO12" s="62">
        <f t="shared" si="36"/>
        <v>304.69148609083879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6.5</v>
      </c>
      <c r="BD12" s="13">
        <f>IF('Données projet'!$A$88&gt;35,BD11+BC12-BL11,IF(A12&lt;'Données projet'!$A$88,$BA$205^A12,IF(A12='Données projet'!$A$88,'Données projet'!$B$88,BD11+BC12-BL11)))</f>
        <v>42.817570451188317</v>
      </c>
      <c r="BE12" s="14">
        <f>BD12*VLOOKUP('Données projet'!$B$11,Paramètres!$A$1:$I$89,3,0)*VLOOKUP('Données projet'!$B$11,Paramètres!$A$1:$I$89,5,0)</f>
        <v>23.378393466348818</v>
      </c>
      <c r="BF12" s="14">
        <f t="shared" si="37"/>
        <v>7.4651184255517995</v>
      </c>
      <c r="BG12" s="22">
        <f t="shared" si="7"/>
        <v>53.719116545060238</v>
      </c>
      <c r="BH12" s="62">
        <f t="shared" si="8"/>
        <v>321.3857832117269</v>
      </c>
      <c r="BI12" s="62">
        <f ca="1">AVERAGE(OFFSET($BH$3,0,0,'Données projet'!$E$11+1,1))-AVERAGE(OFFSET($H$3,0,0,'Données projet'!$E$11+1,1))</f>
        <v>198.95219623447554</v>
      </c>
      <c r="BJ12" s="62">
        <f t="shared" si="38"/>
        <v>299.68918988634471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2">
        <f t="shared" si="32"/>
        <v>3.177517729464268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70">
        <f t="shared" si="1"/>
        <v>277.68774337881695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2.85</v>
      </c>
      <c r="N13" s="14">
        <f>IF('Données projet'!$A$36&gt;35,N12+M13-V12,IF(A13&lt;'Données projet'!$A$36,$K$205^A13,IF(A13='Données projet'!$A$36,'Données projet'!$B$36,N12+M13-V12)))</f>
        <v>7.5498344352707516</v>
      </c>
      <c r="O13" s="14">
        <f>N13*VLOOKUP('Données projet'!$B$9,Paramètres!$A$1:$I$89,3,0)*VLOOKUP('Données projet'!$B$9,Paramètres!$A$1:$I$89,5,0)</f>
        <v>6.5955353626525293</v>
      </c>
      <c r="P13" s="14">
        <f t="shared" si="33"/>
        <v>2.4402898406214573</v>
      </c>
      <c r="Q13" s="22">
        <f t="shared" si="2"/>
        <v>15.737395562368858</v>
      </c>
      <c r="R13" s="62">
        <f t="shared" si="0"/>
        <v>284.62628445125773</v>
      </c>
      <c r="S13" s="62">
        <f ca="1">AVERAGE(OFFSET($R$3,0,0,'Données projet'!$E$9+1,1))-AVERAGE(OFFSET($H$3,0,0,'Données projet'!$E$9+1,1))</f>
        <v>149.01553333688895</v>
      </c>
      <c r="T13" s="62">
        <f t="shared" si="34"/>
        <v>180.75293059562205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>
        <f>VLOOKUP(A13,'Données projet'!$A$61:$I$81,2,0)</f>
        <v>19</v>
      </c>
      <c r="AG13" s="13">
        <f>VLOOKUP(A13,'Données projet'!$A$61:$I$81,9,0)</f>
        <v>1.9</v>
      </c>
      <c r="AH13" s="13">
        <f t="array" ref="AH13">INDEX(AG:AG,MIN(IF(ISNUMBER(AG13:AG209),ROW(AG13:AG209),"")))</f>
        <v>1.9</v>
      </c>
      <c r="AI13" s="14">
        <f>IF('Données projet'!$A$62&gt;35,AI12+AH13-AQ12,IF(A13&lt;'Données projet'!$A$62,$AF$205^A13,IF(A13='Données projet'!$A$62,'Données projet'!$B$62,AI12+AH13-AQ12)))</f>
        <v>19</v>
      </c>
      <c r="AJ13" s="14">
        <f>AI13*VLOOKUP('Données projet'!$B$10,Paramètres!$A$1:$I$89,3,0)*VLOOKUP('Données projet'!$B$10,Paramètres!$A$1:$I$89,5,0)</f>
        <v>13.9308</v>
      </c>
      <c r="AK13" s="14">
        <f t="shared" si="35"/>
        <v>4.7246463812124082</v>
      </c>
      <c r="AL13" s="22">
        <f t="shared" si="4"/>
        <v>32.491569113944941</v>
      </c>
      <c r="AM13" s="62">
        <f t="shared" si="5"/>
        <v>301.38045800283379</v>
      </c>
      <c r="AN13" s="62">
        <f ca="1">AVERAGE(OFFSET($AM$3,0,0,'Données projet'!$E$10+1,1))-AVERAGE(OFFSET($H$3,0,0,'Données projet'!$E$10+1,1))</f>
        <v>296.15681058372093</v>
      </c>
      <c r="AO13" s="62">
        <f t="shared" si="36"/>
        <v>304.69148609083879</v>
      </c>
      <c r="AP13" s="16">
        <f>IF(ISNA(VLOOKUP(A13,'Données projet'!$A$61:$I$81,3,0)),0,VLOOKUP(A13,'Données projet'!$A$61:$I$81,3,0))</f>
        <v>1</v>
      </c>
      <c r="AQ13" s="16">
        <f>IF(ISNA(VLOOKUP(A13,'Données projet'!$A$61:$I$81,4,0)),0,VLOOKUP(A13,'Données projet'!$A$61:$I$81,4,0))</f>
        <v>7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>
        <f>VLOOKUP(A13,'Données projet'!$A$87:$I$107,2,0)</f>
        <v>65</v>
      </c>
      <c r="BB13" s="13">
        <f>VLOOKUP(A13,'Données projet'!$A$87:$I$107,9,0)</f>
        <v>6.5</v>
      </c>
      <c r="BC13" s="13">
        <f t="array" ref="BC13">INDEX(BB:BB,MIN(IF(ISNUMBER(BB13:BB209),ROW(BB13:BB209),"")))</f>
        <v>6.5</v>
      </c>
      <c r="BD13" s="13">
        <f>IF('Données projet'!$A$88&gt;35,BD12+BC13-BL12,IF(A13&lt;'Données projet'!$A$88,$BA$205^A13,IF(A13='Données projet'!$A$88,'Données projet'!$B$88,BD12+BC13-BL12)))</f>
        <v>65</v>
      </c>
      <c r="BE13" s="14">
        <f>BD13*VLOOKUP('Données projet'!$B$11,Paramètres!$A$1:$I$89,3,0)*VLOOKUP('Données projet'!$B$11,Paramètres!$A$1:$I$89,5,0)</f>
        <v>35.49</v>
      </c>
      <c r="BF13" s="14">
        <f t="shared" si="37"/>
        <v>10.79507653868451</v>
      </c>
      <c r="BG13" s="22">
        <f t="shared" si="7"/>
        <v>80.613174971542193</v>
      </c>
      <c r="BH13" s="62">
        <f t="shared" si="8"/>
        <v>349.50206386043106</v>
      </c>
      <c r="BI13" s="62">
        <f ca="1">AVERAGE(OFFSET($BH$3,0,0,'Données projet'!$E$11+1,1))-AVERAGE(OFFSET($H$3,0,0,'Données projet'!$E$11+1,1))</f>
        <v>198.95219623447554</v>
      </c>
      <c r="BJ13" s="62">
        <f t="shared" si="38"/>
        <v>299.68918988634471</v>
      </c>
      <c r="BK13" s="16">
        <f>IF(ISNA(VLOOKUP(A13,'Données projet'!$A$87:$I$107,3,0)),0,VLOOKUP(A13,'Données projet'!$A$87:$I$107,3,0))</f>
        <v>1</v>
      </c>
      <c r="BL13" s="16">
        <f>IF(ISNA(VLOOKUP(A13,'Données projet'!$A$87:$I$107,4,0)),0,VLOOKUP(A13,'Données projet'!$A$87:$I$107,4,0))</f>
        <v>18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1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11.127579020090105</v>
      </c>
      <c r="BS13" s="24">
        <f t="shared" si="9"/>
        <v>11.127579020090105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2">
        <f t="shared" si="32"/>
        <v>3.4567069199829903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70">
        <f t="shared" si="1"/>
        <v>279.72268788563707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2.85</v>
      </c>
      <c r="N14" s="14">
        <f>IF('Données projet'!$A$36&gt;35,N13+M14-V13,IF(A14&lt;'Données projet'!$A$36,$K$205^A14,IF(A14='Données projet'!$A$36,'Données projet'!$B$36,N13+M14-V13)))</f>
        <v>9.2412596055434975</v>
      </c>
      <c r="O14" s="14">
        <f>N14*VLOOKUP('Données projet'!$B$9,Paramètres!$A$1:$I$89,3,0)*VLOOKUP('Données projet'!$B$9,Paramètres!$A$1:$I$89,5,0)</f>
        <v>8.0731643914028002</v>
      </c>
      <c r="P14" s="14">
        <f t="shared" si="33"/>
        <v>2.9175342493893108</v>
      </c>
      <c r="Q14" s="22">
        <f t="shared" si="2"/>
        <v>19.142133466046261</v>
      </c>
      <c r="R14" s="62">
        <f t="shared" si="0"/>
        <v>289.25324457715737</v>
      </c>
      <c r="S14" s="62">
        <f ca="1">AVERAGE(OFFSET($R$3,0,0,'Données projet'!$E$9+1,1))-AVERAGE(OFFSET($H$3,0,0,'Données projet'!$E$9+1,1))</f>
        <v>149.01553333688895</v>
      </c>
      <c r="T14" s="62">
        <f t="shared" si="34"/>
        <v>180.75293059562205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14.4</v>
      </c>
      <c r="AI14" s="14">
        <f>IF('Données projet'!$A$62&gt;35,AI13+AH14-AQ13,IF(A14&lt;'Données projet'!$A$62,$AF$205^A14,IF(A14='Données projet'!$A$62,'Données projet'!$B$62,AI13+AH14-AQ13)))</f>
        <v>26.4</v>
      </c>
      <c r="AJ14" s="14">
        <f>AI14*VLOOKUP('Données projet'!$B$10,Paramètres!$A$1:$I$89,3,0)*VLOOKUP('Données projet'!$B$10,Paramètres!$A$1:$I$89,5,0)</f>
        <v>19.356480000000001</v>
      </c>
      <c r="AK14" s="14">
        <f t="shared" si="35"/>
        <v>6.3181780007167561</v>
      </c>
      <c r="AL14" s="22">
        <f t="shared" si="4"/>
        <v>44.716696017915012</v>
      </c>
      <c r="AM14" s="62">
        <f t="shared" si="5"/>
        <v>314.82780712902616</v>
      </c>
      <c r="AN14" s="62">
        <f ca="1">AVERAGE(OFFSET($AM$3,0,0,'Données projet'!$E$10+1,1))-AVERAGE(OFFSET($H$3,0,0,'Données projet'!$E$10+1,1))</f>
        <v>296.15681058372093</v>
      </c>
      <c r="AO14" s="62">
        <f t="shared" si="36"/>
        <v>304.69148609083879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19</v>
      </c>
      <c r="BD14" s="13">
        <f>IF('Données projet'!$A$88&gt;35,BD13+BC14-BL13,IF(A14&lt;'Données projet'!$A$88,$BA$205^A14,IF(A14='Données projet'!$A$88,'Données projet'!$B$88,BD13+BC14-BL13)))</f>
        <v>66</v>
      </c>
      <c r="BE14" s="14">
        <f>BD14*VLOOKUP('Données projet'!$B$11,Paramètres!$A$1:$I$89,3,0)*VLOOKUP('Données projet'!$B$11,Paramètres!$A$1:$I$89,5,0)</f>
        <v>36.036000000000001</v>
      </c>
      <c r="BF14" s="14">
        <f t="shared" si="37"/>
        <v>10.941692499899743</v>
      </c>
      <c r="BG14" s="22">
        <f t="shared" si="7"/>
        <v>81.819481103992061</v>
      </c>
      <c r="BH14" s="62">
        <f t="shared" si="8"/>
        <v>351.93059221510322</v>
      </c>
      <c r="BI14" s="62">
        <f ca="1">AVERAGE(OFFSET($BH$3,0,0,'Données projet'!$E$11+1,1))-AVERAGE(OFFSET($H$3,0,0,'Données projet'!$E$11+1,1))</f>
        <v>198.95219623447554</v>
      </c>
      <c r="BJ14" s="62">
        <f t="shared" si="38"/>
        <v>299.68918988634471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7.8683865832948712</v>
      </c>
      <c r="BS14" s="24">
        <f t="shared" si="9"/>
        <v>7.8683865832948712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2">
        <f t="shared" si="32"/>
        <v>3.7329530817348471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70">
        <f t="shared" si="1"/>
        <v>281.75250661735487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2.85</v>
      </c>
      <c r="N15" s="14">
        <f>IF('Données projet'!$A$36&gt;35,N14+M15-V14,IF(A15&lt;'Données projet'!$A$36,$K$205^A15,IF(A15='Données projet'!$A$36,'Données projet'!$B$36,N14+M15-V14)))</f>
        <v>11.311622768584238</v>
      </c>
      <c r="O15" s="14">
        <f>N15*VLOOKUP('Données projet'!$B$9,Paramètres!$A$1:$I$89,3,0)*VLOOKUP('Données projet'!$B$9,Paramètres!$A$1:$I$89,5,0)</f>
        <v>9.8818336506351923</v>
      </c>
      <c r="P15" s="14">
        <f t="shared" si="33"/>
        <v>3.4881127457351293</v>
      </c>
      <c r="Q15" s="22">
        <f t="shared" si="2"/>
        <v>23.285989973678308</v>
      </c>
      <c r="R15" s="62">
        <f t="shared" si="0"/>
        <v>294.6193233070116</v>
      </c>
      <c r="S15" s="62">
        <f ca="1">AVERAGE(OFFSET($R$3,0,0,'Données projet'!$E$9+1,1))-AVERAGE(OFFSET($H$3,0,0,'Données projet'!$E$9+1,1))</f>
        <v>149.01553333688895</v>
      </c>
      <c r="T15" s="62">
        <f t="shared" si="34"/>
        <v>180.75293059562205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14.4</v>
      </c>
      <c r="AI15" s="14">
        <f>IF('Données projet'!$A$62&gt;35,AI14+AH15-AQ14,IF(A15&lt;'Données projet'!$A$62,$AF$205^A15,IF(A15='Données projet'!$A$62,'Données projet'!$B$62,AI14+AH15-AQ14)))</f>
        <v>40.799999999999997</v>
      </c>
      <c r="AJ15" s="14">
        <f>AI15*VLOOKUP('Données projet'!$B$10,Paramètres!$A$1:$I$89,3,0)*VLOOKUP('Données projet'!$B$10,Paramètres!$A$1:$I$89,5,0)</f>
        <v>29.914559999999998</v>
      </c>
      <c r="AK15" s="14">
        <f t="shared" si="35"/>
        <v>9.2820081914942723</v>
      </c>
      <c r="AL15" s="22">
        <f t="shared" si="4"/>
        <v>68.267356266852531</v>
      </c>
      <c r="AM15" s="62">
        <f t="shared" si="5"/>
        <v>339.60068960018583</v>
      </c>
      <c r="AN15" s="62">
        <f ca="1">AVERAGE(OFFSET($AM$3,0,0,'Données projet'!$E$10+1,1))-AVERAGE(OFFSET($H$3,0,0,'Données projet'!$E$10+1,1))</f>
        <v>296.15681058372093</v>
      </c>
      <c r="AO15" s="62">
        <f t="shared" si="36"/>
        <v>304.69148609083879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19</v>
      </c>
      <c r="BD15" s="13">
        <f>IF('Données projet'!$A$88&gt;35,BD14+BC15-BL14,IF(A15&lt;'Données projet'!$A$88,$BA$205^A15,IF(A15='Données projet'!$A$88,'Données projet'!$B$88,BD14+BC15-BL14)))</f>
        <v>85</v>
      </c>
      <c r="BE15" s="14">
        <f>BD15*VLOOKUP('Données projet'!$B$11,Paramètres!$A$1:$I$89,3,0)*VLOOKUP('Données projet'!$B$11,Paramètres!$A$1:$I$89,5,0)</f>
        <v>46.41</v>
      </c>
      <c r="BF15" s="14">
        <f t="shared" si="37"/>
        <v>13.682644606433925</v>
      </c>
      <c r="BG15" s="22">
        <f t="shared" si="7"/>
        <v>104.66135602287243</v>
      </c>
      <c r="BH15" s="62">
        <f t="shared" si="8"/>
        <v>375.99468935620575</v>
      </c>
      <c r="BI15" s="62">
        <f ca="1">AVERAGE(OFFSET($BH$3,0,0,'Données projet'!$E$11+1,1))-AVERAGE(OFFSET($H$3,0,0,'Données projet'!$E$11+1,1))</f>
        <v>198.95219623447554</v>
      </c>
      <c r="BJ15" s="62">
        <f t="shared" si="38"/>
        <v>299.68918988634471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5.5637895100450532</v>
      </c>
      <c r="BS15" s="24">
        <f t="shared" si="9"/>
        <v>5.5637895100450532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2">
        <f t="shared" si="32"/>
        <v>4.0065293501366055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70">
        <f t="shared" si="1"/>
        <v>283.77767528482127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2.85</v>
      </c>
      <c r="N16" s="14">
        <f>IF('Données projet'!$A$36&gt;35,N15+M16-V15,IF(A16&lt;'Données projet'!$A$36,$K$205^A16,IF(A16='Données projet'!$A$36,'Données projet'!$B$36,N15+M16-V15)))</f>
        <v>13.845819197850375</v>
      </c>
      <c r="O16" s="14">
        <f>N16*VLOOKUP('Données projet'!$B$9,Paramètres!$A$1:$I$89,3,0)*VLOOKUP('Données projet'!$B$9,Paramètres!$A$1:$I$89,5,0)</f>
        <v>12.095707651242089</v>
      </c>
      <c r="P16" s="14">
        <f t="shared" si="33"/>
        <v>4.1702785595427372</v>
      </c>
      <c r="Q16" s="22">
        <f t="shared" si="2"/>
        <v>28.329925983783568</v>
      </c>
      <c r="R16" s="62">
        <f t="shared" si="0"/>
        <v>300.88548153933914</v>
      </c>
      <c r="S16" s="62">
        <f ca="1">AVERAGE(OFFSET($R$3,0,0,'Données projet'!$E$9+1,1))-AVERAGE(OFFSET($H$3,0,0,'Données projet'!$E$9+1,1))</f>
        <v>149.01553333688895</v>
      </c>
      <c r="T16" s="62">
        <f t="shared" si="34"/>
        <v>180.75293059562205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14.4</v>
      </c>
      <c r="AI16" s="14">
        <f>IF('Données projet'!$A$62&gt;35,AI15+AH16-AQ15,IF(A16&lt;'Données projet'!$A$62,$AF$205^A16,IF(A16='Données projet'!$A$62,'Données projet'!$B$62,AI15+AH16-AQ15)))</f>
        <v>55.199999999999996</v>
      </c>
      <c r="AJ16" s="14">
        <f>AI16*VLOOKUP('Données projet'!$B$10,Paramètres!$A$1:$I$89,3,0)*VLOOKUP('Données projet'!$B$10,Paramètres!$A$1:$I$89,5,0)</f>
        <v>40.472639999999991</v>
      </c>
      <c r="AK16" s="14">
        <f t="shared" si="35"/>
        <v>12.123834417890356</v>
      </c>
      <c r="AL16" s="22">
        <f t="shared" si="4"/>
        <v>91.605526277825675</v>
      </c>
      <c r="AM16" s="62">
        <f t="shared" si="5"/>
        <v>364.16108183338122</v>
      </c>
      <c r="AN16" s="62">
        <f ca="1">AVERAGE(OFFSET($AM$3,0,0,'Données projet'!$E$10+1,1))-AVERAGE(OFFSET($H$3,0,0,'Données projet'!$E$10+1,1))</f>
        <v>296.15681058372093</v>
      </c>
      <c r="AO16" s="62">
        <f t="shared" si="36"/>
        <v>304.69148609083879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19</v>
      </c>
      <c r="BD16" s="13">
        <f>IF('Données projet'!$A$88&gt;35,BD15+BC16-BL15,IF(A16&lt;'Données projet'!$A$88,$BA$205^A16,IF(A16='Données projet'!$A$88,'Données projet'!$B$88,BD15+BC16-BL15)))</f>
        <v>104</v>
      </c>
      <c r="BE16" s="14">
        <f>BD16*VLOOKUP('Données projet'!$B$11,Paramètres!$A$1:$I$89,3,0)*VLOOKUP('Données projet'!$B$11,Paramètres!$A$1:$I$89,5,0)</f>
        <v>56.783999999999999</v>
      </c>
      <c r="BF16" s="14">
        <f t="shared" si="37"/>
        <v>16.352574732529362</v>
      </c>
      <c r="BG16" s="22">
        <f t="shared" si="7"/>
        <v>127.37953432582198</v>
      </c>
      <c r="BH16" s="62">
        <f t="shared" si="8"/>
        <v>399.93508988137751</v>
      </c>
      <c r="BI16" s="62">
        <f ca="1">AVERAGE(OFFSET($BH$3,0,0,'Données projet'!$E$11+1,1))-AVERAGE(OFFSET($H$3,0,0,'Données projet'!$E$11+1,1))</f>
        <v>198.95219623447554</v>
      </c>
      <c r="BJ16" s="62">
        <f t="shared" si="38"/>
        <v>299.68918988634471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3.934193291647436</v>
      </c>
      <c r="BS16" s="24">
        <f t="shared" si="9"/>
        <v>3.934193291647436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2">
        <f t="shared" si="32"/>
        <v>4.2776644527179633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70">
        <f t="shared" si="1"/>
        <v>285.79859225515048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2.85</v>
      </c>
      <c r="N17" s="14">
        <f>IF('Données projet'!$A$36&gt;35,N16+M17-V16,IF(A17&lt;'Données projet'!$A$36,$K$205^A17,IF(A17='Données projet'!$A$36,'Données projet'!$B$36,N16+M17-V16)))</f>
        <v>16.94776365704034</v>
      </c>
      <c r="O17" s="14">
        <f>N17*VLOOKUP('Données projet'!$B$9,Paramètres!$A$1:$I$89,3,0)*VLOOKUP('Données projet'!$B$9,Paramètres!$A$1:$I$89,5,0)</f>
        <v>14.805566330790443</v>
      </c>
      <c r="P17" s="14">
        <f t="shared" si="33"/>
        <v>4.9858546818608076</v>
      </c>
      <c r="Q17" s="22">
        <f t="shared" si="2"/>
        <v>34.470058263700928</v>
      </c>
      <c r="R17" s="62">
        <f t="shared" si="0"/>
        <v>308.24783604147871</v>
      </c>
      <c r="S17" s="62">
        <f ca="1">AVERAGE(OFFSET($R$3,0,0,'Données projet'!$E$9+1,1))-AVERAGE(OFFSET($H$3,0,0,'Données projet'!$E$9+1,1))</f>
        <v>149.01553333688895</v>
      </c>
      <c r="T17" s="62">
        <f t="shared" si="34"/>
        <v>180.75293059562205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14.4</v>
      </c>
      <c r="AI17" s="14">
        <f>IF('Données projet'!$A$62&gt;35,AI16+AH17-AQ16,IF(A17&lt;'Données projet'!$A$62,$AF$205^A17,IF(A17='Données projet'!$A$62,'Données projet'!$B$62,AI16+AH17-AQ16)))</f>
        <v>69.599999999999994</v>
      </c>
      <c r="AJ17" s="14">
        <f>AI17*VLOOKUP('Données projet'!$B$10,Paramètres!$A$1:$I$89,3,0)*VLOOKUP('Données projet'!$B$10,Paramètres!$A$1:$I$89,5,0)</f>
        <v>51.030719999999995</v>
      </c>
      <c r="AK17" s="14">
        <f t="shared" si="35"/>
        <v>14.879630660597618</v>
      </c>
      <c r="AL17" s="22">
        <f t="shared" si="4"/>
        <v>114.79386073387417</v>
      </c>
      <c r="AM17" s="62">
        <f t="shared" si="5"/>
        <v>388.57163851165194</v>
      </c>
      <c r="AN17" s="62">
        <f ca="1">AVERAGE(OFFSET($AM$3,0,0,'Données projet'!$E$10+1,1))-AVERAGE(OFFSET($H$3,0,0,'Données projet'!$E$10+1,1))</f>
        <v>296.15681058372093</v>
      </c>
      <c r="AO17" s="62">
        <f t="shared" si="36"/>
        <v>304.69148609083879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19</v>
      </c>
      <c r="BD17" s="13">
        <f>IF('Données projet'!$A$88&gt;35,BD16+BC17-BL16,IF(A17&lt;'Données projet'!$A$88,$BA$205^A17,IF(A17='Données projet'!$A$88,'Données projet'!$B$88,BD16+BC17-BL16)))</f>
        <v>123</v>
      </c>
      <c r="BE17" s="14">
        <f>BD17*VLOOKUP('Données projet'!$B$11,Paramètres!$A$1:$I$89,3,0)*VLOOKUP('Données projet'!$B$11,Paramètres!$A$1:$I$89,5,0)</f>
        <v>67.158000000000001</v>
      </c>
      <c r="BF17" s="14">
        <f t="shared" si="37"/>
        <v>18.965995379979955</v>
      </c>
      <c r="BG17" s="22">
        <f t="shared" si="7"/>
        <v>149.99929195346508</v>
      </c>
      <c r="BH17" s="62">
        <f t="shared" si="8"/>
        <v>423.77706973124282</v>
      </c>
      <c r="BI17" s="62">
        <f ca="1">AVERAGE(OFFSET($BH$3,0,0,'Données projet'!$E$11+1,1))-AVERAGE(OFFSET($H$3,0,0,'Données projet'!$E$11+1,1))</f>
        <v>198.95219623447554</v>
      </c>
      <c r="BJ17" s="62">
        <f t="shared" si="38"/>
        <v>299.68918988634471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2.781894755022527</v>
      </c>
      <c r="BS17" s="24">
        <f t="shared" si="9"/>
        <v>2.781894755022527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2">
        <f t="shared" si="32"/>
        <v>4.5465525901071517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70">
        <f t="shared" si="1"/>
        <v>287.81559576110328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2.85</v>
      </c>
      <c r="N18" s="14">
        <f>IF('Données projet'!$A$36&gt;35,N17+M18-V17,IF(A18&lt;'Données projet'!$A$36,$K$205^A18,IF(A18='Données projet'!$A$36,'Données projet'!$B$36,N17+M18-V17)))</f>
        <v>20.744651426583019</v>
      </c>
      <c r="O18" s="14">
        <f>N18*VLOOKUP('Données projet'!$B$9,Paramètres!$A$1:$I$89,3,0)*VLOOKUP('Données projet'!$B$9,Paramètres!$A$1:$I$89,5,0)</f>
        <v>18.122527486262925</v>
      </c>
      <c r="P18" s="14">
        <f t="shared" si="33"/>
        <v>5.960931998595087</v>
      </c>
      <c r="Q18" s="22">
        <f t="shared" si="2"/>
        <v>41.945358602794364</v>
      </c>
      <c r="R18" s="62">
        <f t="shared" si="0"/>
        <v>316.94535860279439</v>
      </c>
      <c r="S18" s="62">
        <f ca="1">AVERAGE(OFFSET($R$3,0,0,'Données projet'!$E$9+1,1))-AVERAGE(OFFSET($H$3,0,0,'Données projet'!$E$9+1,1))</f>
        <v>149.01553333688895</v>
      </c>
      <c r="T18" s="62">
        <f t="shared" si="34"/>
        <v>180.75293059562205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>
        <f>VLOOKUP(A18,'Données projet'!$A$61:$I$81,2,0)</f>
        <v>84</v>
      </c>
      <c r="AG18" s="13">
        <f>VLOOKUP(A18,'Données projet'!$A$61:$I$81,9,0)</f>
        <v>14.4</v>
      </c>
      <c r="AH18" s="13">
        <f t="array" ref="AH18">INDEX(AG:AG,MIN(IF(ISNUMBER(AG18:AG214),ROW(AG18:AG214),"")))</f>
        <v>14.4</v>
      </c>
      <c r="AI18" s="14">
        <f>IF('Données projet'!$A$62&gt;35,AI17+AH18-AQ17,IF(A18&lt;'Données projet'!$A$62,$AF$205^A18,IF(A18='Données projet'!$A$62,'Données projet'!$B$62,AI17+AH18-AQ17)))</f>
        <v>84</v>
      </c>
      <c r="AJ18" s="14">
        <f>AI18*VLOOKUP('Données projet'!$B$10,Paramètres!$A$1:$I$89,3,0)*VLOOKUP('Données projet'!$B$10,Paramètres!$A$1:$I$89,5,0)</f>
        <v>61.588799999999999</v>
      </c>
      <c r="AK18" s="14">
        <f t="shared" si="35"/>
        <v>17.56935444538782</v>
      </c>
      <c r="AL18" s="22">
        <f t="shared" si="4"/>
        <v>137.86711899238378</v>
      </c>
      <c r="AM18" s="62">
        <f t="shared" si="5"/>
        <v>412.86711899238378</v>
      </c>
      <c r="AN18" s="62">
        <f ca="1">AVERAGE(OFFSET($AM$3,0,0,'Données projet'!$E$10+1,1))-AVERAGE(OFFSET($H$3,0,0,'Données projet'!$E$10+1,1))</f>
        <v>296.15681058372093</v>
      </c>
      <c r="AO18" s="62">
        <f t="shared" si="36"/>
        <v>304.69148609083879</v>
      </c>
      <c r="AP18" s="16">
        <f>IF(ISNA(VLOOKUP(A18,'Données projet'!$A$61:$I$81,3,0)),0,VLOOKUP(A18,'Données projet'!$A$61:$I$81,3,0))</f>
        <v>2</v>
      </c>
      <c r="AQ18" s="16">
        <f>IF(ISNA(VLOOKUP(A18,'Données projet'!$A$61:$I$81,4,0)),0,VLOOKUP(A18,'Données projet'!$A$61:$I$81,4,0))</f>
        <v>42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>
        <f>VLOOKUP(A18,'Données projet'!$A$87:$I$107,2,0)</f>
        <v>142</v>
      </c>
      <c r="BB18" s="13">
        <f>VLOOKUP(A18,'Données projet'!$A$87:$I$107,9,0)</f>
        <v>19</v>
      </c>
      <c r="BC18" s="13">
        <f t="array" ref="BC18">INDEX(BB:BB,MIN(IF(ISNUMBER(BB18:BB214),ROW(BB18:BB214),"")))</f>
        <v>19</v>
      </c>
      <c r="BD18" s="13">
        <f>IF('Données projet'!$A$88&gt;35,BD17+BC18-BL17,IF(A18&lt;'Données projet'!$A$88,$BA$205^A18,IF(A18='Données projet'!$A$88,'Données projet'!$B$88,BD17+BC18-BL17)))</f>
        <v>142</v>
      </c>
      <c r="BE18" s="14">
        <f>BD18*VLOOKUP('Données projet'!$B$11,Paramètres!$A$1:$I$89,3,0)*VLOOKUP('Données projet'!$B$11,Paramètres!$A$1:$I$89,5,0)</f>
        <v>77.531999999999996</v>
      </c>
      <c r="BF18" s="14">
        <f t="shared" si="37"/>
        <v>21.532649196514885</v>
      </c>
      <c r="BG18" s="22">
        <f t="shared" si="7"/>
        <v>172.53759735059677</v>
      </c>
      <c r="BH18" s="62">
        <f t="shared" si="8"/>
        <v>447.5375973505968</v>
      </c>
      <c r="BI18" s="62">
        <f ca="1">AVERAGE(OFFSET($BH$3,0,0,'Données projet'!$E$11+1,1))-AVERAGE(OFFSET($H$3,0,0,'Données projet'!$E$11+1,1))</f>
        <v>198.95219623447554</v>
      </c>
      <c r="BJ18" s="62">
        <f t="shared" si="38"/>
        <v>299.68918988634471</v>
      </c>
      <c r="BK18" s="16">
        <f>IF(ISNA(VLOOKUP(A18,'Données projet'!$A$87:$I$107,3,0)),0,VLOOKUP(A18,'Données projet'!$A$87:$I$107,3,0))</f>
        <v>2</v>
      </c>
      <c r="BL18" s="16">
        <f>IF(ISNA(VLOOKUP(A18,'Données projet'!$A$87:$I$107,4,0)),0,VLOOKUP(A18,'Données projet'!$A$87:$I$107,4,0))</f>
        <v>41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1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27.313248858251178</v>
      </c>
      <c r="BS18" s="24">
        <f t="shared" si="9"/>
        <v>27.313248858251178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2">
        <f t="shared" si="32"/>
        <v>4.81336060460516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70">
        <f t="shared" si="1"/>
        <v>289.82897638635399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2.85</v>
      </c>
      <c r="N19" s="14">
        <f>IF('Données projet'!$A$36&gt;35,N18+M19-V18,IF(A19&lt;'Données projet'!$A$36,$K$205^A19,IF(A19='Données projet'!$A$36,'Données projet'!$B$36,N18+M19-V18)))</f>
        <v>25.392173948075062</v>
      </c>
      <c r="O19" s="14">
        <f>N19*VLOOKUP('Données projet'!$B$9,Paramètres!$A$1:$I$89,3,0)*VLOOKUP('Données projet'!$B$9,Paramètres!$A$1:$I$89,5,0)</f>
        <v>22.182603161038376</v>
      </c>
      <c r="P19" s="14">
        <f t="shared" si="33"/>
        <v>7.1267039573270132</v>
      </c>
      <c r="Q19" s="22">
        <f t="shared" si="2"/>
        <v>51.047043231153054</v>
      </c>
      <c r="R19" s="62">
        <f t="shared" si="0"/>
        <v>327.26926545337528</v>
      </c>
      <c r="S19" s="62">
        <f ca="1">AVERAGE(OFFSET($R$3,0,0,'Données projet'!$E$9+1,1))-AVERAGE(OFFSET($H$3,0,0,'Données projet'!$E$9+1,1))</f>
        <v>149.01553333688895</v>
      </c>
      <c r="T19" s="62">
        <f t="shared" si="34"/>
        <v>180.75293059562205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16.2</v>
      </c>
      <c r="AI19" s="14">
        <f>IF('Données projet'!$A$62&gt;35,AI18+AH19-AQ18,IF(A19&lt;'Données projet'!$A$62,$AF$205^A19,IF(A19='Données projet'!$A$62,'Données projet'!$B$62,AI18+AH19-AQ18)))</f>
        <v>58.2</v>
      </c>
      <c r="AJ19" s="14">
        <f>AI19*VLOOKUP('Données projet'!$B$10,Paramètres!$A$1:$I$89,3,0)*VLOOKUP('Données projet'!$B$10,Paramètres!$A$1:$I$89,5,0)</f>
        <v>42.672240000000002</v>
      </c>
      <c r="AK19" s="14">
        <f t="shared" si="35"/>
        <v>12.704236692203963</v>
      </c>
      <c r="AL19" s="22">
        <f t="shared" si="4"/>
        <v>96.447363572255242</v>
      </c>
      <c r="AM19" s="62">
        <f t="shared" si="5"/>
        <v>372.66958579447748</v>
      </c>
      <c r="AN19" s="62">
        <f ca="1">AVERAGE(OFFSET($AM$3,0,0,'Données projet'!$E$10+1,1))-AVERAGE(OFFSET($H$3,0,0,'Données projet'!$E$10+1,1))</f>
        <v>296.15681058372093</v>
      </c>
      <c r="AO19" s="62">
        <f t="shared" si="36"/>
        <v>304.69148609083879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20</v>
      </c>
      <c r="BD19" s="13">
        <f>IF('Données projet'!$A$88&gt;35,BD18+BC19-BL18,IF(A19&lt;'Données projet'!$A$88,$BA$205^A19,IF(A19='Données projet'!$A$88,'Données projet'!$B$88,BD18+BC19-BL18)))</f>
        <v>121</v>
      </c>
      <c r="BE19" s="14">
        <f>BD19*VLOOKUP('Données projet'!$B$11,Paramètres!$A$1:$I$89,3,0)*VLOOKUP('Données projet'!$B$11,Paramètres!$A$1:$I$89,5,0)</f>
        <v>66.066000000000003</v>
      </c>
      <c r="BF19" s="14">
        <f t="shared" si="37"/>
        <v>18.69324238096624</v>
      </c>
      <c r="BG19" s="22">
        <f t="shared" si="7"/>
        <v>147.62234714684953</v>
      </c>
      <c r="BH19" s="62">
        <f t="shared" si="8"/>
        <v>423.84456936907179</v>
      </c>
      <c r="BI19" s="62">
        <f ca="1">AVERAGE(OFFSET($BH$3,0,0,'Données projet'!$E$11+1,1))-AVERAGE(OFFSET($H$3,0,0,'Données projet'!$E$11+1,1))</f>
        <v>198.95219623447554</v>
      </c>
      <c r="BJ19" s="62">
        <f t="shared" si="38"/>
        <v>299.68918988634471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19.313383483905135</v>
      </c>
      <c r="BS19" s="24">
        <f t="shared" si="9"/>
        <v>19.313383483905135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2">
        <f t="shared" si="32"/>
        <v>5.0782333044806931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70">
        <f t="shared" si="1"/>
        <v>291.83898633863726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2.85</v>
      </c>
      <c r="N20" s="14">
        <f>IF('Données projet'!$A$36&gt;35,N19+M20-V19,IF(A20&lt;'Données projet'!$A$36,$K$205^A20,IF(A20='Données projet'!$A$36,'Données projet'!$B$36,N19+M20-V19)))</f>
        <v>31.080902954246678</v>
      </c>
      <c r="O20" s="14">
        <f>N20*VLOOKUP('Données projet'!$B$9,Paramètres!$A$1:$I$89,3,0)*VLOOKUP('Données projet'!$B$9,Paramètres!$A$1:$I$89,5,0)</f>
        <v>27.152276820829904</v>
      </c>
      <c r="P20" s="14">
        <f t="shared" si="33"/>
        <v>8.5204644688701361</v>
      </c>
      <c r="Q20" s="22">
        <f t="shared" si="2"/>
        <v>62.130024412894237</v>
      </c>
      <c r="R20" s="62">
        <f t="shared" si="0"/>
        <v>339.57446885733867</v>
      </c>
      <c r="S20" s="62">
        <f ca="1">AVERAGE(OFFSET($R$3,0,0,'Données projet'!$E$9+1,1))-AVERAGE(OFFSET($H$3,0,0,'Données projet'!$E$9+1,1))</f>
        <v>149.01553333688895</v>
      </c>
      <c r="T20" s="62">
        <f t="shared" si="34"/>
        <v>180.75293059562205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16.2</v>
      </c>
      <c r="AI20" s="14">
        <f>IF('Données projet'!$A$62&gt;35,AI19+AH20-AQ19,IF(A20&lt;'Données projet'!$A$62,$AF$205^A20,IF(A20='Données projet'!$A$62,'Données projet'!$B$62,AI19+AH20-AQ19)))</f>
        <v>74.400000000000006</v>
      </c>
      <c r="AJ20" s="14">
        <f>AI20*VLOOKUP('Données projet'!$B$10,Paramètres!$A$1:$I$89,3,0)*VLOOKUP('Données projet'!$B$10,Paramètres!$A$1:$I$89,5,0)</f>
        <v>54.550080000000008</v>
      </c>
      <c r="AK20" s="14">
        <f t="shared" si="35"/>
        <v>15.782815260920124</v>
      </c>
      <c r="AL20" s="22">
        <f t="shared" si="4"/>
        <v>122.49645924610256</v>
      </c>
      <c r="AM20" s="62">
        <f t="shared" si="5"/>
        <v>399.94090369054703</v>
      </c>
      <c r="AN20" s="62">
        <f ca="1">AVERAGE(OFFSET($AM$3,0,0,'Données projet'!$E$10+1,1))-AVERAGE(OFFSET($H$3,0,0,'Données projet'!$E$10+1,1))</f>
        <v>296.15681058372093</v>
      </c>
      <c r="AO20" s="62">
        <f t="shared" si="36"/>
        <v>304.69148609083879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20</v>
      </c>
      <c r="BD20" s="13">
        <f>IF('Données projet'!$A$88&gt;35,BD19+BC20-BL19,IF(A20&lt;'Données projet'!$A$88,$BA$205^A20,IF(A20='Données projet'!$A$88,'Données projet'!$B$88,BD19+BC20-BL19)))</f>
        <v>141</v>
      </c>
      <c r="BE20" s="14">
        <f>BD20*VLOOKUP('Données projet'!$B$11,Paramètres!$A$1:$I$89,3,0)*VLOOKUP('Données projet'!$B$11,Paramètres!$A$1:$I$89,5,0)</f>
        <v>76.986000000000004</v>
      </c>
      <c r="BF20" s="14">
        <f t="shared" si="37"/>
        <v>21.398606468170591</v>
      </c>
      <c r="BG20" s="22">
        <f t="shared" si="7"/>
        <v>171.35318959873044</v>
      </c>
      <c r="BH20" s="62">
        <f t="shared" si="8"/>
        <v>448.79763404317487</v>
      </c>
      <c r="BI20" s="62">
        <f ca="1">AVERAGE(OFFSET($BH$3,0,0,'Données projet'!$E$11+1,1))-AVERAGE(OFFSET($H$3,0,0,'Données projet'!$E$11+1,1))</f>
        <v>198.95219623447554</v>
      </c>
      <c r="BJ20" s="62">
        <f t="shared" si="38"/>
        <v>299.68918988634471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13.656624429125589</v>
      </c>
      <c r="BS20" s="24">
        <f t="shared" si="9"/>
        <v>13.656624429125589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2">
        <f t="shared" si="32"/>
        <v>5.3412974993444182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70">
        <f t="shared" si="1"/>
        <v>293.8458464780249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2.85</v>
      </c>
      <c r="N21" s="14">
        <f>IF('Données projet'!$A$36&gt;35,N20+M21-V20,IF(A21&lt;'Données projet'!$A$36,$K$205^A21,IF(A21='Données projet'!$A$36,'Données projet'!$B$36,N20+M21-V20)))</f>
        <v>38.044104865803838</v>
      </c>
      <c r="O21" s="14">
        <f>N21*VLOOKUP('Données projet'!$B$9,Paramètres!$A$1:$I$89,3,0)*VLOOKUP('Données projet'!$B$9,Paramètres!$A$1:$I$89,5,0)</f>
        <v>33.235330010766241</v>
      </c>
      <c r="P21" s="14">
        <f t="shared" si="33"/>
        <v>10.186800967176366</v>
      </c>
      <c r="Q21" s="22">
        <f t="shared" si="2"/>
        <v>75.626878119916697</v>
      </c>
      <c r="R21" s="62">
        <f t="shared" si="0"/>
        <v>354.29354478658337</v>
      </c>
      <c r="S21" s="62">
        <f ca="1">AVERAGE(OFFSET($R$3,0,0,'Données projet'!$E$9+1,1))-AVERAGE(OFFSET($H$3,0,0,'Données projet'!$E$9+1,1))</f>
        <v>149.01553333688895</v>
      </c>
      <c r="T21" s="62">
        <f t="shared" si="34"/>
        <v>180.75293059562205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16.2</v>
      </c>
      <c r="AI21" s="14">
        <f>IF('Données projet'!$A$62&gt;35,AI20+AH21-AQ20,IF(A21&lt;'Données projet'!$A$62,$AF$205^A21,IF(A21='Données projet'!$A$62,'Données projet'!$B$62,AI20+AH21-AQ20)))</f>
        <v>90.600000000000009</v>
      </c>
      <c r="AJ21" s="14">
        <f>AI21*VLOOKUP('Données projet'!$B$10,Paramètres!$A$1:$I$89,3,0)*VLOOKUP('Données projet'!$B$10,Paramètres!$A$1:$I$89,5,0)</f>
        <v>66.42792</v>
      </c>
      <c r="AK21" s="14">
        <f t="shared" si="35"/>
        <v>18.783698241275044</v>
      </c>
      <c r="AL21" s="22">
        <f t="shared" si="4"/>
        <v>148.41023510355402</v>
      </c>
      <c r="AM21" s="62">
        <f t="shared" si="5"/>
        <v>427.07690177022073</v>
      </c>
      <c r="AN21" s="62">
        <f ca="1">AVERAGE(OFFSET($AM$3,0,0,'Données projet'!$E$10+1,1))-AVERAGE(OFFSET($H$3,0,0,'Données projet'!$E$10+1,1))</f>
        <v>296.15681058372093</v>
      </c>
      <c r="AO21" s="62">
        <f t="shared" si="36"/>
        <v>304.69148609083879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20</v>
      </c>
      <c r="BD21" s="13">
        <f>IF('Données projet'!$A$88&gt;35,BD20+BC21-BL20,IF(A21&lt;'Données projet'!$A$88,$BA$205^A21,IF(A21='Données projet'!$A$88,'Données projet'!$B$88,BD20+BC21-BL20)))</f>
        <v>161</v>
      </c>
      <c r="BE21" s="14">
        <f>BD21*VLOOKUP('Données projet'!$B$11,Paramètres!$A$1:$I$89,3,0)*VLOOKUP('Données projet'!$B$11,Paramètres!$A$1:$I$89,5,0)</f>
        <v>87.906000000000006</v>
      </c>
      <c r="BF21" s="14">
        <f t="shared" si="37"/>
        <v>24.059512761382098</v>
      </c>
      <c r="BG21" s="22">
        <f t="shared" si="7"/>
        <v>195.00660139274046</v>
      </c>
      <c r="BH21" s="62">
        <f t="shared" si="8"/>
        <v>473.67326805940718</v>
      </c>
      <c r="BI21" s="62">
        <f ca="1">AVERAGE(OFFSET($BH$3,0,0,'Données projet'!$E$11+1,1))-AVERAGE(OFFSET($H$3,0,0,'Données projet'!$E$11+1,1))</f>
        <v>198.95219623447554</v>
      </c>
      <c r="BJ21" s="62">
        <f t="shared" si="38"/>
        <v>299.68918988634471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9.6566917419525673</v>
      </c>
      <c r="BS21" s="24">
        <f t="shared" si="9"/>
        <v>9.6566917419525673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2">
        <f t="shared" si="32"/>
        <v>5.6026651130643481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70">
        <f t="shared" si="1"/>
        <v>295.84975173858709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2.85</v>
      </c>
      <c r="N22" s="14">
        <f>IF('Données projet'!$A$36&gt;35,N21+M22-V21,IF(A22&lt;'Données projet'!$A$36,$K$205^A22,IF(A22='Données projet'!$A$36,'Données projet'!$B$36,N21+M22-V21)))</f>
        <v>46.567305884609858</v>
      </c>
      <c r="O22" s="14">
        <f>N22*VLOOKUP('Données projet'!$B$9,Paramètres!$A$1:$I$89,3,0)*VLOOKUP('Données projet'!$B$9,Paramètres!$A$1:$I$89,5,0)</f>
        <v>40.681198420795177</v>
      </c>
      <c r="P22" s="14">
        <f t="shared" si="33"/>
        <v>12.179020794464504</v>
      </c>
      <c r="Q22" s="22">
        <f t="shared" si="2"/>
        <v>92.064881799910609</v>
      </c>
      <c r="R22" s="62">
        <f t="shared" si="0"/>
        <v>371.95377068879947</v>
      </c>
      <c r="S22" s="62">
        <f ca="1">AVERAGE(OFFSET($R$3,0,0,'Données projet'!$E$9+1,1))-AVERAGE(OFFSET($H$3,0,0,'Données projet'!$E$9+1,1))</f>
        <v>149.01553333688895</v>
      </c>
      <c r="T22" s="62">
        <f t="shared" si="34"/>
        <v>180.75293059562205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16.2</v>
      </c>
      <c r="AI22" s="14">
        <f>IF('Données projet'!$A$62&gt;35,AI21+AH22-AQ21,IF(A22&lt;'Données projet'!$A$62,$AF$205^A22,IF(A22='Données projet'!$A$62,'Données projet'!$B$62,AI21+AH22-AQ21)))</f>
        <v>106.80000000000001</v>
      </c>
      <c r="AJ22" s="14">
        <f>AI22*VLOOKUP('Données projet'!$B$10,Paramètres!$A$1:$I$89,3,0)*VLOOKUP('Données projet'!$B$10,Paramètres!$A$1:$I$89,5,0)</f>
        <v>78.305760000000006</v>
      </c>
      <c r="AK22" s="14">
        <f t="shared" si="35"/>
        <v>21.722418982737217</v>
      </c>
      <c r="AL22" s="22">
        <f t="shared" si="4"/>
        <v>174.21574506160064</v>
      </c>
      <c r="AM22" s="62">
        <f t="shared" si="5"/>
        <v>454.10463395048953</v>
      </c>
      <c r="AN22" s="62">
        <f ca="1">AVERAGE(OFFSET($AM$3,0,0,'Données projet'!$E$10+1,1))-AVERAGE(OFFSET($H$3,0,0,'Données projet'!$E$10+1,1))</f>
        <v>296.15681058372093</v>
      </c>
      <c r="AO22" s="62">
        <f t="shared" si="36"/>
        <v>304.69148609083879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20</v>
      </c>
      <c r="BD22" s="13">
        <f>IF('Données projet'!$A$88&gt;35,BD21+BC22-BL21,IF(A22&lt;'Données projet'!$A$88,$BA$205^A22,IF(A22='Données projet'!$A$88,'Données projet'!$B$88,BD21+BC22-BL21)))</f>
        <v>181</v>
      </c>
      <c r="BE22" s="14">
        <f>BD22*VLOOKUP('Données projet'!$B$11,Paramètres!$A$1:$I$89,3,0)*VLOOKUP('Données projet'!$B$11,Paramètres!$A$1:$I$89,5,0)</f>
        <v>98.825999999999993</v>
      </c>
      <c r="BF22" s="14">
        <f t="shared" si="37"/>
        <v>26.682116294536247</v>
      </c>
      <c r="BG22" s="22">
        <f t="shared" si="7"/>
        <v>218.59330254631723</v>
      </c>
      <c r="BH22" s="62">
        <f t="shared" si="8"/>
        <v>498.48219143520612</v>
      </c>
      <c r="BI22" s="62">
        <f ca="1">AVERAGE(OFFSET($BH$3,0,0,'Données projet'!$E$11+1,1))-AVERAGE(OFFSET($H$3,0,0,'Données projet'!$E$11+1,1))</f>
        <v>198.95219623447554</v>
      </c>
      <c r="BJ22" s="62">
        <f t="shared" si="38"/>
        <v>299.68918988634471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6.8283122145627946</v>
      </c>
      <c r="BS22" s="24">
        <f t="shared" si="9"/>
        <v>6.8283122145627946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2">
        <f t="shared" si="32"/>
        <v>5.862435622634961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70">
        <f t="shared" si="1"/>
        <v>297.85087537608922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57</v>
      </c>
      <c r="L23" s="13">
        <f>VLOOKUP(A23,'Données projet'!$A$35:$I$55,9,0)</f>
        <v>2.85</v>
      </c>
      <c r="M23" s="13">
        <f t="array" ref="M23">INDEX(L:L,MIN(IF(ISNUMBER(L23:L219),ROW(L23:L219),"")))</f>
        <v>2.85</v>
      </c>
      <c r="N23" s="14">
        <f>IF('Données projet'!$A$36&gt;35,N22+M23-V22,IF(A23&lt;'Données projet'!$A$36,$K$205^A23,IF(A23='Données projet'!$A$36,'Données projet'!$B$36,N22+M23-V22)))</f>
        <v>57</v>
      </c>
      <c r="O23" s="14">
        <f>N23*VLOOKUP('Données projet'!$B$9,Paramètres!$A$1:$I$89,3,0)*VLOOKUP('Données projet'!$B$9,Paramètres!$A$1:$I$89,5,0)</f>
        <v>49.795200000000001</v>
      </c>
      <c r="P23" s="14">
        <f t="shared" si="33"/>
        <v>14.560856542690781</v>
      </c>
      <c r="Q23" s="22">
        <f t="shared" si="2"/>
        <v>112.08679847851977</v>
      </c>
      <c r="R23" s="62">
        <f t="shared" si="0"/>
        <v>393.19790958963091</v>
      </c>
      <c r="S23" s="62">
        <f ca="1">AVERAGE(OFFSET($R$3,0,0,'Données projet'!$E$9+1,1))-AVERAGE(OFFSET($H$3,0,0,'Données projet'!$E$9+1,1))</f>
        <v>149.01553333688895</v>
      </c>
      <c r="T23" s="62">
        <f t="shared" si="34"/>
        <v>180.75293059562205</v>
      </c>
      <c r="U23" s="16">
        <f>IF(ISNA(VLOOKUP(A23,'Données projet'!$A$35:$I$55,3,0)),0,VLOOKUP(A23,'Données projet'!$A$35:$I$55,3,0))</f>
        <v>1</v>
      </c>
      <c r="V23" s="16">
        <f>IF(ISNA(VLOOKUP(A23,'Données projet'!$A$35:$I$55,4,0)),0,VLOOKUP(A23,'Données projet'!$A$35:$I$55,4,0))</f>
        <v>4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1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3.2970604503970691</v>
      </c>
      <c r="AC23" s="24">
        <f t="shared" si="3"/>
        <v>3.2970604503970691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123</v>
      </c>
      <c r="AG23" s="13">
        <f>VLOOKUP(A23,'Données projet'!$A$61:$I$81,9,0)</f>
        <v>16.2</v>
      </c>
      <c r="AH23" s="13">
        <f t="array" ref="AH23">INDEX(AG:AG,MIN(IF(ISNUMBER(AG23:AG219),ROW(AG23:AG219),"")))</f>
        <v>16.2</v>
      </c>
      <c r="AI23" s="14">
        <f>IF('Données projet'!$A$62&gt;35,AI22+AH23-AQ22,IF(A23&lt;'Données projet'!$A$62,$AF$205^A23,IF(A23='Données projet'!$A$62,'Données projet'!$B$62,AI22+AH23-AQ22)))</f>
        <v>123.00000000000001</v>
      </c>
      <c r="AJ23" s="14">
        <f>AI23*VLOOKUP('Données projet'!$B$10,Paramètres!$A$1:$I$89,3,0)*VLOOKUP('Données projet'!$B$10,Paramètres!$A$1:$I$89,5,0)</f>
        <v>90.183600000000013</v>
      </c>
      <c r="AK23" s="14">
        <f t="shared" si="35"/>
        <v>24.609499639553789</v>
      </c>
      <c r="AL23" s="22">
        <f t="shared" si="4"/>
        <v>199.93131520555619</v>
      </c>
      <c r="AM23" s="62">
        <f t="shared" si="5"/>
        <v>481.04242631666733</v>
      </c>
      <c r="AN23" s="62">
        <f ca="1">AVERAGE(OFFSET($AM$3,0,0,'Données projet'!$E$10+1,1))-AVERAGE(OFFSET($H$3,0,0,'Données projet'!$E$10+1,1))</f>
        <v>296.15681058372093</v>
      </c>
      <c r="AO23" s="62">
        <f t="shared" si="36"/>
        <v>304.69148609083879</v>
      </c>
      <c r="AP23" s="16">
        <f>IF(ISNA(VLOOKUP(A23,'Données projet'!$A$61:$I$81,3,0)),0,VLOOKUP(A23,'Données projet'!$A$61:$I$81,3,0))</f>
        <v>3</v>
      </c>
      <c r="AQ23" s="16">
        <f>IF(ISNA(VLOOKUP(A23,'Données projet'!$A$61:$I$81,4,0)),0,VLOOKUP(A23,'Données projet'!$A$61:$I$81,4,0))</f>
        <v>42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201</v>
      </c>
      <c r="BB23" s="13">
        <f>VLOOKUP(A23,'Données projet'!$A$87:$I$107,9,0)</f>
        <v>20</v>
      </c>
      <c r="BC23" s="13">
        <f t="array" ref="BC23">INDEX(BB:BB,MIN(IF(ISNUMBER(BB23:BB219),ROW(BB23:BB219),"")))</f>
        <v>20</v>
      </c>
      <c r="BD23" s="13">
        <f>IF('Données projet'!$A$88&gt;35,BD22+BC23-BL22,IF(A23&lt;'Données projet'!$A$88,$BA$205^A23,IF(A23='Données projet'!$A$88,'Données projet'!$B$88,BD22+BC23-BL22)))</f>
        <v>201</v>
      </c>
      <c r="BE23" s="14">
        <f>BD23*VLOOKUP('Données projet'!$B$11,Paramètres!$A$1:$I$89,3,0)*VLOOKUP('Données projet'!$B$11,Paramètres!$A$1:$I$89,5,0)</f>
        <v>109.74600000000001</v>
      </c>
      <c r="BF23" s="14">
        <f t="shared" si="37"/>
        <v>29.271132142080997</v>
      </c>
      <c r="BG23" s="22">
        <f t="shared" si="7"/>
        <v>242.12150514745778</v>
      </c>
      <c r="BH23" s="62">
        <f t="shared" si="8"/>
        <v>523.2326162585689</v>
      </c>
      <c r="BI23" s="62">
        <f ca="1">AVERAGE(OFFSET($BH$3,0,0,'Données projet'!$E$11+1,1))-AVERAGE(OFFSET($H$3,0,0,'Données projet'!$E$11+1,1))</f>
        <v>198.95219623447554</v>
      </c>
      <c r="BJ23" s="62">
        <f t="shared" si="38"/>
        <v>299.68918988634471</v>
      </c>
      <c r="BK23" s="16">
        <f>IF(ISNA(VLOOKUP(A23,'Données projet'!$A$87:$I$107,3,0)),0,VLOOKUP(A23,'Données projet'!$A$87:$I$107,3,0))</f>
        <v>3</v>
      </c>
      <c r="BL23" s="16">
        <f>IF(ISNA(VLOOKUP(A23,'Données projet'!$A$87:$I$107,4,0)),0,VLOOKUP(A23,'Données projet'!$A$87:$I$107,4,0))</f>
        <v>47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1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33.883691090100449</v>
      </c>
      <c r="BS23" s="24">
        <f t="shared" si="9"/>
        <v>33.883691090100449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2">
        <f t="shared" si="32"/>
        <v>6.1206979954107776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70">
        <f t="shared" si="1"/>
        <v>299.84937234200714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7.4</v>
      </c>
      <c r="N24" s="14">
        <f>IF('Données projet'!$A$36&gt;35,N23+M24-V23,IF(A24&lt;'Données projet'!$A$36,$K$205^A24,IF(A24='Données projet'!$A$36,'Données projet'!$B$36,N23+M24-V23)))</f>
        <v>60.400000000000006</v>
      </c>
      <c r="O24" s="14">
        <f>N24*VLOOKUP('Données projet'!$B$9,Paramètres!$A$1:$I$89,3,0)*VLOOKUP('Données projet'!$B$9,Paramètres!$A$1:$I$89,5,0)</f>
        <v>52.765440000000012</v>
      </c>
      <c r="P24" s="14">
        <f t="shared" si="33"/>
        <v>15.325693633848015</v>
      </c>
      <c r="Q24" s="22">
        <f t="shared" si="2"/>
        <v>118.59205774561866</v>
      </c>
      <c r="R24" s="62">
        <f t="shared" si="0"/>
        <v>400.92539107895198</v>
      </c>
      <c r="S24" s="62">
        <f ca="1">AVERAGE(OFFSET($R$3,0,0,'Données projet'!$E$9+1,1))-AVERAGE(OFFSET($H$3,0,0,'Données projet'!$E$9+1,1))</f>
        <v>149.01553333688895</v>
      </c>
      <c r="T24" s="62">
        <f t="shared" si="34"/>
        <v>180.75293059562205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2.3313738024577404</v>
      </c>
      <c r="AC24" s="24">
        <f t="shared" si="3"/>
        <v>2.3313738024577404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16.8</v>
      </c>
      <c r="AI24" s="14">
        <f>IF('Données projet'!$A$62&gt;35,AI23+AH24-AQ23,IF(A24&lt;'Données projet'!$A$62,$AF$205^A24,IF(A24='Données projet'!$A$62,'Données projet'!$B$62,AI23+AH24-AQ23)))</f>
        <v>97.800000000000011</v>
      </c>
      <c r="AJ24" s="14">
        <f>AI24*VLOOKUP('Données projet'!$B$10,Paramètres!$A$1:$I$89,3,0)*VLOOKUP('Données projet'!$B$10,Paramètres!$A$1:$I$89,5,0)</f>
        <v>71.706960000000009</v>
      </c>
      <c r="AK24" s="14">
        <f t="shared" si="35"/>
        <v>20.096759687088312</v>
      </c>
      <c r="AL24" s="22">
        <f t="shared" si="4"/>
        <v>159.89147845501216</v>
      </c>
      <c r="AM24" s="62">
        <f t="shared" si="5"/>
        <v>442.22481178834551</v>
      </c>
      <c r="AN24" s="62">
        <f ca="1">AVERAGE(OFFSET($AM$3,0,0,'Données projet'!$E$10+1,1))-AVERAGE(OFFSET($H$3,0,0,'Données projet'!$E$10+1,1))</f>
        <v>296.15681058372093</v>
      </c>
      <c r="AO24" s="62">
        <f t="shared" si="36"/>
        <v>304.69148609083879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17.8</v>
      </c>
      <c r="BD24" s="13">
        <f>IF('Données projet'!$A$88&gt;35,BD23+BC24-BL23,IF(A24&lt;'Données projet'!$A$88,$BA$205^A24,IF(A24='Données projet'!$A$88,'Données projet'!$B$88,BD23+BC24-BL23)))</f>
        <v>171.8</v>
      </c>
      <c r="BE24" s="14">
        <f>BD24*VLOOKUP('Données projet'!$B$11,Paramètres!$A$1:$I$89,3,0)*VLOOKUP('Données projet'!$B$11,Paramètres!$A$1:$I$89,5,0)</f>
        <v>93.802800000000005</v>
      </c>
      <c r="BF24" s="14">
        <f t="shared" si="37"/>
        <v>25.480148084944911</v>
      </c>
      <c r="BG24" s="22">
        <f t="shared" si="7"/>
        <v>207.75113458127905</v>
      </c>
      <c r="BH24" s="62">
        <f t="shared" si="8"/>
        <v>490.08446791461233</v>
      </c>
      <c r="BI24" s="62">
        <f ca="1">AVERAGE(OFFSET($BH$3,0,0,'Données projet'!$E$11+1,1))-AVERAGE(OFFSET($H$3,0,0,'Données projet'!$E$11+1,1))</f>
        <v>198.95219623447554</v>
      </c>
      <c r="BJ24" s="62">
        <f t="shared" si="38"/>
        <v>299.68918988634471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23.959387741440228</v>
      </c>
      <c r="BS24" s="24">
        <f t="shared" si="9"/>
        <v>23.959387741440228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2">
        <f t="shared" si="32"/>
        <v>6.3775322468881095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70">
        <f t="shared" si="1"/>
        <v>301.84538199666349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7.4</v>
      </c>
      <c r="N25" s="14">
        <f>IF('Données projet'!$A$36&gt;35,N24+M25-V24,IF(A25&lt;'Données projet'!$A$36,$K$205^A25,IF(A25='Données projet'!$A$36,'Données projet'!$B$36,N24+M25-V24)))</f>
        <v>67.800000000000011</v>
      </c>
      <c r="O25" s="14">
        <f>N25*VLOOKUP('Données projet'!$B$9,Paramètres!$A$1:$I$89,3,0)*VLOOKUP('Données projet'!$B$9,Paramètres!$A$1:$I$89,5,0)</f>
        <v>59.230080000000015</v>
      </c>
      <c r="P25" s="14">
        <f t="shared" si="33"/>
        <v>16.973463004911878</v>
      </c>
      <c r="Q25" s="22">
        <f t="shared" si="2"/>
        <v>132.72117073355489</v>
      </c>
      <c r="R25" s="62">
        <f t="shared" si="0"/>
        <v>416.27672628911046</v>
      </c>
      <c r="S25" s="62">
        <f ca="1">AVERAGE(OFFSET($R$3,0,0,'Données projet'!$E$9+1,1))-AVERAGE(OFFSET($H$3,0,0,'Données projet'!$E$9+1,1))</f>
        <v>149.01553333688895</v>
      </c>
      <c r="T25" s="62">
        <f t="shared" si="34"/>
        <v>180.75293059562205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1.6485302251985348</v>
      </c>
      <c r="AC25" s="24">
        <f t="shared" si="3"/>
        <v>1.6485302251985348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16.8</v>
      </c>
      <c r="AI25" s="14">
        <f>IF('Données projet'!$A$62&gt;35,AI24+AH25-AQ24,IF(A25&lt;'Données projet'!$A$62,$AF$205^A25,IF(A25='Données projet'!$A$62,'Données projet'!$B$62,AI24+AH25-AQ24)))</f>
        <v>114.60000000000001</v>
      </c>
      <c r="AJ25" s="14">
        <f>AI25*VLOOKUP('Données projet'!$B$10,Paramètres!$A$1:$I$89,3,0)*VLOOKUP('Données projet'!$B$10,Paramètres!$A$1:$I$89,5,0)</f>
        <v>84.024720000000002</v>
      </c>
      <c r="AK25" s="14">
        <f t="shared" si="35"/>
        <v>23.11842031654454</v>
      </c>
      <c r="AL25" s="22">
        <f t="shared" si="4"/>
        <v>186.6076360513151</v>
      </c>
      <c r="AM25" s="62">
        <f t="shared" si="5"/>
        <v>470.16319160687067</v>
      </c>
      <c r="AN25" s="62">
        <f ca="1">AVERAGE(OFFSET($AM$3,0,0,'Données projet'!$E$10+1,1))-AVERAGE(OFFSET($H$3,0,0,'Données projet'!$E$10+1,1))</f>
        <v>296.15681058372093</v>
      </c>
      <c r="AO25" s="62">
        <f t="shared" si="36"/>
        <v>304.69148609083879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17.8</v>
      </c>
      <c r="BD25" s="13">
        <f>IF('Données projet'!$A$88&gt;35,BD24+BC25-BL24,IF(A25&lt;'Données projet'!$A$88,$BA$205^A25,IF(A25='Données projet'!$A$88,'Données projet'!$B$88,BD24+BC25-BL24)))</f>
        <v>189.60000000000002</v>
      </c>
      <c r="BE25" s="14">
        <f>BD25*VLOOKUP('Données projet'!$B$11,Paramètres!$A$1:$I$89,3,0)*VLOOKUP('Données projet'!$B$11,Paramètres!$A$1:$I$89,5,0)</f>
        <v>103.52160000000001</v>
      </c>
      <c r="BF25" s="14">
        <f t="shared" si="37"/>
        <v>27.79927277621136</v>
      </c>
      <c r="BG25" s="22">
        <f t="shared" si="7"/>
        <v>228.71718675190144</v>
      </c>
      <c r="BH25" s="62">
        <f t="shared" si="8"/>
        <v>512.27274230745695</v>
      </c>
      <c r="BI25" s="62">
        <f ca="1">AVERAGE(OFFSET($BH$3,0,0,'Données projet'!$E$11+1,1))-AVERAGE(OFFSET($H$3,0,0,'Données projet'!$E$11+1,1))</f>
        <v>198.95219623447554</v>
      </c>
      <c r="BJ25" s="62">
        <f t="shared" si="38"/>
        <v>299.68918988634471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16.941845545050224</v>
      </c>
      <c r="BS25" s="24">
        <f t="shared" si="9"/>
        <v>16.941845545050224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2">
        <f t="shared" si="32"/>
        <v>6.6330107072474558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70">
        <f t="shared" si="1"/>
        <v>303.83903031512267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7.4</v>
      </c>
      <c r="N26" s="14">
        <f>IF('Données projet'!$A$36&gt;35,N25+M26-V25,IF(A26&lt;'Données projet'!$A$36,$K$205^A26,IF(A26='Données projet'!$A$36,'Données projet'!$B$36,N25+M26-V25)))</f>
        <v>75.200000000000017</v>
      </c>
      <c r="O26" s="14">
        <f>N26*VLOOKUP('Données projet'!$B$9,Paramètres!$A$1:$I$89,3,0)*VLOOKUP('Données projet'!$B$9,Paramètres!$A$1:$I$89,5,0)</f>
        <v>65.694720000000032</v>
      </c>
      <c r="P26" s="14">
        <f t="shared" si="33"/>
        <v>18.600387185619521</v>
      </c>
      <c r="Q26" s="22">
        <f t="shared" si="2"/>
        <v>146.81397834828738</v>
      </c>
      <c r="R26" s="62">
        <f t="shared" si="0"/>
        <v>431.59175612606515</v>
      </c>
      <c r="S26" s="62">
        <f ca="1">AVERAGE(OFFSET($R$3,0,0,'Données projet'!$E$9+1,1))-AVERAGE(OFFSET($H$3,0,0,'Données projet'!$E$9+1,1))</f>
        <v>149.01553333688895</v>
      </c>
      <c r="T26" s="62">
        <f t="shared" si="34"/>
        <v>180.75293059562205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1.1656869012288704</v>
      </c>
      <c r="AC26" s="24">
        <f t="shared" si="3"/>
        <v>1.1656869012288704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16.8</v>
      </c>
      <c r="AI26" s="14">
        <f>IF('Données projet'!$A$62&gt;35,AI25+AH26-AQ25,IF(A26&lt;'Données projet'!$A$62,$AF$205^A26,IF(A26='Données projet'!$A$62,'Données projet'!$B$62,AI25+AH26-AQ25)))</f>
        <v>131.4</v>
      </c>
      <c r="AJ26" s="14">
        <f>AI26*VLOOKUP('Données projet'!$B$10,Paramètres!$A$1:$I$89,3,0)*VLOOKUP('Données projet'!$B$10,Paramètres!$A$1:$I$89,5,0)</f>
        <v>96.342480000000009</v>
      </c>
      <c r="AK26" s="14">
        <f t="shared" si="35"/>
        <v>26.088763268244669</v>
      </c>
      <c r="AL26" s="22">
        <f t="shared" si="4"/>
        <v>213.23441535885948</v>
      </c>
      <c r="AM26" s="62">
        <f t="shared" si="5"/>
        <v>498.01219313663728</v>
      </c>
      <c r="AN26" s="62">
        <f ca="1">AVERAGE(OFFSET($AM$3,0,0,'Données projet'!$E$10+1,1))-AVERAGE(OFFSET($H$3,0,0,'Données projet'!$E$10+1,1))</f>
        <v>296.15681058372093</v>
      </c>
      <c r="AO26" s="62">
        <f t="shared" si="36"/>
        <v>304.69148609083879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17.8</v>
      </c>
      <c r="BD26" s="13">
        <f>IF('Données projet'!$A$88&gt;35,BD25+BC26-BL25,IF(A26&lt;'Données projet'!$A$88,$BA$205^A26,IF(A26='Données projet'!$A$88,'Données projet'!$B$88,BD25+BC26-BL25)))</f>
        <v>207.40000000000003</v>
      </c>
      <c r="BE26" s="14">
        <f>BD26*VLOOKUP('Données projet'!$B$11,Paramètres!$A$1:$I$89,3,0)*VLOOKUP('Données projet'!$B$11,Paramètres!$A$1:$I$89,5,0)</f>
        <v>113.24040000000001</v>
      </c>
      <c r="BF26" s="14">
        <f t="shared" si="37"/>
        <v>30.093153283749206</v>
      </c>
      <c r="BG26" s="22">
        <f t="shared" si="7"/>
        <v>249.63927196919656</v>
      </c>
      <c r="BH26" s="62">
        <f t="shared" si="8"/>
        <v>534.41704974697427</v>
      </c>
      <c r="BI26" s="62">
        <f ca="1">AVERAGE(OFFSET($BH$3,0,0,'Données projet'!$E$11+1,1))-AVERAGE(OFFSET($H$3,0,0,'Données projet'!$E$11+1,1))</f>
        <v>198.95219623447554</v>
      </c>
      <c r="BJ26" s="62">
        <f t="shared" si="38"/>
        <v>299.68918988634471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11.979693870720114</v>
      </c>
      <c r="BS26" s="24">
        <f t="shared" si="9"/>
        <v>11.979693870720114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2">
        <f t="shared" si="32"/>
        <v>6.8871990614123195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70">
        <f t="shared" si="1"/>
        <v>305.83043169862646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7.4</v>
      </c>
      <c r="N27" s="14">
        <f>IF('Données projet'!$A$36&gt;35,N26+M27-V26,IF(A27&lt;'Données projet'!$A$36,$K$205^A27,IF(A27='Données projet'!$A$36,'Données projet'!$B$36,N26+M27-V26)))</f>
        <v>82.600000000000023</v>
      </c>
      <c r="O27" s="14">
        <f>N27*VLOOKUP('Données projet'!$B$9,Paramètres!$A$1:$I$89,3,0)*VLOOKUP('Données projet'!$B$9,Paramètres!$A$1:$I$89,5,0)</f>
        <v>72.159360000000021</v>
      </c>
      <c r="P27" s="14">
        <f t="shared" si="33"/>
        <v>20.208750890014226</v>
      </c>
      <c r="Q27" s="22">
        <f t="shared" si="2"/>
        <v>160.87445980010816</v>
      </c>
      <c r="R27" s="62">
        <f t="shared" si="0"/>
        <v>446.87445980010818</v>
      </c>
      <c r="S27" s="62">
        <f ca="1">AVERAGE(OFFSET($R$3,0,0,'Données projet'!$E$9+1,1))-AVERAGE(OFFSET($H$3,0,0,'Données projet'!$E$9+1,1))</f>
        <v>149.01553333688895</v>
      </c>
      <c r="T27" s="62">
        <f t="shared" si="34"/>
        <v>180.75293059562205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0.8242651125992676</v>
      </c>
      <c r="AC27" s="24">
        <f t="shared" si="3"/>
        <v>0.8242651125992676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16.8</v>
      </c>
      <c r="AI27" s="14">
        <f>IF('Données projet'!$A$62&gt;35,AI26+AH27-AQ26,IF(A27&lt;'Données projet'!$A$62,$AF$205^A27,IF(A27='Données projet'!$A$62,'Données projet'!$B$62,AI26+AH27-AQ26)))</f>
        <v>148.20000000000002</v>
      </c>
      <c r="AJ27" s="14">
        <f>AI27*VLOOKUP('Données projet'!$B$10,Paramètres!$A$1:$I$89,3,0)*VLOOKUP('Données projet'!$B$10,Paramètres!$A$1:$I$89,5,0)</f>
        <v>108.66024000000002</v>
      </c>
      <c r="AK27" s="14">
        <f t="shared" si="35"/>
        <v>29.015101890437414</v>
      </c>
      <c r="AL27" s="22">
        <f t="shared" si="4"/>
        <v>239.78455379251184</v>
      </c>
      <c r="AM27" s="62">
        <f t="shared" si="5"/>
        <v>525.78455379251182</v>
      </c>
      <c r="AN27" s="62">
        <f ca="1">AVERAGE(OFFSET($AM$3,0,0,'Données projet'!$E$10+1,1))-AVERAGE(OFFSET($H$3,0,0,'Données projet'!$E$10+1,1))</f>
        <v>296.15681058372093</v>
      </c>
      <c r="AO27" s="62">
        <f t="shared" si="36"/>
        <v>304.69148609083879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17.8</v>
      </c>
      <c r="BD27" s="13">
        <f>IF('Données projet'!$A$88&gt;35,BD26+BC27-BL26,IF(A27&lt;'Données projet'!$A$88,$BA$205^A27,IF(A27='Données projet'!$A$88,'Données projet'!$B$88,BD26+BC27-BL26)))</f>
        <v>225.20000000000005</v>
      </c>
      <c r="BE27" s="14">
        <f>BD27*VLOOKUP('Données projet'!$B$11,Paramètres!$A$1:$I$89,3,0)*VLOOKUP('Données projet'!$B$11,Paramètres!$A$1:$I$89,5,0)</f>
        <v>122.95920000000002</v>
      </c>
      <c r="BF27" s="14">
        <f t="shared" si="37"/>
        <v>32.364202510409022</v>
      </c>
      <c r="BG27" s="22">
        <f t="shared" si="7"/>
        <v>270.52159270562908</v>
      </c>
      <c r="BH27" s="62">
        <f t="shared" si="8"/>
        <v>556.52159270562902</v>
      </c>
      <c r="BI27" s="62">
        <f ca="1">AVERAGE(OFFSET($BH$3,0,0,'Données projet'!$E$11+1,1))-AVERAGE(OFFSET($H$3,0,0,'Données projet'!$E$11+1,1))</f>
        <v>198.95219623447554</v>
      </c>
      <c r="BJ27" s="62">
        <f t="shared" si="38"/>
        <v>299.68918988634471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8.4709227725251122</v>
      </c>
      <c r="BS27" s="24">
        <f t="shared" si="9"/>
        <v>8.4709227725251122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2">
        <f t="shared" si="32"/>
        <v>7.140157210880437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70">
        <f t="shared" si="1"/>
        <v>307.81969047561677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90</v>
      </c>
      <c r="L28" s="13">
        <f>VLOOKUP(A28,'Données projet'!$A$35:$I$55,9,0)</f>
        <v>7.4</v>
      </c>
      <c r="M28" s="13">
        <f t="array" ref="M28">INDEX(L:L,MIN(IF(ISNUMBER(L28:L224),ROW(L28:L224),"")))</f>
        <v>7.4</v>
      </c>
      <c r="N28" s="14">
        <f>IF('Données projet'!$A$36&gt;35,N27+M28-V27,IF(A28&lt;'Données projet'!$A$36,$K$205^A28,IF(A28='Données projet'!$A$36,'Données projet'!$B$36,N27+M28-V27)))</f>
        <v>90.000000000000028</v>
      </c>
      <c r="O28" s="14">
        <f>N28*VLOOKUP('Données projet'!$B$9,Paramètres!$A$1:$I$89,3,0)*VLOOKUP('Données projet'!$B$9,Paramètres!$A$1:$I$89,5,0)</f>
        <v>78.624000000000038</v>
      </c>
      <c r="P28" s="14">
        <f t="shared" si="33"/>
        <v>21.800406010684462</v>
      </c>
      <c r="Q28" s="22">
        <f t="shared" si="2"/>
        <v>174.90584046860883</v>
      </c>
      <c r="R28" s="62">
        <f t="shared" si="0"/>
        <v>462.12806269083103</v>
      </c>
      <c r="S28" s="62">
        <f ca="1">AVERAGE(OFFSET($R$3,0,0,'Données projet'!$E$9+1,1))-AVERAGE(OFFSET($H$3,0,0,'Données projet'!$E$9+1,1))</f>
        <v>149.01553333688895</v>
      </c>
      <c r="T28" s="62">
        <f t="shared" si="34"/>
        <v>180.75293059562205</v>
      </c>
      <c r="U28" s="16">
        <f>IF(ISNA(VLOOKUP(A28,'Données projet'!$A$35:$I$55,3,0)),0,VLOOKUP(A28,'Données projet'!$A$35:$I$55,3,0))</f>
        <v>2</v>
      </c>
      <c r="V28" s="16">
        <f>IF(ISNA(VLOOKUP(A28,'Données projet'!$A$35:$I$55,4,0)),0,VLOOKUP(A28,'Données projet'!$A$35:$I$55,4,0))</f>
        <v>20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1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17.068145702599779</v>
      </c>
      <c r="AC28" s="24">
        <f t="shared" si="3"/>
        <v>17.068145702599779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165</v>
      </c>
      <c r="AG28" s="13">
        <f>VLOOKUP(A28,'Données projet'!$A$61:$I$81,9,0)</f>
        <v>16.8</v>
      </c>
      <c r="AH28" s="13">
        <f t="array" ref="AH28">INDEX(AG:AG,MIN(IF(ISNUMBER(AG28:AG224),ROW(AG28:AG224),"")))</f>
        <v>16.8</v>
      </c>
      <c r="AI28" s="14">
        <f>IF('Données projet'!$A$62&gt;35,AI27+AH28-AQ27,IF(A28&lt;'Données projet'!$A$62,$AF$205^A28,IF(A28='Données projet'!$A$62,'Données projet'!$B$62,AI27+AH28-AQ27)))</f>
        <v>165.00000000000003</v>
      </c>
      <c r="AJ28" s="14">
        <f>AI28*VLOOKUP('Données projet'!$B$10,Paramètres!$A$1:$I$89,3,0)*VLOOKUP('Données projet'!$B$10,Paramètres!$A$1:$I$89,5,0)</f>
        <v>120.97800000000002</v>
      </c>
      <c r="AK28" s="14">
        <f t="shared" si="35"/>
        <v>31.902993864447531</v>
      </c>
      <c r="AL28" s="22">
        <f t="shared" si="4"/>
        <v>266.26773098057953</v>
      </c>
      <c r="AM28" s="62">
        <f t="shared" si="5"/>
        <v>553.48995320280176</v>
      </c>
      <c r="AN28" s="62">
        <f ca="1">AVERAGE(OFFSET($AM$3,0,0,'Données projet'!$E$10+1,1))-AVERAGE(OFFSET($H$3,0,0,'Données projet'!$E$10+1,1))</f>
        <v>296.15681058372093</v>
      </c>
      <c r="AO28" s="62">
        <f t="shared" si="36"/>
        <v>304.69148609083879</v>
      </c>
      <c r="AP28" s="16">
        <f>IF(ISNA(VLOOKUP(A28,'Données projet'!$A$61:$I$81,3,0)),0,VLOOKUP(A28,'Données projet'!$A$61:$I$81,3,0))</f>
        <v>4</v>
      </c>
      <c r="AQ28" s="16">
        <f>IF(ISNA(VLOOKUP(A28,'Données projet'!$A$61:$I$81,4,0)),0,VLOOKUP(A28,'Données projet'!$A$61:$I$81,4,0))</f>
        <v>42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8.6000000000000007E-2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2.9161103222330929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2.9161103222330929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243</v>
      </c>
      <c r="BB28" s="13">
        <f>VLOOKUP(A28,'Données projet'!$A$87:$I$107,9,0)</f>
        <v>17.8</v>
      </c>
      <c r="BC28" s="13">
        <f t="array" ref="BC28">INDEX(BB:BB,MIN(IF(ISNUMBER(BB28:BB224),ROW(BB28:BB224),"")))</f>
        <v>17.8</v>
      </c>
      <c r="BD28" s="13">
        <f>IF('Données projet'!$A$88&gt;35,BD27+BC28-BL27,IF(A28&lt;'Données projet'!$A$88,$BA$205^A28,IF(A28='Données projet'!$A$88,'Données projet'!$B$88,BD27+BC28-BL27)))</f>
        <v>243.00000000000006</v>
      </c>
      <c r="BE28" s="14">
        <f>BD28*VLOOKUP('Données projet'!$B$11,Paramètres!$A$1:$I$89,3,0)*VLOOKUP('Données projet'!$B$11,Paramètres!$A$1:$I$89,5,0)</f>
        <v>132.67800000000003</v>
      </c>
      <c r="BF28" s="14">
        <f t="shared" si="37"/>
        <v>34.614430230203745</v>
      </c>
      <c r="BG28" s="22">
        <f t="shared" si="7"/>
        <v>291.36764931760484</v>
      </c>
      <c r="BH28" s="62">
        <f t="shared" si="8"/>
        <v>578.58987153982707</v>
      </c>
      <c r="BI28" s="62">
        <f ca="1">AVERAGE(OFFSET($BH$3,0,0,'Données projet'!$E$11+1,1))-AVERAGE(OFFSET($H$3,0,0,'Données projet'!$E$11+1,1))</f>
        <v>198.95219623447554</v>
      </c>
      <c r="BJ28" s="62">
        <f t="shared" si="38"/>
        <v>299.68918988634471</v>
      </c>
      <c r="BK28" s="16">
        <f>IF(ISNA(VLOOKUP(A28,'Données projet'!$A$87:$I$107,3,0)),0,VLOOKUP(A28,'Données projet'!$A$87:$I$107,3,0))</f>
        <v>4</v>
      </c>
      <c r="BL28" s="16">
        <f>IF(ISNA(VLOOKUP(A28,'Données projet'!$A$87:$I$107,4,0)),0,VLOOKUP(A28,'Données projet'!$A$87:$I$107,4,0))</f>
        <v>44</v>
      </c>
      <c r="BM28" s="17">
        <f>IF(ISNA(VLOOKUP(A28,'Données projet'!$A$87:$I$107,5,0)),0%,VLOOKUP(A28,'Données projet'!$A$87:$I$107,5,0)*VLOOKUP('Données projet'!$B$11,Paramètres!$A$1:$I$89,7,0))</f>
        <v>0.12</v>
      </c>
      <c r="BN28" s="17">
        <f>IF(ISNA(VLOOKUP(A28,'Données projet'!$A$87:$I$107,6,0)),0%,VLOOKUP(A28,'Données projet'!$A$87:$I$107,6,0)*VLOOKUP('Données projet'!$B$11,Paramètres!$A$1:$I$89,7,0))</f>
        <v>0.12</v>
      </c>
      <c r="BO28" s="17">
        <f>IF(ISNA(VLOOKUP(A28,'Données projet'!$A$87:$I$107,7,0)),0%,VLOOKUP(A28,'Données projet'!$A$87:$I$107,7,0))</f>
        <v>0.6</v>
      </c>
      <c r="BP28" s="23">
        <f>EXP(-LN(2)/35)*BP27+(1-EXP(-LN(2)/35))/(LN(2)/35)*BL28*BM28*VLOOKUP('Données projet'!$B$11,Paramètres!$A$1:$I$89,3,0)*0.475*44/12</f>
        <v>3.824326137297541</v>
      </c>
      <c r="BQ28" s="23">
        <f>EXP(-LN(2)/25)*BQ27+(1-EXP(-LN(2)/25))/(LN(2)/25)*Calculateur!BL28*Calculateur!BN28*VLOOKUP('Données projet'!$B$11,Paramètres!$A$1:$I$89,3,0)*0.475*44/12</f>
        <v>3.8092683081125016</v>
      </c>
      <c r="BR28" s="23">
        <f>EXP(-LN(2)/2)*BR27+(1-EXP(-LN(2)/2))/(LN(2)/2)*BL28*BO28*VLOOKUP('Données projet'!$B$11,Paramètres!$A$1:$I$89,3,0)*0.475*44/12</f>
        <v>22.310296164825544</v>
      </c>
      <c r="BS28" s="24">
        <f t="shared" si="9"/>
        <v>29.943890610235588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2">
        <f t="shared" si="32"/>
        <v>7.3919399937804329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70">
        <f t="shared" si="1"/>
        <v>309.80690215583428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7.2</v>
      </c>
      <c r="N29" s="14">
        <f>IF('Données projet'!$A$36&gt;35,N28+M29-V28,IF(A29&lt;'Données projet'!$A$36,$K$205^A29,IF(A29='Données projet'!$A$36,'Données projet'!$B$36,N28+M29-V28)))</f>
        <v>77.200000000000031</v>
      </c>
      <c r="O29" s="14">
        <f>N29*VLOOKUP('Données projet'!$B$9,Paramètres!$A$1:$I$89,3,0)*VLOOKUP('Données projet'!$B$9,Paramètres!$A$1:$I$89,5,0)</f>
        <v>67.441920000000039</v>
      </c>
      <c r="P29" s="14">
        <f t="shared" si="33"/>
        <v>19.036826299015054</v>
      </c>
      <c r="Q29" s="22">
        <f t="shared" si="2"/>
        <v>150.61714980411793</v>
      </c>
      <c r="R29" s="62">
        <f t="shared" si="0"/>
        <v>439.06159424856241</v>
      </c>
      <c r="S29" s="62">
        <f ca="1">AVERAGE(OFFSET($R$3,0,0,'Données projet'!$E$9+1,1))-AVERAGE(OFFSET($H$3,0,0,'Données projet'!$E$9+1,1))</f>
        <v>149.01553333688895</v>
      </c>
      <c r="T29" s="62">
        <f t="shared" si="34"/>
        <v>180.75293059562205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12.069001568588334</v>
      </c>
      <c r="AC29" s="24">
        <f t="shared" si="3"/>
        <v>12.069001568588334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16.399999999999999</v>
      </c>
      <c r="AI29" s="14">
        <f>IF('Données projet'!$A$62&gt;35,AI28+AH29-AQ28,IF(A29&lt;'Données projet'!$A$62,$AF$205^A29,IF(A29='Données projet'!$A$62,'Données projet'!$B$62,AI28+AH29-AQ28)))</f>
        <v>139.40000000000003</v>
      </c>
      <c r="AJ29" s="14">
        <f>AI29*VLOOKUP('Données projet'!$B$10,Paramètres!$A$1:$I$89,3,0)*VLOOKUP('Données projet'!$B$10,Paramètres!$A$1:$I$89,5,0)</f>
        <v>102.20808000000002</v>
      </c>
      <c r="AK29" s="14">
        <f t="shared" si="35"/>
        <v>27.487371629246301</v>
      </c>
      <c r="AL29" s="22">
        <f t="shared" si="4"/>
        <v>225.88624492093732</v>
      </c>
      <c r="AM29" s="62">
        <f t="shared" si="5"/>
        <v>514.33068936538177</v>
      </c>
      <c r="AN29" s="62">
        <f ca="1">AVERAGE(OFFSET($AM$3,0,0,'Données projet'!$E$10+1,1))-AVERAGE(OFFSET($H$3,0,0,'Données projet'!$E$10+1,1))</f>
        <v>296.15681058372093</v>
      </c>
      <c r="AO29" s="62">
        <f t="shared" si="36"/>
        <v>304.69148609083879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2.8363691321200522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2.8363691321200522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14.4</v>
      </c>
      <c r="BD29" s="13">
        <f>IF('Données projet'!$A$88&gt;35,BD28+BC29-BL28,IF(A29&lt;'Données projet'!$A$88,$BA$205^A29,IF(A29='Données projet'!$A$88,'Données projet'!$B$88,BD28+BC29-BL28)))</f>
        <v>213.40000000000003</v>
      </c>
      <c r="BE29" s="14">
        <f>BD29*VLOOKUP('Données projet'!$B$11,Paramètres!$A$1:$I$89,3,0)*VLOOKUP('Données projet'!$B$11,Paramètres!$A$1:$I$89,5,0)</f>
        <v>116.51640000000002</v>
      </c>
      <c r="BF29" s="14">
        <f t="shared" si="37"/>
        <v>30.861118996111212</v>
      </c>
      <c r="BG29" s="22">
        <f t="shared" si="7"/>
        <v>256.68251225156041</v>
      </c>
      <c r="BH29" s="62">
        <f t="shared" si="8"/>
        <v>545.12695669600487</v>
      </c>
      <c r="BI29" s="62">
        <f ca="1">AVERAGE(OFFSET($BH$3,0,0,'Données projet'!$E$11+1,1))-AVERAGE(OFFSET($H$3,0,0,'Données projet'!$E$11+1,1))</f>
        <v>198.95219623447554</v>
      </c>
      <c r="BJ29" s="62">
        <f t="shared" si="38"/>
        <v>299.68918988634471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3.7493334343537539</v>
      </c>
      <c r="BQ29" s="23">
        <f>EXP(-LN(2)/25)*BQ28+(1-EXP(-LN(2)/25))/(LN(2)/25)*Calculateur!BL29*Calculateur!BN29*VLOOKUP('Données projet'!$B$11,Paramètres!$A$1:$I$89,3,0)*0.475*44/12</f>
        <v>3.7051036659064511</v>
      </c>
      <c r="BR29" s="23">
        <f>EXP(-LN(2)/2)*BR28+(1-EXP(-LN(2)/2))/(LN(2)/2)*BL29*BO29*VLOOKUP('Données projet'!$B$11,Paramètres!$A$1:$I$89,3,0)*0.475*44/12</f>
        <v>15.775761708428368</v>
      </c>
      <c r="BS29" s="24">
        <f t="shared" si="9"/>
        <v>23.230198808688574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2">
        <f t="shared" si="32"/>
        <v>7.6425977910346958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70">
        <f t="shared" si="1"/>
        <v>311.79215448605208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7.2</v>
      </c>
      <c r="N30" s="14">
        <f>IF('Données projet'!$A$36&gt;35,N29+M30-V29,IF(A30&lt;'Données projet'!$A$36,$K$205^A30,IF(A30='Données projet'!$A$36,'Données projet'!$B$36,N29+M30-V29)))</f>
        <v>84.400000000000034</v>
      </c>
      <c r="O30" s="14">
        <f>N30*VLOOKUP('Données projet'!$B$9,Paramètres!$A$1:$I$89,3,0)*VLOOKUP('Données projet'!$B$9,Paramètres!$A$1:$I$89,5,0)</f>
        <v>73.731840000000034</v>
      </c>
      <c r="P30" s="14">
        <f t="shared" si="33"/>
        <v>20.597384986125313</v>
      </c>
      <c r="Q30" s="22">
        <f t="shared" si="2"/>
        <v>164.29006685083496</v>
      </c>
      <c r="R30" s="62">
        <f t="shared" si="0"/>
        <v>453.95673351750168</v>
      </c>
      <c r="S30" s="62">
        <f ca="1">AVERAGE(OFFSET($R$3,0,0,'Données projet'!$E$9+1,1))-AVERAGE(OFFSET($H$3,0,0,'Données projet'!$E$9+1,1))</f>
        <v>149.01553333688895</v>
      </c>
      <c r="T30" s="62">
        <f t="shared" si="34"/>
        <v>180.75293059562205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8.5340728512998911</v>
      </c>
      <c r="AC30" s="24">
        <f t="shared" si="3"/>
        <v>8.5340728512998911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16.399999999999999</v>
      </c>
      <c r="AI30" s="14">
        <f>IF('Données projet'!$A$62&gt;35,AI29+AH30-AQ29,IF(A30&lt;'Données projet'!$A$62,$AF$205^A30,IF(A30='Données projet'!$A$62,'Données projet'!$B$62,AI29+AH30-AQ29)))</f>
        <v>155.80000000000004</v>
      </c>
      <c r="AJ30" s="14">
        <f>AI30*VLOOKUP('Données projet'!$B$10,Paramètres!$A$1:$I$89,3,0)*VLOOKUP('Données projet'!$B$10,Paramètres!$A$1:$I$89,5,0)</f>
        <v>114.23256000000002</v>
      </c>
      <c r="AK30" s="14">
        <f t="shared" si="35"/>
        <v>30.326006869580301</v>
      </c>
      <c r="AL30" s="22">
        <f t="shared" si="4"/>
        <v>251.77283729785236</v>
      </c>
      <c r="AM30" s="62">
        <f t="shared" si="5"/>
        <v>541.43950396451908</v>
      </c>
      <c r="AN30" s="62">
        <f ca="1">AVERAGE(OFFSET($AM$3,0,0,'Données projet'!$E$10+1,1))-AVERAGE(OFFSET($H$3,0,0,'Données projet'!$E$10+1,1))</f>
        <v>296.15681058372093</v>
      </c>
      <c r="AO30" s="62">
        <f t="shared" si="36"/>
        <v>304.69148609083879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2.7588084690440593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2.7588084690440593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14.4</v>
      </c>
      <c r="BD30" s="13">
        <f>IF('Données projet'!$A$88&gt;35,BD29+BC30-BL29,IF(A30&lt;'Données projet'!$A$88,$BA$205^A30,IF(A30='Données projet'!$A$88,'Données projet'!$B$88,BD29+BC30-BL29)))</f>
        <v>227.80000000000004</v>
      </c>
      <c r="BE30" s="14">
        <f>BD30*VLOOKUP('Données projet'!$B$11,Paramètres!$A$1:$I$89,3,0)*VLOOKUP('Données projet'!$B$11,Paramètres!$A$1:$I$89,5,0)</f>
        <v>124.37880000000003</v>
      </c>
      <c r="BF30" s="14">
        <f t="shared" si="37"/>
        <v>32.69414246460255</v>
      </c>
      <c r="BG30" s="22">
        <f t="shared" si="7"/>
        <v>273.56870812584953</v>
      </c>
      <c r="BH30" s="62">
        <f t="shared" si="8"/>
        <v>563.23537479251627</v>
      </c>
      <c r="BI30" s="62">
        <f ca="1">AVERAGE(OFFSET($BH$3,0,0,'Données projet'!$E$11+1,1))-AVERAGE(OFFSET($H$3,0,0,'Données projet'!$E$11+1,1))</f>
        <v>198.95219623447554</v>
      </c>
      <c r="BJ30" s="62">
        <f t="shared" si="38"/>
        <v>299.68918988634471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3.6758112925736621</v>
      </c>
      <c r="BQ30" s="23">
        <f>EXP(-LN(2)/25)*BQ29+(1-EXP(-LN(2)/25))/(LN(2)/25)*Calculateur!BL30*Calculateur!BN30*VLOOKUP('Données projet'!$B$11,Paramètres!$A$1:$I$89,3,0)*0.475*44/12</f>
        <v>3.6037874113193054</v>
      </c>
      <c r="BR30" s="23">
        <f>EXP(-LN(2)/2)*BR29+(1-EXP(-LN(2)/2))/(LN(2)/2)*BL30*BO30*VLOOKUP('Données projet'!$B$11,Paramètres!$A$1:$I$89,3,0)*0.475*44/12</f>
        <v>11.155148082412774</v>
      </c>
      <c r="BS30" s="24">
        <f t="shared" si="9"/>
        <v>18.434746786305741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2">
        <f t="shared" si="32"/>
        <v>7.8921770401958202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70">
        <f t="shared" si="1"/>
        <v>313.77552834500773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7.2</v>
      </c>
      <c r="N31" s="14">
        <f>IF('Données projet'!$A$36&gt;35,N30+M31-V30,IF(A31&lt;'Données projet'!$A$36,$K$205^A31,IF(A31='Données projet'!$A$36,'Données projet'!$B$36,N30+M31-V30)))</f>
        <v>91.600000000000037</v>
      </c>
      <c r="O31" s="14">
        <f>N31*VLOOKUP('Données projet'!$B$9,Paramètres!$A$1:$I$89,3,0)*VLOOKUP('Données projet'!$B$9,Paramètres!$A$1:$I$89,5,0)</f>
        <v>80.021760000000043</v>
      </c>
      <c r="P31" s="14">
        <f t="shared" si="33"/>
        <v>22.142504477569037</v>
      </c>
      <c r="Q31" s="22">
        <f t="shared" si="2"/>
        <v>177.93609396509945</v>
      </c>
      <c r="R31" s="62">
        <f t="shared" si="0"/>
        <v>468.82498285398833</v>
      </c>
      <c r="S31" s="62">
        <f ca="1">AVERAGE(OFFSET($R$3,0,0,'Données projet'!$E$9+1,1))-AVERAGE(OFFSET($H$3,0,0,'Données projet'!$E$9+1,1))</f>
        <v>149.01553333688895</v>
      </c>
      <c r="T31" s="62">
        <f t="shared" si="34"/>
        <v>180.75293059562205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6.0345007842941687</v>
      </c>
      <c r="AC31" s="24">
        <f t="shared" si="3"/>
        <v>6.0345007842941687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16.399999999999999</v>
      </c>
      <c r="AI31" s="14">
        <f>IF('Données projet'!$A$62&gt;35,AI30+AH31-AQ30,IF(A31&lt;'Données projet'!$A$62,$AF$205^A31,IF(A31='Données projet'!$A$62,'Données projet'!$B$62,AI30+AH31-AQ30)))</f>
        <v>172.20000000000005</v>
      </c>
      <c r="AJ31" s="14">
        <f>AI31*VLOOKUP('Données projet'!$B$10,Paramètres!$A$1:$I$89,3,0)*VLOOKUP('Données projet'!$B$10,Paramètres!$A$1:$I$89,5,0)</f>
        <v>126.25704000000002</v>
      </c>
      <c r="AK31" s="14">
        <f t="shared" si="35"/>
        <v>33.130006114881255</v>
      </c>
      <c r="AL31" s="22">
        <f t="shared" si="4"/>
        <v>277.59910531675155</v>
      </c>
      <c r="AM31" s="62">
        <f t="shared" si="5"/>
        <v>568.48799420564046</v>
      </c>
      <c r="AN31" s="62">
        <f ca="1">AVERAGE(OFFSET($AM$3,0,0,'Données projet'!$E$10+1,1))-AVERAGE(OFFSET($H$3,0,0,'Données projet'!$E$10+1,1))</f>
        <v>296.15681058372093</v>
      </c>
      <c r="AO31" s="62">
        <f t="shared" si="36"/>
        <v>304.69148609083879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2.6833687063786176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2.6833687063786176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14.4</v>
      </c>
      <c r="BD31" s="13">
        <f>IF('Données projet'!$A$88&gt;35,BD30+BC31-BL30,IF(A31&lt;'Données projet'!$A$88,$BA$205^A31,IF(A31='Données projet'!$A$88,'Données projet'!$B$88,BD30+BC31-BL30)))</f>
        <v>242.20000000000005</v>
      </c>
      <c r="BE31" s="14">
        <f>BD31*VLOOKUP('Données projet'!$B$11,Paramètres!$A$1:$I$89,3,0)*VLOOKUP('Données projet'!$B$11,Paramètres!$A$1:$I$89,5,0)</f>
        <v>132.24120000000002</v>
      </c>
      <c r="BF31" s="14">
        <f t="shared" si="37"/>
        <v>34.513718532952339</v>
      </c>
      <c r="BG31" s="22">
        <f t="shared" si="7"/>
        <v>290.43148311155869</v>
      </c>
      <c r="BH31" s="62">
        <f t="shared" si="8"/>
        <v>581.32037200044761</v>
      </c>
      <c r="BI31" s="62">
        <f ca="1">AVERAGE(OFFSET($BH$3,0,0,'Données projet'!$E$11+1,1))-AVERAGE(OFFSET($H$3,0,0,'Données projet'!$E$11+1,1))</f>
        <v>198.95219623447554</v>
      </c>
      <c r="BJ31" s="62">
        <f t="shared" si="38"/>
        <v>299.68918988634471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3.6037308751497998</v>
      </c>
      <c r="BQ31" s="23">
        <f>EXP(-LN(2)/25)*BQ30+(1-EXP(-LN(2)/25))/(LN(2)/25)*Calculateur!BL31*Calculateur!BN31*VLOOKUP('Données projet'!$B$11,Paramètres!$A$1:$I$89,3,0)*0.475*44/12</f>
        <v>3.5052416550418357</v>
      </c>
      <c r="BR31" s="23">
        <f>EXP(-LN(2)/2)*BR30+(1-EXP(-LN(2)/2))/(LN(2)/2)*BL31*BO31*VLOOKUP('Données projet'!$B$11,Paramètres!$A$1:$I$89,3,0)*0.475*44/12</f>
        <v>7.8878808542141847</v>
      </c>
      <c r="BS31" s="24">
        <f t="shared" si="9"/>
        <v>14.996853384405821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2">
        <f t="shared" si="32"/>
        <v>8.1407206738151334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70">
        <f t="shared" si="1"/>
        <v>315.75709850689469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7.2</v>
      </c>
      <c r="N32" s="14">
        <f>IF('Données projet'!$A$36&gt;35,N31+M32-V31,IF(A32&lt;'Données projet'!$A$36,$K$205^A32,IF(A32='Données projet'!$A$36,'Données projet'!$B$36,N31+M32-V31)))</f>
        <v>98.80000000000004</v>
      </c>
      <c r="O32" s="14">
        <f>N32*VLOOKUP('Données projet'!$B$9,Paramètres!$A$1:$I$89,3,0)*VLOOKUP('Données projet'!$B$9,Paramètres!$A$1:$I$89,5,0)</f>
        <v>86.311680000000038</v>
      </c>
      <c r="P32" s="14">
        <f t="shared" si="33"/>
        <v>23.673536308765961</v>
      </c>
      <c r="Q32" s="22">
        <f t="shared" si="2"/>
        <v>191.55758507110079</v>
      </c>
      <c r="R32" s="62">
        <f t="shared" si="0"/>
        <v>483.66869618221193</v>
      </c>
      <c r="S32" s="62">
        <f ca="1">AVERAGE(OFFSET($R$3,0,0,'Données projet'!$E$9+1,1))-AVERAGE(OFFSET($H$3,0,0,'Données projet'!$E$9+1,1))</f>
        <v>149.01553333688895</v>
      </c>
      <c r="T32" s="62">
        <f t="shared" si="34"/>
        <v>180.75293059562205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4.2670364256499465</v>
      </c>
      <c r="AC32" s="24">
        <f t="shared" si="3"/>
        <v>4.2670364256499465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16.399999999999999</v>
      </c>
      <c r="AI32" s="14">
        <f>IF('Données projet'!$A$62&gt;35,AI31+AH32-AQ31,IF(A32&lt;'Données projet'!$A$62,$AF$205^A32,IF(A32='Données projet'!$A$62,'Données projet'!$B$62,AI31+AH32-AQ31)))</f>
        <v>188.60000000000005</v>
      </c>
      <c r="AJ32" s="14">
        <f>AI32*VLOOKUP('Données projet'!$B$10,Paramètres!$A$1:$I$89,3,0)*VLOOKUP('Données projet'!$B$10,Paramètres!$A$1:$I$89,5,0)</f>
        <v>138.28152000000003</v>
      </c>
      <c r="AK32" s="14">
        <f t="shared" si="35"/>
        <v>35.903043322174675</v>
      </c>
      <c r="AL32" s="22">
        <f t="shared" si="4"/>
        <v>303.37144778612094</v>
      </c>
      <c r="AM32" s="62">
        <f t="shared" si="5"/>
        <v>595.48255889723214</v>
      </c>
      <c r="AN32" s="62">
        <f ca="1">AVERAGE(OFFSET($AM$3,0,0,'Données projet'!$E$10+1,1))-AVERAGE(OFFSET($H$3,0,0,'Données projet'!$E$10+1,1))</f>
        <v>296.15681058372093</v>
      </c>
      <c r="AO32" s="62">
        <f t="shared" si="36"/>
        <v>304.69148609083879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2.6099918479904671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2.6099918479904671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14.4</v>
      </c>
      <c r="BD32" s="13">
        <f>IF('Données projet'!$A$88&gt;35,BD31+BC32-BL31,IF(A32&lt;'Données projet'!$A$88,$BA$205^A32,IF(A32='Données projet'!$A$88,'Données projet'!$B$88,BD31+BC32-BL31)))</f>
        <v>256.60000000000002</v>
      </c>
      <c r="BE32" s="14">
        <f>BD32*VLOOKUP('Données projet'!$B$11,Paramètres!$A$1:$I$89,3,0)*VLOOKUP('Données projet'!$B$11,Paramètres!$A$1:$I$89,5,0)</f>
        <v>140.1036</v>
      </c>
      <c r="BF32" s="14">
        <f t="shared" si="37"/>
        <v>36.320737778344373</v>
      </c>
      <c r="BG32" s="22">
        <f t="shared" si="7"/>
        <v>307.2723882972831</v>
      </c>
      <c r="BH32" s="62">
        <f t="shared" si="8"/>
        <v>599.3834994083943</v>
      </c>
      <c r="BI32" s="62">
        <f ca="1">AVERAGE(OFFSET($BH$3,0,0,'Données projet'!$E$11+1,1))-AVERAGE(OFFSET($H$3,0,0,'Données projet'!$E$11+1,1))</f>
        <v>198.95219623447554</v>
      </c>
      <c r="BJ32" s="62">
        <f t="shared" si="38"/>
        <v>299.68918988634471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3.5330639107469057</v>
      </c>
      <c r="BQ32" s="23">
        <f>EXP(-LN(2)/25)*BQ31+(1-EXP(-LN(2)/25))/(LN(2)/25)*Calculateur!BL32*Calculateur!BN32*VLOOKUP('Données projet'!$B$11,Paramètres!$A$1:$I$89,3,0)*0.475*44/12</f>
        <v>3.4093906376520695</v>
      </c>
      <c r="BR32" s="23">
        <f>EXP(-LN(2)/2)*BR31+(1-EXP(-LN(2)/2))/(LN(2)/2)*BL32*BO32*VLOOKUP('Données projet'!$B$11,Paramètres!$A$1:$I$89,3,0)*0.475*44/12</f>
        <v>5.5775740412063879</v>
      </c>
      <c r="BS32" s="24">
        <f t="shared" si="9"/>
        <v>12.520028589605364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2">
        <f t="shared" si="32"/>
        <v>8.388268495647786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70">
        <f t="shared" si="1"/>
        <v>317.73693429658658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106</v>
      </c>
      <c r="L33" s="13">
        <f>VLOOKUP(A33,'Données projet'!$A$35:$I$55,9,0)</f>
        <v>7.2</v>
      </c>
      <c r="M33" s="13">
        <f t="array" ref="M33">INDEX(L:L,MIN(IF(ISNUMBER(L33:L229),ROW(L33:L229),"")))</f>
        <v>7.2</v>
      </c>
      <c r="N33" s="14">
        <f>IF('Données projet'!$A$36&gt;35,N32+M33-V32,IF(A33&lt;'Données projet'!$A$36,$K$205^A33,IF(A33='Données projet'!$A$36,'Données projet'!$B$36,N32+M33-V32)))</f>
        <v>106.00000000000004</v>
      </c>
      <c r="O33" s="14">
        <f>N33*VLOOKUP('Données projet'!$B$9,Paramètres!$A$1:$I$89,3,0)*VLOOKUP('Données projet'!$B$9,Paramètres!$A$1:$I$89,5,0)</f>
        <v>92.601600000000047</v>
      </c>
      <c r="P33" s="14">
        <f t="shared" si="33"/>
        <v>25.191623861555186</v>
      </c>
      <c r="Q33" s="22">
        <f t="shared" si="2"/>
        <v>205.15653155887534</v>
      </c>
      <c r="R33" s="62">
        <f t="shared" si="0"/>
        <v>498.48986489220863</v>
      </c>
      <c r="S33" s="62">
        <f ca="1">AVERAGE(OFFSET($R$3,0,0,'Données projet'!$E$9+1,1))-AVERAGE(OFFSET($H$3,0,0,'Données projet'!$E$9+1,1))</f>
        <v>149.01553333688895</v>
      </c>
      <c r="T33" s="62">
        <f t="shared" si="34"/>
        <v>180.75293059562205</v>
      </c>
      <c r="U33" s="16">
        <f>IF(ISNA(VLOOKUP(A33,'Données projet'!$A$35:$I$55,3,0)),0,VLOOKUP(A33,'Données projet'!$A$35:$I$55,3,0))</f>
        <v>3</v>
      </c>
      <c r="V33" s="16">
        <f>IF(ISNA(VLOOKUP(A33,'Données projet'!$A$35:$I$55,4,0)),0,VLOOKUP(A33,'Données projet'!$A$35:$I$55,4,0))</f>
        <v>20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1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19.502552644132425</v>
      </c>
      <c r="AC33" s="24">
        <f t="shared" si="3"/>
        <v>19.502552644132425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205</v>
      </c>
      <c r="AG33" s="13">
        <f>VLOOKUP(A33,'Données projet'!$A$61:$I$81,9,0)</f>
        <v>16.399999999999999</v>
      </c>
      <c r="AH33" s="13">
        <f t="array" ref="AH33">INDEX(AG:AG,MIN(IF(ISNUMBER(AG33:AG229),ROW(AG33:AG229),"")))</f>
        <v>16.399999999999999</v>
      </c>
      <c r="AI33" s="14">
        <f>IF('Données projet'!$A$62&gt;35,AI32+AH33-AQ32,IF(A33&lt;'Données projet'!$A$62,$AF$205^A33,IF(A33='Données projet'!$A$62,'Données projet'!$B$62,AI32+AH33-AQ32)))</f>
        <v>205.00000000000006</v>
      </c>
      <c r="AJ33" s="14">
        <f>AI33*VLOOKUP('Données projet'!$B$10,Paramètres!$A$1:$I$89,3,0)*VLOOKUP('Données projet'!$B$10,Paramètres!$A$1:$I$89,5,0)</f>
        <v>150.30600000000004</v>
      </c>
      <c r="AK33" s="14">
        <f t="shared" si="35"/>
        <v>38.648116968856677</v>
      </c>
      <c r="AL33" s="22">
        <f t="shared" si="4"/>
        <v>329.09508705409212</v>
      </c>
      <c r="AM33" s="62">
        <f t="shared" si="5"/>
        <v>622.42842038742538</v>
      </c>
      <c r="AN33" s="62">
        <f ca="1">AVERAGE(OFFSET($AM$3,0,0,'Données projet'!$E$10+1,1))-AVERAGE(OFFSET($H$3,0,0,'Données projet'!$E$10+1,1))</f>
        <v>296.15681058372093</v>
      </c>
      <c r="AO33" s="62">
        <f t="shared" si="36"/>
        <v>304.69148609083879</v>
      </c>
      <c r="AP33" s="16">
        <f>IF(ISNA(VLOOKUP(A33,'Données projet'!$A$61:$I$81,3,0)),0,VLOOKUP(A33,'Données projet'!$A$61:$I$81,3,0))</f>
        <v>5</v>
      </c>
      <c r="AQ33" s="16">
        <f>IF(ISNA(VLOOKUP(A33,'Données projet'!$A$61:$I$81,4,0)),0,VLOOKUP(A33,'Données projet'!$A$61:$I$81,4,0))</f>
        <v>42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8.6000000000000007E-2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5.4547318058867544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5.4547318058867544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271</v>
      </c>
      <c r="BB33" s="13">
        <f>VLOOKUP(A33,'Données projet'!$A$87:$I$107,9,0)</f>
        <v>14.4</v>
      </c>
      <c r="BC33" s="13">
        <f t="array" ref="BC33">INDEX(BB:BB,MIN(IF(ISNUMBER(BB33:BB229),ROW(BB33:BB229),"")))</f>
        <v>14.4</v>
      </c>
      <c r="BD33" s="13">
        <f>IF('Données projet'!$A$88&gt;35,BD32+BC33-BL32,IF(A33&lt;'Données projet'!$A$88,$BA$205^A33,IF(A33='Données projet'!$A$88,'Données projet'!$B$88,BD32+BC33-BL32)))</f>
        <v>271</v>
      </c>
      <c r="BE33" s="14">
        <f>BD33*VLOOKUP('Données projet'!$B$11,Paramètres!$A$1:$I$89,3,0)*VLOOKUP('Données projet'!$B$11,Paramètres!$A$1:$I$89,5,0)</f>
        <v>147.96600000000001</v>
      </c>
      <c r="BF33" s="14">
        <f t="shared" si="37"/>
        <v>38.115985176802688</v>
      </c>
      <c r="BG33" s="22">
        <f t="shared" si="7"/>
        <v>324.09279084959798</v>
      </c>
      <c r="BH33" s="62">
        <f t="shared" si="8"/>
        <v>617.42612418293129</v>
      </c>
      <c r="BI33" s="62">
        <f ca="1">AVERAGE(OFFSET($BH$3,0,0,'Données projet'!$E$11+1,1))-AVERAGE(OFFSET($H$3,0,0,'Données projet'!$E$11+1,1))</f>
        <v>198.95219623447554</v>
      </c>
      <c r="BJ33" s="62">
        <f t="shared" si="38"/>
        <v>299.68918988634471</v>
      </c>
      <c r="BK33" s="16">
        <f>IF(ISNA(VLOOKUP(A33,'Données projet'!$A$87:$I$107,3,0)),0,VLOOKUP(A33,'Données projet'!$A$87:$I$107,3,0))</f>
        <v>5</v>
      </c>
      <c r="BL33" s="16">
        <f>IF(ISNA(VLOOKUP(A33,'Données projet'!$A$87:$I$107,4,0)),0,VLOOKUP(A33,'Données projet'!$A$87:$I$107,4,0))</f>
        <v>37</v>
      </c>
      <c r="BM33" s="17">
        <f>IF(ISNA(VLOOKUP(A33,'Données projet'!$A$87:$I$107,5,0)),0%,VLOOKUP(A33,'Données projet'!$A$87:$I$107,5,0)*VLOOKUP('Données projet'!$B$11,Paramètres!$A$1:$I$89,7,0))</f>
        <v>0.12</v>
      </c>
      <c r="BN33" s="17">
        <f>IF(ISNA(VLOOKUP(A33,'Données projet'!$A$87:$I$107,6,0)),0%,VLOOKUP(A33,'Données projet'!$A$87:$I$107,6,0)*VLOOKUP('Données projet'!$B$11,Paramètres!$A$1:$I$89,7,0))</f>
        <v>0.12</v>
      </c>
      <c r="BO33" s="17">
        <f>IF(ISNA(VLOOKUP(A33,'Données projet'!$A$87:$I$107,7,0)),0%,VLOOKUP(A33,'Données projet'!$A$87:$I$107,7,0))</f>
        <v>0.6</v>
      </c>
      <c r="BP33" s="23">
        <f>EXP(-LN(2)/35)*BP32+(1-EXP(-LN(2)/35))/(LN(2)/35)*BL33*BM33*VLOOKUP('Données projet'!$B$11,Paramètres!$A$1:$I$89,3,0)*0.475*44/12</f>
        <v>6.6796932978681109</v>
      </c>
      <c r="BQ33" s="23">
        <f>EXP(-LN(2)/25)*BQ32+(1-EXP(-LN(2)/25))/(LN(2)/25)*Calculateur!BL33*Calculateur!BN33*VLOOKUP('Données projet'!$B$11,Paramètres!$A$1:$I$89,3,0)*0.475*44/12</f>
        <v>6.5194090213771068</v>
      </c>
      <c r="BR33" s="23">
        <f>EXP(-LN(2)/2)*BR32+(1-EXP(-LN(2)/2))/(LN(2)/2)*BL33*BO33*VLOOKUP('Données projet'!$B$11,Paramètres!$A$1:$I$89,3,0)*0.475*44/12</f>
        <v>17.66795455188489</v>
      </c>
      <c r="BS33" s="24">
        <f t="shared" si="9"/>
        <v>30.867056871130107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2">
        <f t="shared" si="32"/>
        <v>8.6348575052881742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70">
        <f t="shared" si="1"/>
        <v>319.71510015504356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6.6</v>
      </c>
      <c r="N34" s="14">
        <f>IF('Données projet'!$A$36&gt;35,N33+M34-V33,IF(A34&lt;'Données projet'!$A$36,$K$205^A34,IF(A34='Données projet'!$A$36,'Données projet'!$B$36,N33+M34-V33)))</f>
        <v>92.600000000000037</v>
      </c>
      <c r="O34" s="14">
        <f>N34*VLOOKUP('Données projet'!$B$9,Paramètres!$A$1:$I$89,3,0)*VLOOKUP('Données projet'!$B$9,Paramètres!$A$1:$I$89,5,0)</f>
        <v>80.895360000000039</v>
      </c>
      <c r="P34" s="14">
        <f t="shared" si="33"/>
        <v>22.355962294793155</v>
      </c>
      <c r="Q34" s="22">
        <f t="shared" si="2"/>
        <v>179.82938633009815</v>
      </c>
      <c r="R34" s="62">
        <f t="shared" si="0"/>
        <v>473.16271966343146</v>
      </c>
      <c r="S34" s="62">
        <f ca="1">AVERAGE(OFFSET($R$3,0,0,'Données projet'!$E$9+1,1))-AVERAGE(OFFSET($H$3,0,0,'Données projet'!$E$9+1,1))</f>
        <v>149.01553333688895</v>
      </c>
      <c r="T34" s="62">
        <f t="shared" si="34"/>
        <v>180.75293059562205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13.790387225113671</v>
      </c>
      <c r="AC34" s="24">
        <f t="shared" si="3"/>
        <v>13.790387225113671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15.2</v>
      </c>
      <c r="AI34" s="14">
        <f>IF('Données projet'!$A$62&gt;35,AI33+AH34-AQ33,IF(A34&lt;'Données projet'!$A$62,$AF$205^A34,IF(A34='Données projet'!$A$62,'Données projet'!$B$62,AI33+AH34-AQ33)))</f>
        <v>178.20000000000005</v>
      </c>
      <c r="AJ34" s="14">
        <f>AI34*VLOOKUP('Données projet'!$B$10,Paramètres!$A$1:$I$89,3,0)*VLOOKUP('Données projet'!$B$10,Paramètres!$A$1:$I$89,5,0)</f>
        <v>130.65624000000003</v>
      </c>
      <c r="AK34" s="14">
        <f t="shared" si="35"/>
        <v>34.147952661921146</v>
      </c>
      <c r="AL34" s="22">
        <f t="shared" si="4"/>
        <v>287.03396888617937</v>
      </c>
      <c r="AM34" s="62">
        <f t="shared" si="5"/>
        <v>580.36730221951268</v>
      </c>
      <c r="AN34" s="62">
        <f ca="1">AVERAGE(OFFSET($AM$3,0,0,'Données projet'!$E$10+1,1))-AVERAGE(OFFSET($H$3,0,0,'Données projet'!$E$10+1,1))</f>
        <v>296.15681058372093</v>
      </c>
      <c r="AO34" s="62">
        <f t="shared" si="36"/>
        <v>304.69148609083879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5.3055718778029028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5.3055718778029028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11</v>
      </c>
      <c r="BD34" s="13">
        <f>IF('Données projet'!$A$88&gt;35,BD33+BC34-BL33,IF(A34&lt;'Données projet'!$A$88,$BA$205^A34,IF(A34='Données projet'!$A$88,'Données projet'!$B$88,BD33+BC34-BL33)))</f>
        <v>245</v>
      </c>
      <c r="BE34" s="14">
        <f>BD34*VLOOKUP('Données projet'!$B$11,Paramètres!$A$1:$I$89,3,0)*VLOOKUP('Données projet'!$B$11,Paramètres!$A$1:$I$89,5,0)</f>
        <v>133.76999999999998</v>
      </c>
      <c r="BF34" s="14">
        <f t="shared" si="37"/>
        <v>34.86604096673306</v>
      </c>
      <c r="BG34" s="22">
        <f t="shared" si="7"/>
        <v>293.70777135039339</v>
      </c>
      <c r="BH34" s="62">
        <f t="shared" si="8"/>
        <v>587.04110468372664</v>
      </c>
      <c r="BI34" s="62">
        <f ca="1">AVERAGE(OFFSET($BH$3,0,0,'Données projet'!$E$11+1,1))-AVERAGE(OFFSET($H$3,0,0,'Données projet'!$E$11+1,1))</f>
        <v>198.95219623447554</v>
      </c>
      <c r="BJ34" s="62">
        <f t="shared" si="38"/>
        <v>299.68918988634471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6.5487085865075345</v>
      </c>
      <c r="BQ34" s="23">
        <f>EXP(-LN(2)/25)*BQ33+(1-EXP(-LN(2)/25))/(LN(2)/25)*Calculateur!BL34*Calculateur!BN34*VLOOKUP('Données projet'!$B$11,Paramètres!$A$1:$I$89,3,0)*0.475*44/12</f>
        <v>6.34113543884673</v>
      </c>
      <c r="BR34" s="23">
        <f>EXP(-LN(2)/2)*BR33+(1-EXP(-LN(2)/2))/(LN(2)/2)*BL34*BO34*VLOOKUP('Données projet'!$B$11,Paramètres!$A$1:$I$89,3,0)*0.475*44/12</f>
        <v>12.493130473333537</v>
      </c>
      <c r="BS34" s="24">
        <f t="shared" si="9"/>
        <v>25.382974498687801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2">
        <f t="shared" si="32"/>
        <v>8.8805221797401579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70">
        <f t="shared" si="1"/>
        <v>321.69165612971409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6.6</v>
      </c>
      <c r="N35" s="14">
        <f>IF('Données projet'!$A$36&gt;35,N34+M35-V34,IF(A35&lt;'Données projet'!$A$36,$K$205^A35,IF(A35='Données projet'!$A$36,'Données projet'!$B$36,N34+M35-V34)))</f>
        <v>99.200000000000031</v>
      </c>
      <c r="O35" s="14">
        <f>N35*VLOOKUP('Données projet'!$B$9,Paramètres!$A$1:$I$89,3,0)*VLOOKUP('Données projet'!$B$9,Paramètres!$A$1:$I$89,5,0)</f>
        <v>86.661120000000039</v>
      </c>
      <c r="P35" s="14">
        <f t="shared" si="33"/>
        <v>23.758204386703831</v>
      </c>
      <c r="Q35" s="22">
        <f t="shared" ref="Q35:Q66" si="53">(O35+P35)*0.475*44/12</f>
        <v>192.31365664017588</v>
      </c>
      <c r="R35" s="62">
        <f t="shared" si="0"/>
        <v>485.64698997350922</v>
      </c>
      <c r="S35" s="62">
        <f ca="1">AVERAGE(OFFSET($R$3,0,0,'Données projet'!$E$9+1,1))-AVERAGE(OFFSET($H$3,0,0,'Données projet'!$E$9+1,1))</f>
        <v>149.01553333688895</v>
      </c>
      <c r="T35" s="62">
        <f t="shared" si="34"/>
        <v>180.75293059562205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9.7512763220662126</v>
      </c>
      <c r="AC35" s="24">
        <f t="shared" si="3"/>
        <v>9.7512763220662126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15.2</v>
      </c>
      <c r="AI35" s="14">
        <f>IF('Données projet'!$A$62&gt;35,AI34+AH35-AQ34,IF(A35&lt;'Données projet'!$A$62,$AF$205^A35,IF(A35='Données projet'!$A$62,'Données projet'!$B$62,AI34+AH35-AQ34)))</f>
        <v>193.40000000000003</v>
      </c>
      <c r="AJ35" s="14">
        <f>AI35*VLOOKUP('Données projet'!$B$10,Paramètres!$A$1:$I$89,3,0)*VLOOKUP('Données projet'!$B$10,Paramètres!$A$1:$I$89,5,0)</f>
        <v>141.80088000000003</v>
      </c>
      <c r="AK35" s="14">
        <f t="shared" si="35"/>
        <v>36.709254421801973</v>
      </c>
      <c r="AL35" s="22">
        <f t="shared" si="4"/>
        <v>310.90515078463847</v>
      </c>
      <c r="AM35" s="62">
        <f t="shared" si="5"/>
        <v>604.23848411797178</v>
      </c>
      <c r="AN35" s="62">
        <f ca="1">AVERAGE(OFFSET($AM$3,0,0,'Données projet'!$E$10+1,1))-AVERAGE(OFFSET($H$3,0,0,'Données projet'!$E$10+1,1))</f>
        <v>296.15681058372093</v>
      </c>
      <c r="AO35" s="62">
        <f t="shared" si="36"/>
        <v>304.69148609083879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5.1604907357964835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5.1604907357964835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11</v>
      </c>
      <c r="BD35" s="13">
        <f>IF('Données projet'!$A$88&gt;35,BD34+BC35-BL34,IF(A35&lt;'Données projet'!$A$88,$BA$205^A35,IF(A35='Données projet'!$A$88,'Données projet'!$B$88,BD34+BC35-BL34)))</f>
        <v>256</v>
      </c>
      <c r="BE35" s="14">
        <f>BD35*VLOOKUP('Données projet'!$B$11,Paramètres!$A$1:$I$89,3,0)*VLOOKUP('Données projet'!$B$11,Paramètres!$A$1:$I$89,5,0)</f>
        <v>139.77600000000001</v>
      </c>
      <c r="BF35" s="14">
        <f t="shared" si="37"/>
        <v>36.245685459195286</v>
      </c>
      <c r="BG35" s="22">
        <f t="shared" si="7"/>
        <v>306.57110217476514</v>
      </c>
      <c r="BH35" s="62">
        <f t="shared" si="8"/>
        <v>599.90443550809846</v>
      </c>
      <c r="BI35" s="62">
        <f ca="1">AVERAGE(OFFSET($BH$3,0,0,'Données projet'!$E$11+1,1))-AVERAGE(OFFSET($H$3,0,0,'Données projet'!$E$11+1,1))</f>
        <v>198.95219623447554</v>
      </c>
      <c r="BJ35" s="62">
        <f t="shared" si="38"/>
        <v>299.68918988634471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6.420292405443953</v>
      </c>
      <c r="BQ35" s="23">
        <f>EXP(-LN(2)/25)*BQ34+(1-EXP(-LN(2)/25))/(LN(2)/25)*Calculateur!BL35*Calculateur!BN35*VLOOKUP('Données projet'!$B$11,Paramètres!$A$1:$I$89,3,0)*0.475*44/12</f>
        <v>6.1677367568056463</v>
      </c>
      <c r="BR35" s="23">
        <f>EXP(-LN(2)/2)*BR34+(1-EXP(-LN(2)/2))/(LN(2)/2)*BL35*BO35*VLOOKUP('Données projet'!$B$11,Paramètres!$A$1:$I$89,3,0)*0.475*44/12</f>
        <v>8.8339772759424466</v>
      </c>
      <c r="BS35" s="24">
        <f t="shared" si="9"/>
        <v>21.422006438192046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2">
        <f t="shared" si="32"/>
        <v>9.1252947188023139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70">
        <f t="shared" si="1"/>
        <v>323.66665830191403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6.6</v>
      </c>
      <c r="N36" s="14">
        <f>IF('Données projet'!$A$36&gt;35,N35+M36-V35,IF(A36&lt;'Données projet'!$A$36,$K$205^A36,IF(A36='Données projet'!$A$36,'Données projet'!$B$36,N35+M36-V35)))</f>
        <v>105.80000000000003</v>
      </c>
      <c r="O36" s="14">
        <f>N36*VLOOKUP('Données projet'!$B$9,Paramètres!$A$1:$I$89,3,0)*VLOOKUP('Données projet'!$B$9,Paramètres!$A$1:$I$89,5,0)</f>
        <v>92.42688000000004</v>
      </c>
      <c r="P36" s="14">
        <f t="shared" si="33"/>
        <v>25.149620531579263</v>
      </c>
      <c r="Q36" s="22">
        <f t="shared" si="53"/>
        <v>204.77907175916729</v>
      </c>
      <c r="R36" s="62">
        <f t="shared" si="0"/>
        <v>498.11240509250058</v>
      </c>
      <c r="S36" s="62">
        <f ca="1">AVERAGE(OFFSET($R$3,0,0,'Données projet'!$E$9+1,1))-AVERAGE(OFFSET($H$3,0,0,'Données projet'!$E$9+1,1))</f>
        <v>149.01553333688895</v>
      </c>
      <c r="T36" s="62">
        <f t="shared" si="34"/>
        <v>180.75293059562205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6.8951936125568354</v>
      </c>
      <c r="AC36" s="24">
        <f t="shared" si="3"/>
        <v>6.8951936125568354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15.2</v>
      </c>
      <c r="AI36" s="14">
        <f>IF('Données projet'!$A$62&gt;35,AI35+AH36-AQ35,IF(A36&lt;'Données projet'!$A$62,$AF$205^A36,IF(A36='Données projet'!$A$62,'Données projet'!$B$62,AI35+AH36-AQ35)))</f>
        <v>208.60000000000002</v>
      </c>
      <c r="AJ36" s="14">
        <f>AI36*VLOOKUP('Données projet'!$B$10,Paramètres!$A$1:$I$89,3,0)*VLOOKUP('Données projet'!$B$10,Paramètres!$A$1:$I$89,5,0)</f>
        <v>152.94552000000002</v>
      </c>
      <c r="AK36" s="14">
        <f t="shared" si="35"/>
        <v>39.247206134585156</v>
      </c>
      <c r="AL36" s="22">
        <f t="shared" si="4"/>
        <v>334.73566468440248</v>
      </c>
      <c r="AM36" s="62">
        <f t="shared" si="5"/>
        <v>628.06899801773579</v>
      </c>
      <c r="AN36" s="62">
        <f ca="1">AVERAGE(OFFSET($AM$3,0,0,'Données projet'!$E$10+1,1))-AVERAGE(OFFSET($H$3,0,0,'Données projet'!$E$10+1,1))</f>
        <v>296.15681058372093</v>
      </c>
      <c r="AO36" s="62">
        <f t="shared" si="36"/>
        <v>304.69148609083879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5.0193768452477157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5.0193768452477157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11</v>
      </c>
      <c r="BD36" s="13">
        <f>IF('Données projet'!$A$88&gt;35,BD35+BC36-BL35,IF(A36&lt;'Données projet'!$A$88,$BA$205^A36,IF(A36='Données projet'!$A$88,'Données projet'!$B$88,BD35+BC36-BL35)))</f>
        <v>267</v>
      </c>
      <c r="BE36" s="14">
        <f>BD36*VLOOKUP('Données projet'!$B$11,Paramètres!$A$1:$I$89,3,0)*VLOOKUP('Données projet'!$B$11,Paramètres!$A$1:$I$89,5,0)</f>
        <v>145.78200000000001</v>
      </c>
      <c r="BF36" s="14">
        <f t="shared" si="37"/>
        <v>37.618444563627762</v>
      </c>
      <c r="BG36" s="22">
        <f t="shared" si="7"/>
        <v>319.42244094831835</v>
      </c>
      <c r="BH36" s="62">
        <f t="shared" si="8"/>
        <v>612.75577428165161</v>
      </c>
      <c r="BI36" s="62">
        <f ca="1">AVERAGE(OFFSET($BH$3,0,0,'Données projet'!$E$11+1,1))-AVERAGE(OFFSET($H$3,0,0,'Données projet'!$E$11+1,1))</f>
        <v>198.95219623447554</v>
      </c>
      <c r="BJ36" s="62">
        <f t="shared" si="38"/>
        <v>299.68918988634471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6.2943943873648927</v>
      </c>
      <c r="BQ36" s="23">
        <f>EXP(-LN(2)/25)*BQ35+(1-EXP(-LN(2)/25))/(LN(2)/25)*Calculateur!BL36*Calculateur!BN36*VLOOKUP('Données projet'!$B$11,Paramètres!$A$1:$I$89,3,0)*0.475*44/12</f>
        <v>5.9990796708436163</v>
      </c>
      <c r="BR36" s="23">
        <f>EXP(-LN(2)/2)*BR35+(1-EXP(-LN(2)/2))/(LN(2)/2)*BL36*BO36*VLOOKUP('Données projet'!$B$11,Paramètres!$A$1:$I$89,3,0)*0.475*44/12</f>
        <v>6.2465652366667692</v>
      </c>
      <c r="BS36" s="24">
        <f t="shared" si="9"/>
        <v>18.540039294875278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2">
        <f t="shared" si="32"/>
        <v>9.3692052598737909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70">
        <f t="shared" si="1"/>
        <v>325.64015916094684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6.6</v>
      </c>
      <c r="N37" s="14">
        <f>IF('Données projet'!$A$36&gt;35,N36+M37-V36,IF(A37&lt;'Données projet'!$A$36,$K$205^A37,IF(A37='Données projet'!$A$36,'Données projet'!$B$36,N36+M37-V36)))</f>
        <v>112.40000000000002</v>
      </c>
      <c r="O37" s="14">
        <f>N37*VLOOKUP('Données projet'!$B$9,Paramètres!$A$1:$I$89,3,0)*VLOOKUP('Données projet'!$B$9,Paramètres!$A$1:$I$89,5,0)</f>
        <v>98.192640000000026</v>
      </c>
      <c r="P37" s="14">
        <f t="shared" si="33"/>
        <v>26.530962957008427</v>
      </c>
      <c r="Q37" s="22">
        <f t="shared" si="53"/>
        <v>217.22694181678969</v>
      </c>
      <c r="R37" s="62">
        <f t="shared" si="0"/>
        <v>510.560275150123</v>
      </c>
      <c r="S37" s="62">
        <f ca="1">AVERAGE(OFFSET($R$3,0,0,'Données projet'!$E$9+1,1))-AVERAGE(OFFSET($H$3,0,0,'Données projet'!$E$9+1,1))</f>
        <v>149.01553333688895</v>
      </c>
      <c r="T37" s="62">
        <f t="shared" si="34"/>
        <v>180.75293059562205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4.8756381610331063</v>
      </c>
      <c r="AC37" s="24">
        <f t="shared" si="3"/>
        <v>4.8756381610331063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15.2</v>
      </c>
      <c r="AI37" s="14">
        <f>IF('Données projet'!$A$62&gt;35,AI36+AH37-AQ36,IF(A37&lt;'Données projet'!$A$62,$AF$205^A37,IF(A37='Données projet'!$A$62,'Données projet'!$B$62,AI36+AH37-AQ36)))</f>
        <v>223.8</v>
      </c>
      <c r="AJ37" s="14">
        <f>AI37*VLOOKUP('Données projet'!$B$10,Paramètres!$A$1:$I$89,3,0)*VLOOKUP('Données projet'!$B$10,Paramètres!$A$1:$I$89,5,0)</f>
        <v>164.09016</v>
      </c>
      <c r="AK37" s="14">
        <f t="shared" si="35"/>
        <v>41.763702733606458</v>
      </c>
      <c r="AL37" s="22">
        <f t="shared" si="4"/>
        <v>358.52881092769786</v>
      </c>
      <c r="AM37" s="62">
        <f t="shared" si="5"/>
        <v>651.86214426103118</v>
      </c>
      <c r="AN37" s="62">
        <f ca="1">AVERAGE(OFFSET($AM$3,0,0,'Données projet'!$E$10+1,1))-AVERAGE(OFFSET($H$3,0,0,'Données projet'!$E$10+1,1))</f>
        <v>296.15681058372093</v>
      </c>
      <c r="AO37" s="62">
        <f t="shared" si="36"/>
        <v>304.69148609083879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4.8821217214568602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4.8821217214568602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11</v>
      </c>
      <c r="BD37" s="13">
        <f>IF('Données projet'!$A$88&gt;35,BD36+BC37-BL36,IF(A37&lt;'Données projet'!$A$88,$BA$205^A37,IF(A37='Données projet'!$A$88,'Données projet'!$B$88,BD36+BC37-BL36)))</f>
        <v>278</v>
      </c>
      <c r="BE37" s="14">
        <f>BD37*VLOOKUP('Données projet'!$B$11,Paramètres!$A$1:$I$89,3,0)*VLOOKUP('Données projet'!$B$11,Paramètres!$A$1:$I$89,5,0)</f>
        <v>151.78799999999998</v>
      </c>
      <c r="BF37" s="14">
        <f t="shared" si="37"/>
        <v>38.984634390835623</v>
      </c>
      <c r="BG37" s="22">
        <f t="shared" si="7"/>
        <v>332.26233823070532</v>
      </c>
      <c r="BH37" s="62">
        <f t="shared" si="8"/>
        <v>625.59567156403864</v>
      </c>
      <c r="BI37" s="62">
        <f ca="1">AVERAGE(OFFSET($BH$3,0,0,'Données projet'!$E$11+1,1))-AVERAGE(OFFSET($H$3,0,0,'Données projet'!$E$11+1,1))</f>
        <v>198.95219623447554</v>
      </c>
      <c r="BJ37" s="62">
        <f t="shared" si="38"/>
        <v>299.68918988634471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6.1709651526301537</v>
      </c>
      <c r="BQ37" s="23">
        <f>EXP(-LN(2)/25)*BQ36+(1-EXP(-LN(2)/25))/(LN(2)/25)*Calculateur!BL37*Calculateur!BN37*VLOOKUP('Données projet'!$B$11,Paramètres!$A$1:$I$89,3,0)*0.475*44/12</f>
        <v>5.8350345217665085</v>
      </c>
      <c r="BR37" s="23">
        <f>EXP(-LN(2)/2)*BR36+(1-EXP(-LN(2)/2))/(LN(2)/2)*BL37*BO37*VLOOKUP('Données projet'!$B$11,Paramètres!$A$1:$I$89,3,0)*0.475*44/12</f>
        <v>4.4169886379712242</v>
      </c>
      <c r="BS37" s="24">
        <f t="shared" si="9"/>
        <v>16.422988312367885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2">
        <f t="shared" si="32"/>
        <v>9.612282066778798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70">
        <f t="shared" si="1"/>
        <v>327.61220793297304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119</v>
      </c>
      <c r="L38" s="13">
        <f>VLOOKUP(A38,'Données projet'!$A$35:$I$55,9,0)</f>
        <v>6.6</v>
      </c>
      <c r="M38" s="13">
        <f t="array" ref="M38">INDEX(L:L,MIN(IF(ISNUMBER(L38:L234),ROW(L38:L234),"")))</f>
        <v>6.6</v>
      </c>
      <c r="N38" s="14">
        <f>IF('Données projet'!$A$36&gt;35,N37+M38-V37,IF(A38&lt;'Données projet'!$A$36,$K$205^A38,IF(A38='Données projet'!$A$36,'Données projet'!$B$36,N37+M38-V37)))</f>
        <v>119.00000000000001</v>
      </c>
      <c r="O38" s="14">
        <f>N38*VLOOKUP('Données projet'!$B$9,Paramètres!$A$1:$I$89,3,0)*VLOOKUP('Données projet'!$B$9,Paramètres!$A$1:$I$89,5,0)</f>
        <v>103.95840000000003</v>
      </c>
      <c r="P38" s="14">
        <f t="shared" si="33"/>
        <v>27.902890560352166</v>
      </c>
      <c r="Q38" s="22">
        <f t="shared" si="53"/>
        <v>229.65841439261337</v>
      </c>
      <c r="R38" s="62">
        <f t="shared" si="0"/>
        <v>522.99174772594665</v>
      </c>
      <c r="S38" s="62">
        <f ca="1">AVERAGE(OFFSET($R$3,0,0,'Données projet'!$E$9+1,1))-AVERAGE(OFFSET($H$3,0,0,'Données projet'!$E$9+1,1))</f>
        <v>149.01553333688895</v>
      </c>
      <c r="T38" s="62">
        <f t="shared" si="34"/>
        <v>180.75293059562205</v>
      </c>
      <c r="U38" s="16">
        <f>IF(ISNA(VLOOKUP(A38,'Données projet'!$A$35:$I$55,3,0)),0,VLOOKUP(A38,'Données projet'!$A$35:$I$55,3,0))</f>
        <v>4</v>
      </c>
      <c r="V38" s="16">
        <f>IF(ISNA(VLOOKUP(A38,'Données projet'!$A$35:$I$55,4,0)),0,VLOOKUP(A38,'Données projet'!$A$35:$I$55,4,0))</f>
        <v>20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3.4475968062784177</v>
      </c>
      <c r="AC38" s="24">
        <f t="shared" si="3"/>
        <v>3.4475968062784177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239</v>
      </c>
      <c r="AG38" s="13">
        <f>VLOOKUP(A38,'Données projet'!$A$61:$I$81,9,0)</f>
        <v>15.2</v>
      </c>
      <c r="AH38" s="13">
        <f t="array" ref="AH38">INDEX(AG:AG,MIN(IF(ISNUMBER(AG38:AG234),ROW(AG38:AG234),"")))</f>
        <v>15.2</v>
      </c>
      <c r="AI38" s="14">
        <f>IF('Données projet'!$A$62&gt;35,AI37+AH38-AQ37,IF(A38&lt;'Données projet'!$A$62,$AF$205^A38,IF(A38='Données projet'!$A$62,'Données projet'!$B$62,AI37+AH38-AQ37)))</f>
        <v>239</v>
      </c>
      <c r="AJ38" s="14">
        <f>AI38*VLOOKUP('Données projet'!$B$10,Paramètres!$A$1:$I$89,3,0)*VLOOKUP('Données projet'!$B$10,Paramètres!$A$1:$I$89,5,0)</f>
        <v>175.23480000000001</v>
      </c>
      <c r="AK38" s="14">
        <f t="shared" si="35"/>
        <v>44.260367185241513</v>
      </c>
      <c r="AL38" s="22">
        <f t="shared" si="4"/>
        <v>382.28741618096228</v>
      </c>
      <c r="AM38" s="62">
        <f t="shared" si="5"/>
        <v>675.62074951429554</v>
      </c>
      <c r="AN38" s="62">
        <f ca="1">AVERAGE(OFFSET($AM$3,0,0,'Données projet'!$E$10+1,1))-AVERAGE(OFFSET($H$3,0,0,'Données projet'!$E$10+1,1))</f>
        <v>296.15681058372093</v>
      </c>
      <c r="AO38" s="62">
        <f t="shared" si="36"/>
        <v>304.69148609083879</v>
      </c>
      <c r="AP38" s="16">
        <f>IF(ISNA(VLOOKUP(A38,'Données projet'!$A$61:$I$81,3,0)),0,VLOOKUP(A38,'Données projet'!$A$61:$I$81,3,0))</f>
        <v>6</v>
      </c>
      <c r="AQ38" s="16">
        <f>IF(ISNA(VLOOKUP(A38,'Données projet'!$A$61:$I$81,4,0)),0,VLOOKUP(A38,'Données projet'!$A$61:$I$81,4,0))</f>
        <v>42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4.748619846243999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4.748619846243999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289</v>
      </c>
      <c r="BB38" s="13">
        <f>VLOOKUP(A38,'Données projet'!$A$87:$I$107,9,0)</f>
        <v>11</v>
      </c>
      <c r="BC38" s="13">
        <f t="array" ref="BC38">INDEX(BB:BB,MIN(IF(ISNUMBER(BB38:BB234),ROW(BB38:BB234),"")))</f>
        <v>11</v>
      </c>
      <c r="BD38" s="13">
        <f>IF('Données projet'!$A$88&gt;35,BD37+BC38-BL37,IF(A38&lt;'Données projet'!$A$88,$BA$205^A38,IF(A38='Données projet'!$A$88,'Données projet'!$B$88,BD37+BC38-BL37)))</f>
        <v>289</v>
      </c>
      <c r="BE38" s="14">
        <f>BD38*VLOOKUP('Données projet'!$B$11,Paramètres!$A$1:$I$89,3,0)*VLOOKUP('Données projet'!$B$11,Paramètres!$A$1:$I$89,5,0)</f>
        <v>157.79400000000001</v>
      </c>
      <c r="BF38" s="14">
        <f t="shared" si="37"/>
        <v>40.344544619487742</v>
      </c>
      <c r="BG38" s="22">
        <f t="shared" si="7"/>
        <v>345.0912985456078</v>
      </c>
      <c r="BH38" s="62">
        <f t="shared" si="8"/>
        <v>638.42463187894111</v>
      </c>
      <c r="BI38" s="62">
        <f ca="1">AVERAGE(OFFSET($BH$3,0,0,'Données projet'!$E$11+1,1))-AVERAGE(OFFSET($H$3,0,0,'Données projet'!$E$11+1,1))</f>
        <v>198.95219623447554</v>
      </c>
      <c r="BJ38" s="62">
        <f t="shared" si="38"/>
        <v>299.68918988634471</v>
      </c>
      <c r="BK38" s="16">
        <f>IF(ISNA(VLOOKUP(A38,'Données projet'!$A$87:$I$107,3,0)),0,VLOOKUP(A38,'Données projet'!$A$87:$I$107,3,0))</f>
        <v>6</v>
      </c>
      <c r="BL38" s="16">
        <f>IF(ISNA(VLOOKUP(A38,'Données projet'!$A$87:$I$107,4,0)),0,VLOOKUP(A38,'Données projet'!$A$87:$I$107,4,0))</f>
        <v>29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6.0499562899041637</v>
      </c>
      <c r="BQ38" s="23">
        <f>EXP(-LN(2)/25)*BQ37+(1-EXP(-LN(2)/25))/(LN(2)/25)*Calculateur!BL38*Calculateur!BN38*VLOOKUP('Données projet'!$B$11,Paramètres!$A$1:$I$89,3,0)*0.475*44/12</f>
        <v>5.6754751959176737</v>
      </c>
      <c r="BR38" s="23">
        <f>EXP(-LN(2)/2)*BR37+(1-EXP(-LN(2)/2))/(LN(2)/2)*BL38*BO38*VLOOKUP('Données projet'!$B$11,Paramètres!$A$1:$I$89,3,0)*0.475*44/12</f>
        <v>3.1232826183333851</v>
      </c>
      <c r="BS38" s="24">
        <f t="shared" si="9"/>
        <v>14.848714104155221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2">
        <f t="shared" si="32"/>
        <v>9.8545516964045738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70">
        <f t="shared" si="1"/>
        <v>329.58285087123795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6.2</v>
      </c>
      <c r="N39" s="14">
        <f>IF('Données projet'!$A$36&gt;35,N38+M39-V38,IF(A39&lt;'Données projet'!$A$36,$K$205^A39,IF(A39='Données projet'!$A$36,'Données projet'!$B$36,N38+M39-V38)))</f>
        <v>105.20000000000002</v>
      </c>
      <c r="O39" s="14">
        <f>N39*VLOOKUP('Données projet'!$B$9,Paramètres!$A$1:$I$89,3,0)*VLOOKUP('Données projet'!$B$9,Paramètres!$A$1:$I$89,5,0)</f>
        <v>91.902720000000031</v>
      </c>
      <c r="P39" s="14">
        <f t="shared" si="33"/>
        <v>25.023555003327882</v>
      </c>
      <c r="Q39" s="22">
        <f t="shared" si="53"/>
        <v>203.64659563079613</v>
      </c>
      <c r="R39" s="62">
        <f t="shared" si="0"/>
        <v>496.97992896412944</v>
      </c>
      <c r="S39" s="62">
        <f ca="1">AVERAGE(OFFSET($R$3,0,0,'Données projet'!$E$9+1,1))-AVERAGE(OFFSET($H$3,0,0,'Données projet'!$E$9+1,1))</f>
        <v>149.01553333688895</v>
      </c>
      <c r="T39" s="62">
        <f t="shared" si="34"/>
        <v>180.75293059562205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2.4378190805165532</v>
      </c>
      <c r="AC39" s="24">
        <f t="shared" si="3"/>
        <v>2.4378190805165532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13.2</v>
      </c>
      <c r="AI39" s="14">
        <f>IF('Données projet'!$A$62&gt;35,AI38+AH39-AQ38,IF(A39&lt;'Données projet'!$A$62,$AF$205^A39,IF(A39='Données projet'!$A$62,'Données projet'!$B$62,AI38+AH39-AQ38)))</f>
        <v>210.2</v>
      </c>
      <c r="AJ39" s="14">
        <f>AI39*VLOOKUP('Données projet'!$B$10,Paramètres!$A$1:$I$89,3,0)*VLOOKUP('Données projet'!$B$10,Paramètres!$A$1:$I$89,5,0)</f>
        <v>154.11863999999997</v>
      </c>
      <c r="AK39" s="14">
        <f t="shared" si="35"/>
        <v>39.513080685376593</v>
      </c>
      <c r="AL39" s="22">
        <f t="shared" si="4"/>
        <v>337.24191352703082</v>
      </c>
      <c r="AM39" s="62">
        <f t="shared" si="5"/>
        <v>630.57524686036413</v>
      </c>
      <c r="AN39" s="62">
        <f ca="1">AVERAGE(OFFSET($AM$3,0,0,'Données projet'!$E$10+1,1))-AVERAGE(OFFSET($H$3,0,0,'Données projet'!$E$10+1,1))</f>
        <v>296.15681058372093</v>
      </c>
      <c r="AO39" s="62">
        <f t="shared" si="36"/>
        <v>304.69148609083879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4.6187685868293924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4.6187685868293924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8.1999999999999993</v>
      </c>
      <c r="BD39" s="13">
        <f>IF('Données projet'!$A$88&gt;35,BD38+BC39-BL38,IF(A39&lt;'Données projet'!$A$88,$BA$205^A39,IF(A39='Données projet'!$A$88,'Données projet'!$B$88,BD38+BC39-BL38)))</f>
        <v>268.2</v>
      </c>
      <c r="BE39" s="14">
        <f>BD39*VLOOKUP('Données projet'!$B$11,Paramètres!$A$1:$I$89,3,0)*VLOOKUP('Données projet'!$B$11,Paramètres!$A$1:$I$89,5,0)</f>
        <v>146.43719999999999</v>
      </c>
      <c r="BF39" s="14">
        <f t="shared" si="37"/>
        <v>37.767797271608202</v>
      </c>
      <c r="BG39" s="22">
        <f t="shared" si="7"/>
        <v>320.82370358138422</v>
      </c>
      <c r="BH39" s="62">
        <f t="shared" si="8"/>
        <v>614.15703691471754</v>
      </c>
      <c r="BI39" s="62">
        <f ca="1">AVERAGE(OFFSET($BH$3,0,0,'Données projet'!$E$11+1,1))-AVERAGE(OFFSET($H$3,0,0,'Données projet'!$E$11+1,1))</f>
        <v>198.95219623447554</v>
      </c>
      <c r="BJ39" s="62">
        <f t="shared" si="38"/>
        <v>299.68918988634471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5.9313203371681116</v>
      </c>
      <c r="BQ39" s="23">
        <f>EXP(-LN(2)/25)*BQ38+(1-EXP(-LN(2)/25))/(LN(2)/25)*Calculateur!BL39*Calculateur!BN39*VLOOKUP('Données projet'!$B$11,Paramètres!$A$1:$I$89,3,0)*0.475*44/12</f>
        <v>5.520279028225036</v>
      </c>
      <c r="BR39" s="23">
        <f>EXP(-LN(2)/2)*BR38+(1-EXP(-LN(2)/2))/(LN(2)/2)*BL39*BO39*VLOOKUP('Données projet'!$B$11,Paramètres!$A$1:$I$89,3,0)*0.475*44/12</f>
        <v>2.2084943189856121</v>
      </c>
      <c r="BS39" s="24">
        <f t="shared" si="9"/>
        <v>13.660093684378758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2">
        <f t="shared" si="32"/>
        <v>10.096039146303498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70">
        <f t="shared" si="1"/>
        <v>331.55213151314524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6.2</v>
      </c>
      <c r="N40" s="14">
        <f>IF('Données projet'!$A$36&gt;35,N39+M40-V39,IF(A40&lt;'Données projet'!$A$36,$K$205^A40,IF(A40='Données projet'!$A$36,'Données projet'!$B$36,N39+M40-V39)))</f>
        <v>111.40000000000002</v>
      </c>
      <c r="O40" s="14">
        <f>N40*VLOOKUP('Données projet'!$B$9,Paramètres!$A$1:$I$89,3,0)*VLOOKUP('Données projet'!$B$9,Paramètres!$A$1:$I$89,5,0)</f>
        <v>97.31904000000003</v>
      </c>
      <c r="P40" s="14">
        <f t="shared" si="33"/>
        <v>26.322289133542785</v>
      </c>
      <c r="Q40" s="22">
        <f t="shared" si="53"/>
        <v>215.34198157425371</v>
      </c>
      <c r="R40" s="62">
        <f t="shared" si="0"/>
        <v>508.67531490758699</v>
      </c>
      <c r="S40" s="62">
        <f ca="1">AVERAGE(OFFSET($R$3,0,0,'Données projet'!$E$9+1,1))-AVERAGE(OFFSET($H$3,0,0,'Données projet'!$E$9+1,1))</f>
        <v>149.01553333688895</v>
      </c>
      <c r="T40" s="62">
        <f t="shared" si="34"/>
        <v>180.75293059562205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1.7237984031392088</v>
      </c>
      <c r="AC40" s="24">
        <f t="shared" si="3"/>
        <v>1.7237984031392088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13.2</v>
      </c>
      <c r="AI40" s="14">
        <f>IF('Données projet'!$A$62&gt;35,AI39+AH40-AQ39,IF(A40&lt;'Données projet'!$A$62,$AF$205^A40,IF(A40='Données projet'!$A$62,'Données projet'!$B$62,AI39+AH40-AQ39)))</f>
        <v>223.39999999999998</v>
      </c>
      <c r="AJ40" s="14">
        <f>AI40*VLOOKUP('Données projet'!$B$10,Paramètres!$A$1:$I$89,3,0)*VLOOKUP('Données projet'!$B$10,Paramètres!$A$1:$I$89,5,0)</f>
        <v>163.79687999999999</v>
      </c>
      <c r="AK40" s="14">
        <f t="shared" si="35"/>
        <v>41.697739822198329</v>
      </c>
      <c r="AL40" s="22">
        <f t="shared" si="4"/>
        <v>357.90312952366207</v>
      </c>
      <c r="AM40" s="62">
        <f t="shared" si="5"/>
        <v>651.23646285699533</v>
      </c>
      <c r="AN40" s="62">
        <f ca="1">AVERAGE(OFFSET($AM$3,0,0,'Données projet'!$E$10+1,1))-AVERAGE(OFFSET($H$3,0,0,'Données projet'!$E$10+1,1))</f>
        <v>296.15681058372093</v>
      </c>
      <c r="AO40" s="62">
        <f t="shared" si="36"/>
        <v>304.69148609083879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4.4924681169320593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4.4924681169320593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8.1999999999999993</v>
      </c>
      <c r="BD40" s="13">
        <f>IF('Données projet'!$A$88&gt;35,BD39+BC40-BL39,IF(A40&lt;'Données projet'!$A$88,$BA$205^A40,IF(A40='Données projet'!$A$88,'Données projet'!$B$88,BD39+BC40-BL39)))</f>
        <v>276.39999999999998</v>
      </c>
      <c r="BE40" s="14">
        <f>BD40*VLOOKUP('Données projet'!$B$11,Paramètres!$A$1:$I$89,3,0)*VLOOKUP('Données projet'!$B$11,Paramètres!$A$1:$I$89,5,0)</f>
        <v>150.91439999999997</v>
      </c>
      <c r="BF40" s="14">
        <f t="shared" si="37"/>
        <v>38.786312743741441</v>
      </c>
      <c r="BG40" s="22">
        <f t="shared" si="7"/>
        <v>330.39540802868294</v>
      </c>
      <c r="BH40" s="62">
        <f t="shared" si="8"/>
        <v>623.72874136201631</v>
      </c>
      <c r="BI40" s="62">
        <f ca="1">AVERAGE(OFFSET($BH$3,0,0,'Données projet'!$E$11+1,1))-AVERAGE(OFFSET($H$3,0,0,'Données projet'!$E$11+1,1))</f>
        <v>198.95219623447554</v>
      </c>
      <c r="BJ40" s="62">
        <f t="shared" si="38"/>
        <v>299.68918988634471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5.8150107631044277</v>
      </c>
      <c r="BQ40" s="23">
        <f>EXP(-LN(2)/25)*BQ39+(1-EXP(-LN(2)/25))/(LN(2)/25)*Calculateur!BL40*Calculateur!BN40*VLOOKUP('Données projet'!$B$11,Paramètres!$A$1:$I$89,3,0)*0.475*44/12</f>
        <v>5.3693267078993649</v>
      </c>
      <c r="BR40" s="23">
        <f>EXP(-LN(2)/2)*BR39+(1-EXP(-LN(2)/2))/(LN(2)/2)*BL40*BO40*VLOOKUP('Données projet'!$B$11,Paramètres!$A$1:$I$89,3,0)*0.475*44/12</f>
        <v>1.5616413091666925</v>
      </c>
      <c r="BS40" s="24">
        <f t="shared" si="9"/>
        <v>12.745978780170486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2">
        <f t="shared" si="32"/>
        <v>10.336767985889495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70">
        <f t="shared" si="1"/>
        <v>333.52009090875754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6.2</v>
      </c>
      <c r="N41" s="14">
        <f>IF('Données projet'!$A$36&gt;35,N40+M41-V40,IF(A41&lt;'Données projet'!$A$36,$K$205^A41,IF(A41='Données projet'!$A$36,'Données projet'!$B$36,N40+M41-V40)))</f>
        <v>117.60000000000002</v>
      </c>
      <c r="O41" s="14">
        <f>N41*VLOOKUP('Données projet'!$B$9,Paramètres!$A$1:$I$89,3,0)*VLOOKUP('Données projet'!$B$9,Paramètres!$A$1:$I$89,5,0)</f>
        <v>102.73536000000004</v>
      </c>
      <c r="P41" s="14">
        <f t="shared" si="33"/>
        <v>27.612632326357044</v>
      </c>
      <c r="Q41" s="22">
        <f t="shared" si="53"/>
        <v>227.02275330173859</v>
      </c>
      <c r="R41" s="62">
        <f t="shared" si="0"/>
        <v>520.35608663507196</v>
      </c>
      <c r="S41" s="62">
        <f ca="1">AVERAGE(OFFSET($R$3,0,0,'Données projet'!$E$9+1,1))-AVERAGE(OFFSET($H$3,0,0,'Données projet'!$E$9+1,1))</f>
        <v>149.01553333688895</v>
      </c>
      <c r="T41" s="62">
        <f t="shared" si="34"/>
        <v>180.75293059562205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1.2189095402582766</v>
      </c>
      <c r="AC41" s="24">
        <f t="shared" si="3"/>
        <v>1.2189095402582766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13.2</v>
      </c>
      <c r="AI41" s="14">
        <f>IF('Données projet'!$A$62&gt;35,AI40+AH41-AQ40,IF(A41&lt;'Données projet'!$A$62,$AF$205^A41,IF(A41='Données projet'!$A$62,'Données projet'!$B$62,AI40+AH41-AQ40)))</f>
        <v>236.59999999999997</v>
      </c>
      <c r="AJ41" s="14">
        <f>AI41*VLOOKUP('Données projet'!$B$10,Paramètres!$A$1:$I$89,3,0)*VLOOKUP('Données projet'!$B$10,Paramètres!$A$1:$I$89,5,0)</f>
        <v>173.47511999999998</v>
      </c>
      <c r="AK41" s="14">
        <f t="shared" si="35"/>
        <v>43.867415861334891</v>
      </c>
      <c r="AL41" s="22">
        <f t="shared" si="4"/>
        <v>378.53824995849158</v>
      </c>
      <c r="AM41" s="62">
        <f t="shared" si="5"/>
        <v>671.87158329182489</v>
      </c>
      <c r="AN41" s="62">
        <f ca="1">AVERAGE(OFFSET($AM$3,0,0,'Données projet'!$E$10+1,1))-AVERAGE(OFFSET($H$3,0,0,'Données projet'!$E$10+1,1))</f>
        <v>296.15681058372093</v>
      </c>
      <c r="AO41" s="62">
        <f t="shared" si="36"/>
        <v>304.69148609083879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4.3696213400259216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4.3696213400259216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8.1999999999999993</v>
      </c>
      <c r="BD41" s="13">
        <f>IF('Données projet'!$A$88&gt;35,BD40+BC41-BL40,IF(A41&lt;'Données projet'!$A$88,$BA$205^A41,IF(A41='Données projet'!$A$88,'Données projet'!$B$88,BD40+BC41-BL40)))</f>
        <v>284.59999999999997</v>
      </c>
      <c r="BE41" s="14">
        <f>BD41*VLOOKUP('Données projet'!$B$11,Paramètres!$A$1:$I$89,3,0)*VLOOKUP('Données projet'!$B$11,Paramètres!$A$1:$I$89,5,0)</f>
        <v>155.39159999999998</v>
      </c>
      <c r="BF41" s="14">
        <f t="shared" si="37"/>
        <v>39.801316542676027</v>
      </c>
      <c r="BG41" s="22">
        <f t="shared" si="7"/>
        <v>339.96099631182739</v>
      </c>
      <c r="BH41" s="62">
        <f t="shared" si="8"/>
        <v>633.2943296451607</v>
      </c>
      <c r="BI41" s="62">
        <f ca="1">AVERAGE(OFFSET($BH$3,0,0,'Données projet'!$E$11+1,1))-AVERAGE(OFFSET($H$3,0,0,'Données projet'!$E$11+1,1))</f>
        <v>198.95219623447554</v>
      </c>
      <c r="BJ41" s="62">
        <f t="shared" si="38"/>
        <v>299.68918988634471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5.7009819488462972</v>
      </c>
      <c r="BQ41" s="23">
        <f>EXP(-LN(2)/25)*BQ40+(1-EXP(-LN(2)/25))/(LN(2)/25)*Calculateur!BL41*Calculateur!BN41*VLOOKUP('Données projet'!$B$11,Paramètres!$A$1:$I$89,3,0)*0.475*44/12</f>
        <v>5.2225021867112371</v>
      </c>
      <c r="BR41" s="23">
        <f>EXP(-LN(2)/2)*BR40+(1-EXP(-LN(2)/2))/(LN(2)/2)*BL41*BO41*VLOOKUP('Données projet'!$B$11,Paramètres!$A$1:$I$89,3,0)*0.475*44/12</f>
        <v>1.1042471594928061</v>
      </c>
      <c r="BS41" s="24">
        <f t="shared" si="9"/>
        <v>12.027731295050339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2">
        <f t="shared" si="32"/>
        <v>10.576760473435781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70">
        <f t="shared" si="1"/>
        <v>335.48676782456732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6.2</v>
      </c>
      <c r="N42" s="14">
        <f>IF('Données projet'!$A$36&gt;35,N41+M42-V41,IF(A42&lt;'Données projet'!$A$36,$K$205^A42,IF(A42='Données projet'!$A$36,'Données projet'!$B$36,N41+M42-V41)))</f>
        <v>123.80000000000003</v>
      </c>
      <c r="O42" s="14">
        <f>N42*VLOOKUP('Données projet'!$B$9,Paramètres!$A$1:$I$89,3,0)*VLOOKUP('Données projet'!$B$9,Paramètres!$A$1:$I$89,5,0)</f>
        <v>108.15168000000003</v>
      </c>
      <c r="P42" s="14">
        <f t="shared" si="33"/>
        <v>28.895077410060392</v>
      </c>
      <c r="Q42" s="22">
        <f t="shared" si="53"/>
        <v>238.68976915585526</v>
      </c>
      <c r="R42" s="62">
        <f t="shared" si="0"/>
        <v>532.02310248918855</v>
      </c>
      <c r="S42" s="62">
        <f ca="1">AVERAGE(OFFSET($R$3,0,0,'Données projet'!$E$9+1,1))-AVERAGE(OFFSET($H$3,0,0,'Données projet'!$E$9+1,1))</f>
        <v>149.01553333688895</v>
      </c>
      <c r="T42" s="62">
        <f t="shared" si="34"/>
        <v>180.75293059562205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0.86189920156960442</v>
      </c>
      <c r="AC42" s="24">
        <f t="shared" si="3"/>
        <v>0.86189920156960442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13.2</v>
      </c>
      <c r="AI42" s="14">
        <f>IF('Données projet'!$A$62&gt;35,AI41+AH42-AQ41,IF(A42&lt;'Données projet'!$A$62,$AF$205^A42,IF(A42='Données projet'!$A$62,'Données projet'!$B$62,AI41+AH42-AQ41)))</f>
        <v>249.79999999999995</v>
      </c>
      <c r="AJ42" s="14">
        <f>AI42*VLOOKUP('Données projet'!$B$10,Paramètres!$A$1:$I$89,3,0)*VLOOKUP('Données projet'!$B$10,Paramètres!$A$1:$I$89,5,0)</f>
        <v>183.15335999999996</v>
      </c>
      <c r="AK42" s="14">
        <f t="shared" si="35"/>
        <v>46.023039984246878</v>
      </c>
      <c r="AL42" s="22">
        <f t="shared" si="4"/>
        <v>399.14889663922986</v>
      </c>
      <c r="AM42" s="62">
        <f t="shared" si="5"/>
        <v>692.48222997256312</v>
      </c>
      <c r="AN42" s="62">
        <f ca="1">AVERAGE(OFFSET($AM$3,0,0,'Données projet'!$E$10+1,1))-AVERAGE(OFFSET($H$3,0,0,'Données projet'!$E$10+1,1))</f>
        <v>296.15681058372093</v>
      </c>
      <c r="AO42" s="62">
        <f t="shared" si="36"/>
        <v>304.69148609083879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4.2501338146945136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4.2501338146945136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8.1999999999999993</v>
      </c>
      <c r="BD42" s="13">
        <f>IF('Données projet'!$A$88&gt;35,BD41+BC42-BL41,IF(A42&lt;'Données projet'!$A$88,$BA$205^A42,IF(A42='Données projet'!$A$88,'Données projet'!$B$88,BD41+BC42-BL41)))</f>
        <v>292.79999999999995</v>
      </c>
      <c r="BE42" s="14">
        <f>BD42*VLOOKUP('Données projet'!$B$11,Paramètres!$A$1:$I$89,3,0)*VLOOKUP('Données projet'!$B$11,Paramètres!$A$1:$I$89,5,0)</f>
        <v>159.86879999999996</v>
      </c>
      <c r="BF42" s="14">
        <f t="shared" si="37"/>
        <v>40.812921467768035</v>
      </c>
      <c r="BG42" s="22">
        <f t="shared" si="7"/>
        <v>349.52066488969587</v>
      </c>
      <c r="BH42" s="62">
        <f t="shared" si="8"/>
        <v>642.85399822302918</v>
      </c>
      <c r="BI42" s="62">
        <f ca="1">AVERAGE(OFFSET($BH$3,0,0,'Données projet'!$E$11+1,1))-AVERAGE(OFFSET($H$3,0,0,'Données projet'!$E$11+1,1))</f>
        <v>198.95219623447554</v>
      </c>
      <c r="BJ42" s="62">
        <f t="shared" si="38"/>
        <v>299.68918988634471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5.58918917008506</v>
      </c>
      <c r="BQ42" s="23">
        <f>EXP(-LN(2)/25)*BQ41+(1-EXP(-LN(2)/25))/(LN(2)/25)*Calculateur!BL42*Calculateur!BN42*VLOOKUP('Données projet'!$B$11,Paramètres!$A$1:$I$89,3,0)*0.475*44/12</f>
        <v>5.0796925897761644</v>
      </c>
      <c r="BR42" s="23">
        <f>EXP(-LN(2)/2)*BR41+(1-EXP(-LN(2)/2))/(LN(2)/2)*BL42*BO42*VLOOKUP('Données projet'!$B$11,Paramètres!$A$1:$I$89,3,0)*0.475*44/12</f>
        <v>0.78082065458334626</v>
      </c>
      <c r="BS42" s="24">
        <f t="shared" si="9"/>
        <v>11.449702414444571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2">
        <f t="shared" si="32"/>
        <v>10.816037660735208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70">
        <f t="shared" si="1"/>
        <v>337.45219892578052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130</v>
      </c>
      <c r="L43" s="13">
        <f>VLOOKUP(A43,'Données projet'!$A$35:$I$55,9,0)</f>
        <v>6.2</v>
      </c>
      <c r="M43" s="13">
        <f t="array" ref="M43">INDEX(L:L,MIN(IF(ISNUMBER(L43:L239),ROW(L43:L239),"")))</f>
        <v>6.2</v>
      </c>
      <c r="N43" s="14">
        <f>IF('Données projet'!$A$36&gt;35,N42+M43-V42,IF(A43&lt;'Données projet'!$A$36,$K$205^A43,IF(A43='Données projet'!$A$36,'Données projet'!$B$36,N42+M43-V42)))</f>
        <v>130.00000000000003</v>
      </c>
      <c r="O43" s="14">
        <f>N43*VLOOKUP('Données projet'!$B$9,Paramètres!$A$1:$I$89,3,0)*VLOOKUP('Données projet'!$B$9,Paramètres!$A$1:$I$89,5,0)</f>
        <v>113.56800000000004</v>
      </c>
      <c r="P43" s="14">
        <f t="shared" si="33"/>
        <v>30.17006506205821</v>
      </c>
      <c r="Q43" s="22">
        <f t="shared" si="53"/>
        <v>250.34379664975143</v>
      </c>
      <c r="R43" s="62">
        <f t="shared" si="0"/>
        <v>543.6771299830848</v>
      </c>
      <c r="S43" s="62">
        <f ca="1">AVERAGE(OFFSET($R$3,0,0,'Données projet'!$E$9+1,1))-AVERAGE(OFFSET($H$3,0,0,'Données projet'!$E$9+1,1))</f>
        <v>149.01553333688895</v>
      </c>
      <c r="T43" s="62">
        <f t="shared" si="34"/>
        <v>180.75293059562205</v>
      </c>
      <c r="U43" s="16">
        <f>IF(ISNA(VLOOKUP(A43,'Données projet'!$A$35:$I$55,3,0)),0,VLOOKUP(A43,'Données projet'!$A$35:$I$55,3,0))</f>
        <v>5</v>
      </c>
      <c r="V43" s="16">
        <f>IF(ISNA(VLOOKUP(A43,'Données projet'!$A$35:$I$55,4,0)),0,VLOOKUP(A43,'Données projet'!$A$35:$I$55,4,0))</f>
        <v>19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0.60945477012913829</v>
      </c>
      <c r="AC43" s="24">
        <f t="shared" si="3"/>
        <v>0.60945477012913829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263</v>
      </c>
      <c r="AG43" s="13">
        <f>VLOOKUP(A43,'Données projet'!$A$61:$I$81,9,0)</f>
        <v>13.2</v>
      </c>
      <c r="AH43" s="13">
        <f t="array" ref="AH43">INDEX(AG:AG,MIN(IF(ISNUMBER(AG43:AG239),ROW(AG43:AG239),"")))</f>
        <v>13.2</v>
      </c>
      <c r="AI43" s="14">
        <f>IF('Données projet'!$A$62&gt;35,AI42+AH43-AQ42,IF(A43&lt;'Données projet'!$A$62,$AF$205^A43,IF(A43='Données projet'!$A$62,'Données projet'!$B$62,AI42+AH43-AQ42)))</f>
        <v>262.99999999999994</v>
      </c>
      <c r="AJ43" s="14">
        <f>AI43*VLOOKUP('Données projet'!$B$10,Paramètres!$A$1:$I$89,3,0)*VLOOKUP('Données projet'!$B$10,Paramètres!$A$1:$I$89,5,0)</f>
        <v>192.83159999999995</v>
      </c>
      <c r="AK43" s="14">
        <f t="shared" si="35"/>
        <v>48.165439402688818</v>
      </c>
      <c r="AL43" s="22">
        <f t="shared" si="4"/>
        <v>419.73651029301618</v>
      </c>
      <c r="AM43" s="62">
        <f t="shared" si="5"/>
        <v>713.06984362634944</v>
      </c>
      <c r="AN43" s="62">
        <f ca="1">AVERAGE(OFFSET($AM$3,0,0,'Données projet'!$E$10+1,1))-AVERAGE(OFFSET($H$3,0,0,'Données projet'!$E$10+1,1))</f>
        <v>296.15681058372093</v>
      </c>
      <c r="AO43" s="62">
        <f t="shared" si="36"/>
        <v>304.69148609083879</v>
      </c>
      <c r="AP43" s="16">
        <f>IF(ISNA(VLOOKUP(A43,'Données projet'!$A$61:$I$81,3,0)),0,VLOOKUP(A43,'Données projet'!$A$61:$I$81,3,0))</f>
        <v>7</v>
      </c>
      <c r="AQ43" s="16">
        <f>IF(ISNA(VLOOKUP(A43,'Données projet'!$A$61:$I$81,4,0)),0,VLOOKUP(A43,'Données projet'!$A$61:$I$81,4,0))</f>
        <v>40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4.1339136820268685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4.1339136820268685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301</v>
      </c>
      <c r="BB43" s="13">
        <f>VLOOKUP(A43,'Données projet'!$A$87:$I$107,9,0)</f>
        <v>8.1999999999999993</v>
      </c>
      <c r="BC43" s="13">
        <f t="array" ref="BC43">INDEX(BB:BB,MIN(IF(ISNUMBER(BB43:BB239),ROW(BB43:BB239),"")))</f>
        <v>8.1999999999999993</v>
      </c>
      <c r="BD43" s="13">
        <f>IF('Données projet'!$A$88&gt;35,BD42+BC43-BL42,IF(A43&lt;'Données projet'!$A$88,$BA$205^A43,IF(A43='Données projet'!$A$88,'Données projet'!$B$88,BD42+BC43-BL42)))</f>
        <v>300.99999999999994</v>
      </c>
      <c r="BE43" s="14">
        <f>BD43*VLOOKUP('Données projet'!$B$11,Paramètres!$A$1:$I$89,3,0)*VLOOKUP('Données projet'!$B$11,Paramètres!$A$1:$I$89,5,0)</f>
        <v>164.34599999999998</v>
      </c>
      <c r="BF43" s="14">
        <f t="shared" si="37"/>
        <v>41.821233640915146</v>
      </c>
      <c r="BG43" s="22">
        <f t="shared" si="7"/>
        <v>359.07459859126055</v>
      </c>
      <c r="BH43" s="62">
        <f t="shared" si="8"/>
        <v>652.40793192459387</v>
      </c>
      <c r="BI43" s="62">
        <f ca="1">AVERAGE(OFFSET($BH$3,0,0,'Données projet'!$E$11+1,1))-AVERAGE(OFFSET($H$3,0,0,'Données projet'!$E$11+1,1))</f>
        <v>198.95219623447554</v>
      </c>
      <c r="BJ43" s="62">
        <f t="shared" si="38"/>
        <v>299.68918988634471</v>
      </c>
      <c r="BK43" s="16">
        <f>IF(ISNA(VLOOKUP(A43,'Données projet'!$A$87:$I$107,3,0)),0,VLOOKUP(A43,'Données projet'!$A$87:$I$107,3,0))</f>
        <v>7</v>
      </c>
      <c r="BL43" s="16">
        <f>IF(ISNA(VLOOKUP(A43,'Données projet'!$A$87:$I$107,4,0)),0,VLOOKUP(A43,'Données projet'!$A$87:$I$107,4,0))</f>
        <v>22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5.4795885795284685</v>
      </c>
      <c r="BQ43" s="23">
        <f>EXP(-LN(2)/25)*BQ42+(1-EXP(-LN(2)/25))/(LN(2)/25)*Calculateur!BL43*Calculateur!BN43*VLOOKUP('Données projet'!$B$11,Paramètres!$A$1:$I$89,3,0)*0.475*44/12</f>
        <v>4.9407881287793121</v>
      </c>
      <c r="BR43" s="23">
        <f>EXP(-LN(2)/2)*BR42+(1-EXP(-LN(2)/2))/(LN(2)/2)*BL43*BO43*VLOOKUP('Données projet'!$B$11,Paramètres!$A$1:$I$89,3,0)*0.475*44/12</f>
        <v>0.55212357974640303</v>
      </c>
      <c r="BS43" s="24">
        <f t="shared" si="9"/>
        <v>10.972500288054185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2">
        <f t="shared" si="32"/>
        <v>11.054619486999963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70">
        <f t="shared" si="1"/>
        <v>339.41641893985832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5.4</v>
      </c>
      <c r="N44" s="14">
        <f>IF('Données projet'!$A$36&gt;35,N43+M44-V43,IF(A44&lt;'Données projet'!$A$36,$K$205^A44,IF(A44='Données projet'!$A$36,'Données projet'!$B$36,N43+M44-V43)))</f>
        <v>116.40000000000003</v>
      </c>
      <c r="O44" s="14">
        <f>N44*VLOOKUP('Données projet'!$B$9,Paramètres!$A$1:$I$89,3,0)*VLOOKUP('Données projet'!$B$9,Paramètres!$A$1:$I$89,5,0)</f>
        <v>101.68704000000004</v>
      </c>
      <c r="P44" s="14">
        <f t="shared" si="33"/>
        <v>27.363519398004563</v>
      </c>
      <c r="Q44" s="22">
        <f t="shared" si="53"/>
        <v>224.76305761819131</v>
      </c>
      <c r="R44" s="62">
        <f t="shared" si="0"/>
        <v>518.09639095152465</v>
      </c>
      <c r="S44" s="62">
        <f ca="1">AVERAGE(OFFSET($R$3,0,0,'Données projet'!$E$9+1,1))-AVERAGE(OFFSET($H$3,0,0,'Données projet'!$E$9+1,1))</f>
        <v>149.01553333688895</v>
      </c>
      <c r="T44" s="62">
        <f t="shared" si="34"/>
        <v>180.75293059562205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0.43094960078480221</v>
      </c>
      <c r="AC44" s="24">
        <f t="shared" si="3"/>
        <v>0.43094960078480221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11.4</v>
      </c>
      <c r="AI44" s="14">
        <f>IF('Données projet'!$A$62&gt;35,AI43+AH44-AQ43,IF(A44&lt;'Données projet'!$A$62,$AF$205^A44,IF(A44='Données projet'!$A$62,'Données projet'!$B$62,AI43+AH44-AQ43)))</f>
        <v>234.39999999999992</v>
      </c>
      <c r="AJ44" s="14">
        <f>AI44*VLOOKUP('Données projet'!$B$10,Paramètres!$A$1:$I$89,3,0)*VLOOKUP('Données projet'!$B$10,Paramètres!$A$1:$I$89,5,0)</f>
        <v>171.86207999999993</v>
      </c>
      <c r="AK44" s="14">
        <f t="shared" si="35"/>
        <v>43.506802778694762</v>
      </c>
      <c r="AL44" s="22">
        <f t="shared" si="4"/>
        <v>375.10080417289322</v>
      </c>
      <c r="AM44" s="62">
        <f t="shared" si="5"/>
        <v>668.43413750622653</v>
      </c>
      <c r="AN44" s="62">
        <f ca="1">AVERAGE(OFFSET($AM$3,0,0,'Données projet'!$E$10+1,1))-AVERAGE(OFFSET($H$3,0,0,'Données projet'!$E$10+1,1))</f>
        <v>296.15681058372093</v>
      </c>
      <c r="AO44" s="62">
        <f t="shared" si="36"/>
        <v>304.69148609083879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4.0208715949987717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4.0208715949987717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6</v>
      </c>
      <c r="BD44" s="13">
        <f>IF('Données projet'!$A$88&gt;35,BD43+BC44-BL43,IF(A44&lt;'Données projet'!$A$88,$BA$205^A44,IF(A44='Données projet'!$A$88,'Données projet'!$B$88,BD43+BC44-BL43)))</f>
        <v>284.99999999999994</v>
      </c>
      <c r="BE44" s="14">
        <f>BD44*VLOOKUP('Données projet'!$B$11,Paramètres!$A$1:$I$89,3,0)*VLOOKUP('Données projet'!$B$11,Paramètres!$A$1:$I$89,5,0)</f>
        <v>155.60999999999999</v>
      </c>
      <c r="BF44" s="14">
        <f t="shared" si="37"/>
        <v>39.850741093704187</v>
      </c>
      <c r="BG44" s="22">
        <f t="shared" si="7"/>
        <v>340.42745740486811</v>
      </c>
      <c r="BH44" s="62">
        <f t="shared" si="8"/>
        <v>633.76079073820142</v>
      </c>
      <c r="BI44" s="62">
        <f ca="1">AVERAGE(OFFSET($BH$3,0,0,'Données projet'!$E$11+1,1))-AVERAGE(OFFSET($H$3,0,0,'Données projet'!$E$11+1,1))</f>
        <v>198.95219623447554</v>
      </c>
      <c r="BJ44" s="62">
        <f t="shared" si="38"/>
        <v>299.68918988634471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5.372137189702932</v>
      </c>
      <c r="BQ44" s="23">
        <f>EXP(-LN(2)/25)*BQ43+(1-EXP(-LN(2)/25))/(LN(2)/25)*Calculateur!BL44*Calculateur!BN44*VLOOKUP('Données projet'!$B$11,Paramètres!$A$1:$I$89,3,0)*0.475*44/12</f>
        <v>4.8056820175730861</v>
      </c>
      <c r="BR44" s="23">
        <f>EXP(-LN(2)/2)*BR43+(1-EXP(-LN(2)/2))/(LN(2)/2)*BL44*BO44*VLOOKUP('Données projet'!$B$11,Paramètres!$A$1:$I$89,3,0)*0.475*44/12</f>
        <v>0.39041032729167313</v>
      </c>
      <c r="BS44" s="24">
        <f t="shared" si="9"/>
        <v>10.568229534567692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2">
        <f t="shared" si="32"/>
        <v>11.292524863342397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70">
        <f t="shared" si="1"/>
        <v>341.37946080365469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5.4</v>
      </c>
      <c r="N45" s="14">
        <f>IF('Données projet'!$A$36&gt;35,N44+M45-V44,IF(A45&lt;'Données projet'!$A$36,$K$205^A45,IF(A45='Données projet'!$A$36,'Données projet'!$B$36,N44+M45-V44)))</f>
        <v>121.80000000000004</v>
      </c>
      <c r="O45" s="14">
        <f>N45*VLOOKUP('Données projet'!$B$9,Paramètres!$A$1:$I$89,3,0)*VLOOKUP('Données projet'!$B$9,Paramètres!$A$1:$I$89,5,0)</f>
        <v>106.40448000000005</v>
      </c>
      <c r="P45" s="14">
        <f t="shared" si="33"/>
        <v>28.482220519479547</v>
      </c>
      <c r="Q45" s="22">
        <f t="shared" si="53"/>
        <v>234.92767007142697</v>
      </c>
      <c r="R45" s="62">
        <f t="shared" si="0"/>
        <v>528.26100340476023</v>
      </c>
      <c r="S45" s="62">
        <f ca="1">AVERAGE(OFFSET($R$3,0,0,'Données projet'!$E$9+1,1))-AVERAGE(OFFSET($H$3,0,0,'Données projet'!$E$9+1,1))</f>
        <v>149.01553333688895</v>
      </c>
      <c r="T45" s="62">
        <f t="shared" si="34"/>
        <v>180.75293059562205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0.30472738506456915</v>
      </c>
      <c r="AC45" s="24">
        <f t="shared" si="3"/>
        <v>0.30472738506456915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11.4</v>
      </c>
      <c r="AI45" s="14">
        <f>IF('Données projet'!$A$62&gt;35,AI44+AH45-AQ44,IF(A45&lt;'Données projet'!$A$62,$AF$205^A45,IF(A45='Données projet'!$A$62,'Données projet'!$B$62,AI44+AH45-AQ44)))</f>
        <v>245.79999999999993</v>
      </c>
      <c r="AJ45" s="14">
        <f>AI45*VLOOKUP('Données projet'!$B$10,Paramètres!$A$1:$I$89,3,0)*VLOOKUP('Données projet'!$B$10,Paramètres!$A$1:$I$89,5,0)</f>
        <v>180.22055999999992</v>
      </c>
      <c r="AK45" s="14">
        <f t="shared" si="35"/>
        <v>45.371253205145926</v>
      </c>
      <c r="AL45" s="22">
        <f t="shared" si="4"/>
        <v>392.90574133229569</v>
      </c>
      <c r="AM45" s="62">
        <f t="shared" si="5"/>
        <v>686.239074665629</v>
      </c>
      <c r="AN45" s="62">
        <f ca="1">AVERAGE(OFFSET($AM$3,0,0,'Données projet'!$E$10+1,1))-AVERAGE(OFFSET($H$3,0,0,'Données projet'!$E$10+1,1))</f>
        <v>296.15681058372093</v>
      </c>
      <c r="AO45" s="62">
        <f t="shared" si="36"/>
        <v>304.69148609083879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3.910920649785083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3.910920649785083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6</v>
      </c>
      <c r="BD45" s="13">
        <f>IF('Données projet'!$A$88&gt;35,BD44+BC45-BL44,IF(A45&lt;'Données projet'!$A$88,$BA$205^A45,IF(A45='Données projet'!$A$88,'Données projet'!$B$88,BD44+BC45-BL44)))</f>
        <v>290.99999999999994</v>
      </c>
      <c r="BE45" s="14">
        <f>BD45*VLOOKUP('Données projet'!$B$11,Paramètres!$A$1:$I$89,3,0)*VLOOKUP('Données projet'!$B$11,Paramètres!$A$1:$I$89,5,0)</f>
        <v>158.88599999999997</v>
      </c>
      <c r="BF45" s="14">
        <f t="shared" si="37"/>
        <v>40.591147515064669</v>
      </c>
      <c r="BG45" s="22">
        <f t="shared" si="7"/>
        <v>347.42269858873755</v>
      </c>
      <c r="BH45" s="62">
        <f t="shared" si="8"/>
        <v>640.75603192207086</v>
      </c>
      <c r="BI45" s="62">
        <f ca="1">AVERAGE(OFFSET($BH$3,0,0,'Données projet'!$E$11+1,1))-AVERAGE(OFFSET($H$3,0,0,'Données projet'!$E$11+1,1))</f>
        <v>198.95219623447554</v>
      </c>
      <c r="BJ45" s="62">
        <f t="shared" si="38"/>
        <v>299.68918988634471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5.266792856092998</v>
      </c>
      <c r="BQ45" s="23">
        <f>EXP(-LN(2)/25)*BQ44+(1-EXP(-LN(2)/25))/(LN(2)/25)*Calculateur!BL45*Calculateur!BN45*VLOOKUP('Données projet'!$B$11,Paramètres!$A$1:$I$89,3,0)*0.475*44/12</f>
        <v>4.6742703900827163</v>
      </c>
      <c r="BR45" s="23">
        <f>EXP(-LN(2)/2)*BR44+(1-EXP(-LN(2)/2))/(LN(2)/2)*BL45*BO45*VLOOKUP('Données projet'!$B$11,Paramètres!$A$1:$I$89,3,0)*0.475*44/12</f>
        <v>0.27606178987320151</v>
      </c>
      <c r="BS45" s="24">
        <f t="shared" si="9"/>
        <v>10.217125036048916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2">
        <f t="shared" si="32"/>
        <v>11.529771748983352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70">
        <f t="shared" si="1"/>
        <v>343.34135579614605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5.4</v>
      </c>
      <c r="N46" s="14">
        <f>IF('Données projet'!$A$36&gt;35,N45+M46-V45,IF(A46&lt;'Données projet'!$A$36,$K$205^A46,IF(A46='Données projet'!$A$36,'Données projet'!$B$36,N45+M46-V45)))</f>
        <v>127.20000000000005</v>
      </c>
      <c r="O46" s="14">
        <f>N46*VLOOKUP('Données projet'!$B$9,Paramètres!$A$1:$I$89,3,0)*VLOOKUP('Données projet'!$B$9,Paramètres!$A$1:$I$89,5,0)</f>
        <v>111.12192000000005</v>
      </c>
      <c r="P46" s="14">
        <f t="shared" si="33"/>
        <v>29.595161360044589</v>
      </c>
      <c r="Q46" s="22">
        <f t="shared" si="53"/>
        <v>245.08225003541108</v>
      </c>
      <c r="R46" s="62">
        <f t="shared" si="0"/>
        <v>538.41558336874436</v>
      </c>
      <c r="S46" s="62">
        <f ca="1">AVERAGE(OFFSET($R$3,0,0,'Données projet'!$E$9+1,1))-AVERAGE(OFFSET($H$3,0,0,'Données projet'!$E$9+1,1))</f>
        <v>149.01553333688895</v>
      </c>
      <c r="T46" s="62">
        <f t="shared" si="34"/>
        <v>180.75293059562205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0.21547480039240111</v>
      </c>
      <c r="AC46" s="24">
        <f t="shared" si="3"/>
        <v>0.21547480039240111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11.4</v>
      </c>
      <c r="AI46" s="14">
        <f>IF('Données projet'!$A$62&gt;35,AI45+AH46-AQ45,IF(A46&lt;'Données projet'!$A$62,$AF$205^A46,IF(A46='Données projet'!$A$62,'Données projet'!$B$62,AI45+AH46-AQ45)))</f>
        <v>257.19999999999993</v>
      </c>
      <c r="AJ46" s="14">
        <f>AI46*VLOOKUP('Données projet'!$B$10,Paramètres!$A$1:$I$89,3,0)*VLOOKUP('Données projet'!$B$10,Paramètres!$A$1:$I$89,5,0)</f>
        <v>188.57903999999994</v>
      </c>
      <c r="AK46" s="14">
        <f t="shared" si="35"/>
        <v>47.22566164876563</v>
      </c>
      <c r="AL46" s="22">
        <f t="shared" si="4"/>
        <v>410.69318870493333</v>
      </c>
      <c r="AM46" s="62">
        <f t="shared" si="5"/>
        <v>704.02652203826665</v>
      </c>
      <c r="AN46" s="62">
        <f ca="1">AVERAGE(OFFSET($AM$3,0,0,'Données projet'!$E$10+1,1))-AVERAGE(OFFSET($H$3,0,0,'Données projet'!$E$10+1,1))</f>
        <v>296.15681058372093</v>
      </c>
      <c r="AO46" s="62">
        <f t="shared" si="36"/>
        <v>304.69148609083879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3.8039763189503315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3.8039763189503315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6</v>
      </c>
      <c r="BD46" s="13">
        <f>IF('Données projet'!$A$88&gt;35,BD45+BC46-BL45,IF(A46&lt;'Données projet'!$A$88,$BA$205^A46,IF(A46='Données projet'!$A$88,'Données projet'!$B$88,BD45+BC46-BL45)))</f>
        <v>296.99999999999994</v>
      </c>
      <c r="BE46" s="14">
        <f>BD46*VLOOKUP('Données projet'!$B$11,Paramètres!$A$1:$I$89,3,0)*VLOOKUP('Données projet'!$B$11,Paramètres!$A$1:$I$89,5,0)</f>
        <v>162.16199999999995</v>
      </c>
      <c r="BF46" s="14">
        <f t="shared" si="37"/>
        <v>41.3297789587414</v>
      </c>
      <c r="BG46" s="22">
        <f t="shared" si="7"/>
        <v>354.41484835314117</v>
      </c>
      <c r="BH46" s="62">
        <f t="shared" si="8"/>
        <v>647.74818168647448</v>
      </c>
      <c r="BI46" s="62">
        <f ca="1">AVERAGE(OFFSET($BH$3,0,0,'Données projet'!$E$11+1,1))-AVERAGE(OFFSET($H$3,0,0,'Données projet'!$E$11+1,1))</f>
        <v>198.95219623447554</v>
      </c>
      <c r="BJ46" s="62">
        <f t="shared" si="38"/>
        <v>299.68918988634471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5.1635142606114561</v>
      </c>
      <c r="BQ46" s="23">
        <f>EXP(-LN(2)/25)*BQ45+(1-EXP(-LN(2)/25))/(LN(2)/25)*Calculateur!BL46*Calculateur!BN46*VLOOKUP('Données projet'!$B$11,Paramètres!$A$1:$I$89,3,0)*0.475*44/12</f>
        <v>4.5464522204567075</v>
      </c>
      <c r="BR46" s="23">
        <f>EXP(-LN(2)/2)*BR45+(1-EXP(-LN(2)/2))/(LN(2)/2)*BL46*BO46*VLOOKUP('Données projet'!$B$11,Paramètres!$A$1:$I$89,3,0)*0.475*44/12</f>
        <v>0.19520516364583657</v>
      </c>
      <c r="BS46" s="24">
        <f t="shared" si="9"/>
        <v>9.9051716447140006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2">
        <f t="shared" si="32"/>
        <v>11.766377220171686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70">
        <f t="shared" si="1"/>
        <v>345.30213365846572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5.4</v>
      </c>
      <c r="N47" s="14">
        <f>IF('Données projet'!$A$36&gt;35,N46+M47-V46,IF(A47&lt;'Données projet'!$A$36,$K$205^A47,IF(A47='Données projet'!$A$36,'Données projet'!$B$36,N46+M47-V46)))</f>
        <v>132.60000000000005</v>
      </c>
      <c r="O47" s="14">
        <f>N47*VLOOKUP('Données projet'!$B$9,Paramètres!$A$1:$I$89,3,0)*VLOOKUP('Données projet'!$B$9,Paramètres!$A$1:$I$89,5,0)</f>
        <v>115.83936000000004</v>
      </c>
      <c r="P47" s="14">
        <f t="shared" si="33"/>
        <v>30.70261441799703</v>
      </c>
      <c r="Q47" s="22">
        <f t="shared" si="53"/>
        <v>255.22727211134486</v>
      </c>
      <c r="R47" s="62">
        <f t="shared" si="0"/>
        <v>548.56060544467823</v>
      </c>
      <c r="S47" s="62">
        <f ca="1">AVERAGE(OFFSET($R$3,0,0,'Données projet'!$E$9+1,1))-AVERAGE(OFFSET($H$3,0,0,'Données projet'!$E$9+1,1))</f>
        <v>149.01553333688895</v>
      </c>
      <c r="T47" s="62">
        <f t="shared" si="34"/>
        <v>180.75293059562205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0.15236369253228457</v>
      </c>
      <c r="AC47" s="24">
        <f t="shared" si="3"/>
        <v>0.15236369253228457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11.4</v>
      </c>
      <c r="AI47" s="14">
        <f>IF('Données projet'!$A$62&gt;35,AI46+AH47-AQ46,IF(A47&lt;'Données projet'!$A$62,$AF$205^A47,IF(A47='Données projet'!$A$62,'Données projet'!$B$62,AI46+AH47-AQ46)))</f>
        <v>268.59999999999991</v>
      </c>
      <c r="AJ47" s="14">
        <f>AI47*VLOOKUP('Données projet'!$B$10,Paramètres!$A$1:$I$89,3,0)*VLOOKUP('Données projet'!$B$10,Paramètres!$A$1:$I$89,5,0)</f>
        <v>196.93751999999992</v>
      </c>
      <c r="AK47" s="14">
        <f t="shared" si="35"/>
        <v>49.070524066369494</v>
      </c>
      <c r="AL47" s="22">
        <f t="shared" si="4"/>
        <v>428.46401008226007</v>
      </c>
      <c r="AM47" s="62">
        <f t="shared" si="5"/>
        <v>721.79734341559333</v>
      </c>
      <c r="AN47" s="62">
        <f ca="1">AVERAGE(OFFSET($AM$3,0,0,'Données projet'!$E$10+1,1))-AVERAGE(OFFSET($H$3,0,0,'Données projet'!$E$10+1,1))</f>
        <v>296.15681058372093</v>
      </c>
      <c r="AO47" s="62">
        <f t="shared" si="36"/>
        <v>304.69148609083879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3.6999563864662144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3.6999563864662144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6</v>
      </c>
      <c r="BD47" s="13">
        <f>IF('Données projet'!$A$88&gt;35,BD46+BC47-BL46,IF(A47&lt;'Données projet'!$A$88,$BA$205^A47,IF(A47='Données projet'!$A$88,'Données projet'!$B$88,BD46+BC47-BL46)))</f>
        <v>302.99999999999994</v>
      </c>
      <c r="BE47" s="14">
        <f>BD47*VLOOKUP('Données projet'!$B$11,Paramètres!$A$1:$I$89,3,0)*VLOOKUP('Données projet'!$B$11,Paramètres!$A$1:$I$89,5,0)</f>
        <v>165.43799999999999</v>
      </c>
      <c r="BF47" s="14">
        <f t="shared" si="37"/>
        <v>42.066675415215769</v>
      </c>
      <c r="BG47" s="22">
        <f t="shared" si="7"/>
        <v>361.40397634816742</v>
      </c>
      <c r="BH47" s="62">
        <f t="shared" si="8"/>
        <v>654.73730968150073</v>
      </c>
      <c r="BI47" s="62">
        <f ca="1">AVERAGE(OFFSET($BH$3,0,0,'Données projet'!$E$11+1,1))-AVERAGE(OFFSET($H$3,0,0,'Données projet'!$E$11+1,1))</f>
        <v>198.95219623447554</v>
      </c>
      <c r="BJ47" s="62">
        <f t="shared" si="38"/>
        <v>299.68918988634471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5.0622608953935835</v>
      </c>
      <c r="BQ47" s="23">
        <f>EXP(-LN(2)/25)*BQ46+(1-EXP(-LN(2)/25))/(LN(2)/25)*Calculateur!BL47*Calculateur!BN47*VLOOKUP('Données projet'!$B$11,Paramètres!$A$1:$I$89,3,0)*0.475*44/12</f>
        <v>4.4221292454007877</v>
      </c>
      <c r="BR47" s="23">
        <f>EXP(-LN(2)/2)*BR46+(1-EXP(-LN(2)/2))/(LN(2)/2)*BL47*BO47*VLOOKUP('Données projet'!$B$11,Paramètres!$A$1:$I$89,3,0)*0.475*44/12</f>
        <v>0.13803089493660076</v>
      </c>
      <c r="BS47" s="24">
        <f t="shared" si="9"/>
        <v>9.6224210357309712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2">
        <f t="shared" si="32"/>
        <v>12.002357532661732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70">
        <f t="shared" si="1"/>
        <v>347.2618227027192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138</v>
      </c>
      <c r="L48" s="13">
        <f>VLOOKUP(A48,'Données projet'!$A$35:$I$55,9,0)</f>
        <v>5.4</v>
      </c>
      <c r="M48" s="13">
        <f t="array" ref="M48">INDEX(L:L,MIN(IF(ISNUMBER(L48:L244),ROW(L48:L244),"")))</f>
        <v>5.4</v>
      </c>
      <c r="N48" s="14">
        <f>IF('Données projet'!$A$36&gt;35,N47+M48-V47,IF(A48&lt;'Données projet'!$A$36,$K$205^A48,IF(A48='Données projet'!$A$36,'Données projet'!$B$36,N47+M48-V47)))</f>
        <v>138.00000000000006</v>
      </c>
      <c r="O48" s="14">
        <f>N48*VLOOKUP('Données projet'!$B$9,Paramètres!$A$1:$I$89,3,0)*VLOOKUP('Données projet'!$B$9,Paramètres!$A$1:$I$89,5,0)</f>
        <v>120.55680000000007</v>
      </c>
      <c r="P48" s="14">
        <f t="shared" si="33"/>
        <v>31.804828741198808</v>
      </c>
      <c r="Q48" s="22">
        <f t="shared" si="53"/>
        <v>265.36317005758804</v>
      </c>
      <c r="R48" s="62">
        <f t="shared" si="0"/>
        <v>558.69650339092141</v>
      </c>
      <c r="S48" s="62">
        <f ca="1">AVERAGE(OFFSET($R$3,0,0,'Données projet'!$E$9+1,1))-AVERAGE(OFFSET($H$3,0,0,'Données projet'!$E$9+1,1))</f>
        <v>149.01553333688895</v>
      </c>
      <c r="T48" s="62">
        <f t="shared" si="34"/>
        <v>180.75293059562205</v>
      </c>
      <c r="U48" s="16">
        <f>IF(ISNA(VLOOKUP(A48,'Données projet'!$A$35:$I$55,3,0)),0,VLOOKUP(A48,'Données projet'!$A$35:$I$55,3,0))</f>
        <v>6</v>
      </c>
      <c r="V48" s="16">
        <f>IF(ISNA(VLOOKUP(A48,'Données projet'!$A$35:$I$55,4,0)),0,VLOOKUP(A48,'Données projet'!$A$35:$I$55,4,0))</f>
        <v>17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0.10773740019620055</v>
      </c>
      <c r="AC48" s="24">
        <f t="shared" si="3"/>
        <v>0.10773740019620055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280</v>
      </c>
      <c r="AG48" s="13">
        <f>VLOOKUP(A48,'Données projet'!$A$61:$I$81,9,0)</f>
        <v>11.4</v>
      </c>
      <c r="AH48" s="13">
        <f t="array" ref="AH48">INDEX(AG:AG,MIN(IF(ISNUMBER(AG48:AG244),ROW(AG48:AG244),"")))</f>
        <v>11.4</v>
      </c>
      <c r="AI48" s="14">
        <f>IF('Données projet'!$A$62&gt;35,AI47+AH48-AQ47,IF(A48&lt;'Données projet'!$A$62,$AF$205^A48,IF(A48='Données projet'!$A$62,'Données projet'!$B$62,AI47+AH48-AQ47)))</f>
        <v>279.99999999999989</v>
      </c>
      <c r="AJ48" s="14">
        <f>AI48*VLOOKUP('Données projet'!$B$10,Paramètres!$A$1:$I$89,3,0)*VLOOKUP('Données projet'!$B$10,Paramètres!$A$1:$I$89,5,0)</f>
        <v>205.29599999999991</v>
      </c>
      <c r="AK48" s="14">
        <f t="shared" si="35"/>
        <v>50.906291934375353</v>
      </c>
      <c r="AL48" s="22">
        <f t="shared" si="4"/>
        <v>446.21899178570357</v>
      </c>
      <c r="AM48" s="62">
        <f t="shared" si="5"/>
        <v>739.55232511903682</v>
      </c>
      <c r="AN48" s="62">
        <f ca="1">AVERAGE(OFFSET($AM$3,0,0,'Données projet'!$E$10+1,1))-AVERAGE(OFFSET($H$3,0,0,'Données projet'!$E$10+1,1))</f>
        <v>296.15681058372093</v>
      </c>
      <c r="AO48" s="62">
        <f t="shared" si="36"/>
        <v>304.69148609083879</v>
      </c>
      <c r="AP48" s="16">
        <f>IF(ISNA(VLOOKUP(A48,'Données projet'!$A$61:$I$81,3,0)),0,VLOOKUP(A48,'Données projet'!$A$61:$I$81,3,0))</f>
        <v>8</v>
      </c>
      <c r="AQ48" s="16">
        <f>IF(ISNA(VLOOKUP(A48,'Données projet'!$A$61:$I$81,4,0)),0,VLOOKUP(A48,'Données projet'!$A$61:$I$81,4,0))</f>
        <v>26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3.5987808845060458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3.5987808845060458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309</v>
      </c>
      <c r="BB48" s="13">
        <f>VLOOKUP(A48,'Données projet'!$A$87:$I$107,9,0)</f>
        <v>6</v>
      </c>
      <c r="BC48" s="13">
        <f t="array" ref="BC48">INDEX(BB:BB,MIN(IF(ISNUMBER(BB48:BB244),ROW(BB48:BB244),"")))</f>
        <v>6</v>
      </c>
      <c r="BD48" s="13">
        <f>IF('Données projet'!$A$88&gt;35,BD47+BC48-BL47,IF(A48&lt;'Données projet'!$A$88,$BA$205^A48,IF(A48='Données projet'!$A$88,'Données projet'!$B$88,BD47+BC48-BL47)))</f>
        <v>308.99999999999994</v>
      </c>
      <c r="BE48" s="14">
        <f>BD48*VLOOKUP('Données projet'!$B$11,Paramètres!$A$1:$I$89,3,0)*VLOOKUP('Données projet'!$B$11,Paramètres!$A$1:$I$89,5,0)</f>
        <v>168.71399999999997</v>
      </c>
      <c r="BF48" s="14">
        <f t="shared" si="37"/>
        <v>42.801875200613409</v>
      </c>
      <c r="BG48" s="22">
        <f t="shared" si="7"/>
        <v>368.39014930773493</v>
      </c>
      <c r="BH48" s="62">
        <f t="shared" si="8"/>
        <v>661.72348264106824</v>
      </c>
      <c r="BI48" s="62">
        <f ca="1">AVERAGE(OFFSET($BH$3,0,0,'Données projet'!$E$11+1,1))-AVERAGE(OFFSET($H$3,0,0,'Données projet'!$E$11+1,1))</f>
        <v>198.95219623447554</v>
      </c>
      <c r="BJ48" s="62">
        <f t="shared" si="38"/>
        <v>299.68918988634471</v>
      </c>
      <c r="BK48" s="16">
        <f>IF(ISNA(VLOOKUP(A48,'Données projet'!$A$87:$I$107,3,0)),0,VLOOKUP(A48,'Données projet'!$A$87:$I$107,3,0))</f>
        <v>8</v>
      </c>
      <c r="BL48" s="16">
        <f>IF(ISNA(VLOOKUP(A48,'Données projet'!$A$87:$I$107,4,0)),0,VLOOKUP(A48,'Données projet'!$A$87:$I$107,4,0))</f>
        <v>16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4.9629930469091788</v>
      </c>
      <c r="BQ48" s="23">
        <f>EXP(-LN(2)/25)*BQ47+(1-EXP(-LN(2)/25))/(LN(2)/25)*Calculateur!BL48*Calculateur!BN48*VLOOKUP('Données projet'!$B$11,Paramètres!$A$1:$I$89,3,0)*0.475*44/12</f>
        <v>4.301205888635633</v>
      </c>
      <c r="BR48" s="23">
        <f>EXP(-LN(2)/2)*BR47+(1-EXP(-LN(2)/2))/(LN(2)/2)*BL48*BO48*VLOOKUP('Données projet'!$B$11,Paramètres!$A$1:$I$89,3,0)*0.475*44/12</f>
        <v>9.7602581822918283E-2</v>
      </c>
      <c r="BS48" s="24">
        <f t="shared" si="9"/>
        <v>9.3618015173677307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2">
        <f t="shared" si="32"/>
        <v>12.237728178480605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70">
        <f t="shared" si="1"/>
        <v>349.22044991085374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4.8</v>
      </c>
      <c r="N49" s="14">
        <f>IF('Données projet'!$A$36&gt;35,N48+M49-V48,IF(A49&lt;'Données projet'!$A$36,$K$205^A49,IF(A49='Données projet'!$A$36,'Données projet'!$B$36,N48+M49-V48)))</f>
        <v>125.80000000000007</v>
      </c>
      <c r="O49" s="14">
        <f>N49*VLOOKUP('Données projet'!$B$9,Paramètres!$A$1:$I$89,3,0)*VLOOKUP('Données projet'!$B$9,Paramètres!$A$1:$I$89,5,0)</f>
        <v>109.89888000000008</v>
      </c>
      <c r="P49" s="14">
        <f t="shared" si="33"/>
        <v>29.307158636756728</v>
      </c>
      <c r="Q49" s="22">
        <f t="shared" si="53"/>
        <v>242.45051729235141</v>
      </c>
      <c r="R49" s="62">
        <f t="shared" si="0"/>
        <v>535.78385062568475</v>
      </c>
      <c r="S49" s="62">
        <f ca="1">AVERAGE(OFFSET($R$3,0,0,'Données projet'!$E$9+1,1))-AVERAGE(OFFSET($H$3,0,0,'Données projet'!$E$9+1,1))</f>
        <v>149.01553333688895</v>
      </c>
      <c r="T49" s="62">
        <f t="shared" si="34"/>
        <v>180.75293059562205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7.6181846266142286E-2</v>
      </c>
      <c r="AC49" s="24">
        <f t="shared" si="3"/>
        <v>7.6181846266142286E-2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9.8000000000000007</v>
      </c>
      <c r="AI49" s="14">
        <f>IF('Données projet'!$A$62&gt;35,AI48+AH49-AQ48,IF(A49&lt;'Données projet'!$A$62,$AF$205^A49,IF(A49='Données projet'!$A$62,'Données projet'!$B$62,AI48+AH49-AQ48)))</f>
        <v>263.7999999999999</v>
      </c>
      <c r="AJ49" s="14">
        <f>AI49*VLOOKUP('Données projet'!$B$10,Paramètres!$A$1:$I$89,3,0)*VLOOKUP('Données projet'!$B$10,Paramètres!$A$1:$I$89,5,0)</f>
        <v>193.41815999999992</v>
      </c>
      <c r="AK49" s="14">
        <f t="shared" si="35"/>
        <v>48.294873490521283</v>
      </c>
      <c r="AL49" s="22">
        <f t="shared" si="4"/>
        <v>420.98353332932442</v>
      </c>
      <c r="AM49" s="62">
        <f t="shared" si="5"/>
        <v>714.31686666265773</v>
      </c>
      <c r="AN49" s="62">
        <f ca="1">AVERAGE(OFFSET($AM$3,0,0,'Données projet'!$E$10+1,1))-AVERAGE(OFFSET($H$3,0,0,'Données projet'!$E$10+1,1))</f>
        <v>296.15681058372093</v>
      </c>
      <c r="AO49" s="62">
        <f t="shared" si="36"/>
        <v>304.69148609083879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3.5003720319675664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3.5003720319675664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4.2</v>
      </c>
      <c r="BD49" s="13">
        <f>IF('Données projet'!$A$88&gt;35,BD48+BC49-BL48,IF(A49&lt;'Données projet'!$A$88,$BA$205^A49,IF(A49='Données projet'!$A$88,'Données projet'!$B$88,BD48+BC49-BL48)))</f>
        <v>297.19999999999993</v>
      </c>
      <c r="BE49" s="14">
        <f>BD49*VLOOKUP('Données projet'!$B$11,Paramètres!$A$1:$I$89,3,0)*VLOOKUP('Données projet'!$B$11,Paramètres!$A$1:$I$89,5,0)</f>
        <v>162.27119999999996</v>
      </c>
      <c r="BF49" s="14">
        <f t="shared" si="37"/>
        <v>41.354369909446504</v>
      </c>
      <c r="BG49" s="22">
        <f t="shared" si="7"/>
        <v>354.64786759228599</v>
      </c>
      <c r="BH49" s="62">
        <f t="shared" si="8"/>
        <v>647.98120092561931</v>
      </c>
      <c r="BI49" s="62">
        <f ca="1">AVERAGE(OFFSET($BH$3,0,0,'Données projet'!$E$11+1,1))-AVERAGE(OFFSET($H$3,0,0,'Données projet'!$E$11+1,1))</f>
        <v>198.95219623447554</v>
      </c>
      <c r="BJ49" s="62">
        <f t="shared" si="38"/>
        <v>299.68918988634471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4.865671780386144</v>
      </c>
      <c r="BQ49" s="23">
        <f>EXP(-LN(2)/25)*BQ48+(1-EXP(-LN(2)/25))/(LN(2)/25)*Calculateur!BL49*Calculateur!BN49*VLOOKUP('Données projet'!$B$11,Paramètres!$A$1:$I$89,3,0)*0.475*44/12</f>
        <v>4.1835891874203046</v>
      </c>
      <c r="BR49" s="23">
        <f>EXP(-LN(2)/2)*BR48+(1-EXP(-LN(2)/2))/(LN(2)/2)*BL49*BO49*VLOOKUP('Données projet'!$B$11,Paramètres!$A$1:$I$89,3,0)*0.475*44/12</f>
        <v>6.9015447468300378E-2</v>
      </c>
      <c r="BS49" s="24">
        <f t="shared" si="9"/>
        <v>9.1182764152747495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2">
        <f t="shared" si="32"/>
        <v>12.472503937619972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70">
        <f t="shared" si="1"/>
        <v>351.17804102468818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4.8</v>
      </c>
      <c r="N50" s="14">
        <f>IF('Données projet'!$A$36&gt;35,N49+M50-V49,IF(A50&lt;'Données projet'!$A$36,$K$205^A50,IF(A50='Données projet'!$A$36,'Données projet'!$B$36,N49+M50-V49)))</f>
        <v>130.60000000000008</v>
      </c>
      <c r="O50" s="14">
        <f>N50*VLOOKUP('Données projet'!$B$9,Paramètres!$A$1:$I$89,3,0)*VLOOKUP('Données projet'!$B$9,Paramètres!$A$1:$I$89,5,0)</f>
        <v>114.09216000000009</v>
      </c>
      <c r="P50" s="14">
        <f t="shared" si="33"/>
        <v>30.293070235611612</v>
      </c>
      <c r="Q50" s="22">
        <f t="shared" si="53"/>
        <v>251.47094266035708</v>
      </c>
      <c r="R50" s="62">
        <f t="shared" si="0"/>
        <v>544.80427599369045</v>
      </c>
      <c r="S50" s="62">
        <f ca="1">AVERAGE(OFFSET($R$3,0,0,'Données projet'!$E$9+1,1))-AVERAGE(OFFSET($H$3,0,0,'Données projet'!$E$9+1,1))</f>
        <v>149.01553333688895</v>
      </c>
      <c r="T50" s="62">
        <f t="shared" si="34"/>
        <v>180.75293059562205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5.3868700098100276E-2</v>
      </c>
      <c r="AC50" s="24">
        <f t="shared" si="3"/>
        <v>5.3868700098100276E-2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9.8000000000000007</v>
      </c>
      <c r="AI50" s="14">
        <f>IF('Données projet'!$A$62&gt;35,AI49+AH50-AQ49,IF(A50&lt;'Données projet'!$A$62,$AF$205^A50,IF(A50='Données projet'!$A$62,'Données projet'!$B$62,AI49+AH50-AQ49)))</f>
        <v>273.59999999999991</v>
      </c>
      <c r="AJ50" s="14">
        <f>AI50*VLOOKUP('Données projet'!$B$10,Paramètres!$A$1:$I$89,3,0)*VLOOKUP('Données projet'!$B$10,Paramètres!$A$1:$I$89,5,0)</f>
        <v>200.60351999999995</v>
      </c>
      <c r="AK50" s="14">
        <f t="shared" si="35"/>
        <v>49.87677988675906</v>
      </c>
      <c r="AL50" s="22">
        <f t="shared" si="4"/>
        <v>436.25318896943855</v>
      </c>
      <c r="AM50" s="62">
        <f t="shared" si="5"/>
        <v>729.58652230277187</v>
      </c>
      <c r="AN50" s="62">
        <f ca="1">AVERAGE(OFFSET($AM$3,0,0,'Données projet'!$E$10+1,1))-AVERAGE(OFFSET($H$3,0,0,'Données projet'!$E$10+1,1))</f>
        <v>296.15681058372093</v>
      </c>
      <c r="AO50" s="62">
        <f t="shared" si="36"/>
        <v>304.69148609083879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3.4046541746768484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3.4046541746768484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4.2</v>
      </c>
      <c r="BD50" s="13">
        <f>IF('Données projet'!$A$88&gt;35,BD49+BC50-BL49,IF(A50&lt;'Données projet'!$A$88,$BA$205^A50,IF(A50='Données projet'!$A$88,'Données projet'!$B$88,BD49+BC50-BL49)))</f>
        <v>301.39999999999992</v>
      </c>
      <c r="BE50" s="14">
        <f>BD50*VLOOKUP('Données projet'!$B$11,Paramètres!$A$1:$I$89,3,0)*VLOOKUP('Données projet'!$B$11,Paramètres!$A$1:$I$89,5,0)</f>
        <v>164.56439999999995</v>
      </c>
      <c r="BF50" s="14">
        <f t="shared" si="37"/>
        <v>41.87033714312475</v>
      </c>
      <c r="BG50" s="22">
        <f t="shared" si="7"/>
        <v>359.5405005242755</v>
      </c>
      <c r="BH50" s="62">
        <f t="shared" si="8"/>
        <v>652.87383385760882</v>
      </c>
      <c r="BI50" s="62">
        <f ca="1">AVERAGE(OFFSET($BH$3,0,0,'Données projet'!$E$11+1,1))-AVERAGE(OFFSET($H$3,0,0,'Données projet'!$E$11+1,1))</f>
        <v>198.95219623447554</v>
      </c>
      <c r="BJ50" s="62">
        <f t="shared" si="38"/>
        <v>299.68918988634471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4.7702589245395153</v>
      </c>
      <c r="BQ50" s="23">
        <f>EXP(-LN(2)/25)*BQ49+(1-EXP(-LN(2)/25))/(LN(2)/25)*Calculateur!BL50*Calculateur!BN50*VLOOKUP('Données projet'!$B$11,Paramètres!$A$1:$I$89,3,0)*0.475*44/12</f>
        <v>4.0691887210849025</v>
      </c>
      <c r="BR50" s="23">
        <f>EXP(-LN(2)/2)*BR49+(1-EXP(-LN(2)/2))/(LN(2)/2)*BL50*BO50*VLOOKUP('Données projet'!$B$11,Paramètres!$A$1:$I$89,3,0)*0.475*44/12</f>
        <v>4.8801290911459141E-2</v>
      </c>
      <c r="BS50" s="24">
        <f t="shared" si="9"/>
        <v>8.8882489365358772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2">
        <f t="shared" si="32"/>
        <v>12.706698925204435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70">
        <f t="shared" si="1"/>
        <v>353.13462062806445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4.8</v>
      </c>
      <c r="N51" s="14">
        <f>IF('Données projet'!$A$36&gt;35,N50+M51-V50,IF(A51&lt;'Données projet'!$A$36,$K$205^A51,IF(A51='Données projet'!$A$36,'Données projet'!$B$36,N50+M51-V50)))</f>
        <v>135.40000000000009</v>
      </c>
      <c r="O51" s="14">
        <f>N51*VLOOKUP('Données projet'!$B$9,Paramètres!$A$1:$I$89,3,0)*VLOOKUP('Données projet'!$B$9,Paramètres!$A$1:$I$89,5,0)</f>
        <v>118.28544000000009</v>
      </c>
      <c r="P51" s="14">
        <f t="shared" si="33"/>
        <v>31.274772013169596</v>
      </c>
      <c r="Q51" s="22">
        <f t="shared" si="53"/>
        <v>260.48403592293721</v>
      </c>
      <c r="R51" s="62">
        <f t="shared" si="0"/>
        <v>553.81736925627047</v>
      </c>
      <c r="S51" s="62">
        <f ca="1">AVERAGE(OFFSET($R$3,0,0,'Données projet'!$E$9+1,1))-AVERAGE(OFFSET($H$3,0,0,'Données projet'!$E$9+1,1))</f>
        <v>149.01553333688895</v>
      </c>
      <c r="T51" s="62">
        <f t="shared" si="34"/>
        <v>180.75293059562205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3.8090923133071143E-2</v>
      </c>
      <c r="AC51" s="24">
        <f t="shared" si="3"/>
        <v>3.8090923133071143E-2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9.8000000000000007</v>
      </c>
      <c r="AI51" s="14">
        <f>IF('Données projet'!$A$62&gt;35,AI50+AH51-AQ50,IF(A51&lt;'Données projet'!$A$62,$AF$205^A51,IF(A51='Données projet'!$A$62,'Données projet'!$B$62,AI50+AH51-AQ50)))</f>
        <v>283.39999999999992</v>
      </c>
      <c r="AJ51" s="14">
        <f>AI51*VLOOKUP('Données projet'!$B$10,Paramètres!$A$1:$I$89,3,0)*VLOOKUP('Données projet'!$B$10,Paramètres!$A$1:$I$89,5,0)</f>
        <v>207.78887999999992</v>
      </c>
      <c r="AK51" s="14">
        <f t="shared" si="35"/>
        <v>51.452103086551489</v>
      </c>
      <c r="AL51" s="22">
        <f t="shared" si="4"/>
        <v>451.51137887574367</v>
      </c>
      <c r="AM51" s="62">
        <f t="shared" si="5"/>
        <v>744.84471220907699</v>
      </c>
      <c r="AN51" s="62">
        <f ca="1">AVERAGE(OFFSET($AM$3,0,0,'Données projet'!$E$10+1,1))-AVERAGE(OFFSET($H$3,0,0,'Données projet'!$E$10+1,1))</f>
        <v>296.15681058372093</v>
      </c>
      <c r="AO51" s="62">
        <f t="shared" si="36"/>
        <v>304.69148609083879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3.3115537272273285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3.3115537272273285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4.2</v>
      </c>
      <c r="BD51" s="13">
        <f>IF('Données projet'!$A$88&gt;35,BD50+BC51-BL50,IF(A51&lt;'Données projet'!$A$88,$BA$205^A51,IF(A51='Données projet'!$A$88,'Données projet'!$B$88,BD50+BC51-BL50)))</f>
        <v>305.59999999999991</v>
      </c>
      <c r="BE51" s="14">
        <f>BD51*VLOOKUP('Données projet'!$B$11,Paramètres!$A$1:$I$89,3,0)*VLOOKUP('Données projet'!$B$11,Paramètres!$A$1:$I$89,5,0)</f>
        <v>166.85759999999993</v>
      </c>
      <c r="BF51" s="14">
        <f t="shared" si="37"/>
        <v>42.385468111966098</v>
      </c>
      <c r="BG51" s="22">
        <f t="shared" si="7"/>
        <v>364.43167696167416</v>
      </c>
      <c r="BH51" s="62">
        <f t="shared" si="8"/>
        <v>657.76501029500741</v>
      </c>
      <c r="BI51" s="62">
        <f ca="1">AVERAGE(OFFSET($BH$3,0,0,'Données projet'!$E$11+1,1))-AVERAGE(OFFSET($H$3,0,0,'Données projet'!$E$11+1,1))</f>
        <v>198.95219623447554</v>
      </c>
      <c r="BJ51" s="62">
        <f t="shared" si="38"/>
        <v>299.68918988634471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4.6767170565999434</v>
      </c>
      <c r="BQ51" s="23">
        <f>EXP(-LN(2)/25)*BQ50+(1-EXP(-LN(2)/25))/(LN(2)/25)*Calculateur!BL51*Calculateur!BN51*VLOOKUP('Données projet'!$B$11,Paramètres!$A$1:$I$89,3,0)*0.475*44/12</f>
        <v>3.9579165415175011</v>
      </c>
      <c r="BR51" s="23">
        <f>EXP(-LN(2)/2)*BR50+(1-EXP(-LN(2)/2))/(LN(2)/2)*BL51*BO51*VLOOKUP('Données projet'!$B$11,Paramètres!$A$1:$I$89,3,0)*0.475*44/12</f>
        <v>3.4507723734150189E-2</v>
      </c>
      <c r="BS51" s="24">
        <f t="shared" si="9"/>
        <v>8.669141321851594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2">
        <f t="shared" si="32"/>
        <v>12.940326634618209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70">
        <f t="shared" si="1"/>
        <v>355.09021222196009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4.8</v>
      </c>
      <c r="N52" s="14">
        <f>IF('Données projet'!$A$36&gt;35,N51+M52-V51,IF(A52&lt;'Données projet'!$A$36,$K$205^A52,IF(A52='Données projet'!$A$36,'Données projet'!$B$36,N51+M52-V51)))</f>
        <v>140.2000000000001</v>
      </c>
      <c r="O52" s="14">
        <f>N52*VLOOKUP('Données projet'!$B$9,Paramètres!$A$1:$I$89,3,0)*VLOOKUP('Données projet'!$B$9,Paramètres!$A$1:$I$89,5,0)</f>
        <v>122.47872000000011</v>
      </c>
      <c r="P52" s="14">
        <f t="shared" si="33"/>
        <v>32.252430308904032</v>
      </c>
      <c r="Q52" s="22">
        <f t="shared" si="53"/>
        <v>269.49008678800806</v>
      </c>
      <c r="R52" s="62">
        <f t="shared" si="0"/>
        <v>562.82342012134131</v>
      </c>
      <c r="S52" s="62">
        <f ca="1">AVERAGE(OFFSET($R$3,0,0,'Données projet'!$E$9+1,1))-AVERAGE(OFFSET($H$3,0,0,'Données projet'!$E$9+1,1))</f>
        <v>149.01553333688895</v>
      </c>
      <c r="T52" s="62">
        <f t="shared" si="34"/>
        <v>180.75293059562205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2.6934350049050138E-2</v>
      </c>
      <c r="AC52" s="24">
        <f t="shared" si="3"/>
        <v>2.6934350049050138E-2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9.8000000000000007</v>
      </c>
      <c r="AI52" s="14">
        <f>IF('Données projet'!$A$62&gt;35,AI51+AH52-AQ51,IF(A52&lt;'Données projet'!$A$62,$AF$205^A52,IF(A52='Données projet'!$A$62,'Données projet'!$B$62,AI51+AH52-AQ51)))</f>
        <v>293.19999999999993</v>
      </c>
      <c r="AJ52" s="14">
        <f>AI52*VLOOKUP('Données projet'!$B$10,Paramètres!$A$1:$I$89,3,0)*VLOOKUP('Données projet'!$B$10,Paramètres!$A$1:$I$89,5,0)</f>
        <v>214.97423999999995</v>
      </c>
      <c r="AK52" s="14">
        <f t="shared" si="35"/>
        <v>53.021096827639134</v>
      </c>
      <c r="AL52" s="22">
        <f t="shared" si="4"/>
        <v>466.75854497480481</v>
      </c>
      <c r="AM52" s="62">
        <f t="shared" si="5"/>
        <v>760.09187830813812</v>
      </c>
      <c r="AN52" s="62">
        <f ca="1">AVERAGE(OFFSET($AM$3,0,0,'Données projet'!$E$10+1,1))-AVERAGE(OFFSET($H$3,0,0,'Données projet'!$E$10+1,1))</f>
        <v>296.15681058372093</v>
      </c>
      <c r="AO52" s="62">
        <f t="shared" si="36"/>
        <v>304.69148609083879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3.2209991164092555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3.2209991164092555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4.2</v>
      </c>
      <c r="BD52" s="13">
        <f>IF('Données projet'!$A$88&gt;35,BD51+BC52-BL51,IF(A52&lt;'Données projet'!$A$88,$BA$205^A52,IF(A52='Données projet'!$A$88,'Données projet'!$B$88,BD51+BC52-BL51)))</f>
        <v>309.7999999999999</v>
      </c>
      <c r="BE52" s="14">
        <f>BD52*VLOOKUP('Données projet'!$B$11,Paramètres!$A$1:$I$89,3,0)*VLOOKUP('Données projet'!$B$11,Paramètres!$A$1:$I$89,5,0)</f>
        <v>169.15079999999995</v>
      </c>
      <c r="BF52" s="14">
        <f t="shared" si="37"/>
        <v>42.899775637498507</v>
      </c>
      <c r="BG52" s="22">
        <f t="shared" si="7"/>
        <v>369.3214192353098</v>
      </c>
      <c r="BH52" s="62">
        <f t="shared" si="8"/>
        <v>662.65475256864306</v>
      </c>
      <c r="BI52" s="62">
        <f ca="1">AVERAGE(OFFSET($BH$3,0,0,'Données projet'!$E$11+1,1))-AVERAGE(OFFSET($H$3,0,0,'Données projet'!$E$11+1,1))</f>
        <v>198.95219623447554</v>
      </c>
      <c r="BJ52" s="62">
        <f t="shared" si="38"/>
        <v>299.68918988634471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4.5850094876357606</v>
      </c>
      <c r="BQ52" s="23">
        <f>EXP(-LN(2)/25)*BQ51+(1-EXP(-LN(2)/25))/(LN(2)/25)*Calculateur!BL52*Calculateur!BN52*VLOOKUP('Données projet'!$B$11,Paramètres!$A$1:$I$89,3,0)*0.475*44/12</f>
        <v>3.84968710555192</v>
      </c>
      <c r="BR52" s="23">
        <f>EXP(-LN(2)/2)*BR51+(1-EXP(-LN(2)/2))/(LN(2)/2)*BL52*BO52*VLOOKUP('Données projet'!$B$11,Paramètres!$A$1:$I$89,3,0)*0.475*44/12</f>
        <v>2.4400645455729571E-2</v>
      </c>
      <c r="BS52" s="24">
        <f t="shared" si="9"/>
        <v>8.4590972386434107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2">
        <f t="shared" si="32"/>
        <v>13.17339997701186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70">
        <f t="shared" si="1"/>
        <v>357.0448382932957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145</v>
      </c>
      <c r="L53" s="13">
        <f>VLOOKUP(A53,'Données projet'!$A$35:$I$55,9,0)</f>
        <v>4.8</v>
      </c>
      <c r="M53" s="13">
        <f t="array" ref="M53">INDEX(L:L,MIN(IF(ISNUMBER(L53:L249),ROW(L53:L249),"")))</f>
        <v>4.8</v>
      </c>
      <c r="N53" s="14">
        <f>IF('Données projet'!$A$36&gt;35,N52+M53-V52,IF(A53&lt;'Données projet'!$A$36,$K$205^A53,IF(A53='Données projet'!$A$36,'Données projet'!$B$36,N52+M53-V52)))</f>
        <v>145.00000000000011</v>
      </c>
      <c r="O53" s="14">
        <f>N53*VLOOKUP('Données projet'!$B$9,Paramètres!$A$1:$I$89,3,0)*VLOOKUP('Données projet'!$B$9,Paramètres!$A$1:$I$89,5,0)</f>
        <v>126.67200000000012</v>
      </c>
      <c r="P53" s="14">
        <f t="shared" si="33"/>
        <v>33.226199426361376</v>
      </c>
      <c r="Q53" s="22">
        <f t="shared" si="53"/>
        <v>278.48936400091287</v>
      </c>
      <c r="R53" s="62">
        <f t="shared" si="0"/>
        <v>571.82269733424619</v>
      </c>
      <c r="S53" s="62">
        <f ca="1">AVERAGE(OFFSET($R$3,0,0,'Données projet'!$E$9+1,1))-AVERAGE(OFFSET($H$3,0,0,'Données projet'!$E$9+1,1))</f>
        <v>149.01553333688895</v>
      </c>
      <c r="T53" s="62">
        <f t="shared" si="34"/>
        <v>180.75293059562205</v>
      </c>
      <c r="U53" s="16">
        <f>IF(ISNA(VLOOKUP(A53,'Données projet'!$A$35:$I$55,3,0)),0,VLOOKUP(A53,'Données projet'!$A$35:$I$55,3,0))</f>
        <v>7</v>
      </c>
      <c r="V53" s="16">
        <f>IF(ISNA(VLOOKUP(A53,'Données projet'!$A$35:$I$55,4,0)),0,VLOOKUP(A53,'Données projet'!$A$35:$I$55,4,0))</f>
        <v>16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1.9045461566535572E-2</v>
      </c>
      <c r="AC53" s="24">
        <f t="shared" si="3"/>
        <v>1.9045461566535572E-2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303</v>
      </c>
      <c r="AG53" s="13">
        <f>VLOOKUP(A53,'Données projet'!$A$61:$I$81,9,0)</f>
        <v>9.8000000000000007</v>
      </c>
      <c r="AH53" s="13">
        <f t="array" ref="AH53">INDEX(AG:AG,MIN(IF(ISNUMBER(AG53:AG249),ROW(AG53:AG249),"")))</f>
        <v>9.8000000000000007</v>
      </c>
      <c r="AI53" s="14">
        <f>IF('Données projet'!$A$62&gt;35,AI52+AH53-AQ52,IF(A53&lt;'Données projet'!$A$62,$AF$205^A53,IF(A53='Données projet'!$A$62,'Données projet'!$B$62,AI52+AH53-AQ52)))</f>
        <v>302.99999999999994</v>
      </c>
      <c r="AJ53" s="14">
        <f>AI53*VLOOKUP('Données projet'!$B$10,Paramètres!$A$1:$I$89,3,0)*VLOOKUP('Données projet'!$B$10,Paramètres!$A$1:$I$89,5,0)</f>
        <v>222.15959999999995</v>
      </c>
      <c r="AK53" s="14">
        <f t="shared" si="35"/>
        <v>54.583996923291004</v>
      </c>
      <c r="AL53" s="22">
        <f t="shared" si="4"/>
        <v>481.99509797473166</v>
      </c>
      <c r="AM53" s="62">
        <f t="shared" si="5"/>
        <v>775.32843130806498</v>
      </c>
      <c r="AN53" s="62">
        <f ca="1">AVERAGE(OFFSET($AM$3,0,0,'Données projet'!$E$10+1,1))-AVERAGE(OFFSET($H$3,0,0,'Données projet'!$E$10+1,1))</f>
        <v>296.15681058372093</v>
      </c>
      <c r="AO53" s="62">
        <f t="shared" si="36"/>
        <v>304.69148609083879</v>
      </c>
      <c r="AP53" s="16">
        <f>IF(ISNA(VLOOKUP(A53,'Données projet'!$A$61:$I$81,3,0)),0,VLOOKUP(A53,'Données projet'!$A$61:$I$81,3,0))</f>
        <v>9</v>
      </c>
      <c r="AQ53" s="16">
        <f>IF(ISNA(VLOOKUP(A53,'Données projet'!$A$61:$I$81,4,0)),0,VLOOKUP(A53,'Données projet'!$A$61:$I$81,4,0))</f>
        <v>21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3.1329207261860628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3.1329207261860628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314</v>
      </c>
      <c r="BB53" s="13">
        <f>VLOOKUP(A53,'Données projet'!$A$87:$I$107,9,0)</f>
        <v>4.2</v>
      </c>
      <c r="BC53" s="13">
        <f t="array" ref="BC53">INDEX(BB:BB,MIN(IF(ISNUMBER(BB53:BB249),ROW(BB53:BB249),"")))</f>
        <v>4.2</v>
      </c>
      <c r="BD53" s="13">
        <f>IF('Données projet'!$A$88&gt;35,BD52+BC53-BL52,IF(A53&lt;'Données projet'!$A$88,$BA$205^A53,IF(A53='Données projet'!$A$88,'Données projet'!$B$88,BD52+BC53-BL52)))</f>
        <v>313.99999999999989</v>
      </c>
      <c r="BE53" s="14">
        <f>BD53*VLOOKUP('Données projet'!$B$11,Paramètres!$A$1:$I$89,3,0)*VLOOKUP('Données projet'!$B$11,Paramètres!$A$1:$I$89,5,0)</f>
        <v>171.44399999999993</v>
      </c>
      <c r="BF53" s="14">
        <f t="shared" si="37"/>
        <v>43.413272173627206</v>
      </c>
      <c r="BG53" s="22">
        <f t="shared" si="7"/>
        <v>374.20974903573392</v>
      </c>
      <c r="BH53" s="62">
        <f t="shared" si="8"/>
        <v>667.54308236906718</v>
      </c>
      <c r="BI53" s="62">
        <f ca="1">AVERAGE(OFFSET($BH$3,0,0,'Données projet'!$E$11+1,1))-AVERAGE(OFFSET($H$3,0,0,'Données projet'!$E$11+1,1))</f>
        <v>198.95219623447554</v>
      </c>
      <c r="BJ53" s="62">
        <f t="shared" si="38"/>
        <v>299.68918988634471</v>
      </c>
      <c r="BK53" s="16">
        <f>IF(ISNA(VLOOKUP(A53,'Données projet'!$A$87:$I$107,3,0)),0,VLOOKUP(A53,'Données projet'!$A$87:$I$107,3,0))</f>
        <v>9</v>
      </c>
      <c r="BL53" s="16">
        <f>IF(ISNA(VLOOKUP(A53,'Données projet'!$A$87:$I$107,4,0)),0,VLOOKUP(A53,'Données projet'!$A$87:$I$107,4,0))</f>
        <v>314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4.4951002481628715</v>
      </c>
      <c r="BQ53" s="23">
        <f>EXP(-LN(2)/25)*BQ52+(1-EXP(-LN(2)/25))/(LN(2)/25)*Calculateur!BL53*Calculateur!BN53*VLOOKUP('Données projet'!$B$11,Paramètres!$A$1:$I$89,3,0)*0.475*44/12</f>
        <v>3.7444172092043564</v>
      </c>
      <c r="BR53" s="23">
        <f>EXP(-LN(2)/2)*BR52+(1-EXP(-LN(2)/2))/(LN(2)/2)*BL53*BO53*VLOOKUP('Données projet'!$B$11,Paramètres!$A$1:$I$89,3,0)*0.475*44/12</f>
        <v>1.7253861867075095E-2</v>
      </c>
      <c r="BS53" s="24">
        <f t="shared" si="9"/>
        <v>8.2567713192343035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2">
        <f t="shared" si="32"/>
        <v>13.405931317559242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70">
        <f t="shared" si="1"/>
        <v>358.99852037808239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4.4000000000000004</v>
      </c>
      <c r="N54" s="14">
        <f>IF('Données projet'!$A$36&gt;35,N53+M54-V53,IF(A54&lt;'Données projet'!$A$36,$K$205^A54,IF(A54='Données projet'!$A$36,'Données projet'!$B$36,N53+M54-V53)))</f>
        <v>133.40000000000012</v>
      </c>
      <c r="O54" s="14">
        <f>N54*VLOOKUP('Données projet'!$B$9,Paramètres!$A$1:$I$89,3,0)*VLOOKUP('Données projet'!$B$9,Paramètres!$A$1:$I$89,5,0)</f>
        <v>116.53824000000013</v>
      </c>
      <c r="P54" s="14">
        <f t="shared" si="33"/>
        <v>30.866230258957888</v>
      </c>
      <c r="Q54" s="22">
        <f t="shared" si="53"/>
        <v>256.72945236768516</v>
      </c>
      <c r="R54" s="62">
        <f t="shared" si="0"/>
        <v>550.06278570101847</v>
      </c>
      <c r="S54" s="62">
        <f ca="1">AVERAGE(OFFSET($R$3,0,0,'Données projet'!$E$9+1,1))-AVERAGE(OFFSET($H$3,0,0,'Données projet'!$E$9+1,1))</f>
        <v>149.01553333688895</v>
      </c>
      <c r="T54" s="62">
        <f t="shared" si="34"/>
        <v>180.75293059562205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1.3467175024525069E-2</v>
      </c>
      <c r="AC54" s="24">
        <f t="shared" si="3"/>
        <v>1.3467175024525069E-2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8.4</v>
      </c>
      <c r="AI54" s="14">
        <f>IF('Données projet'!$A$62&gt;35,AI53+AH54-AQ53,IF(A54&lt;'Données projet'!$A$62,$AF$205^A54,IF(A54='Données projet'!$A$62,'Données projet'!$B$62,AI53+AH54-AQ53)))</f>
        <v>290.39999999999992</v>
      </c>
      <c r="AJ54" s="14">
        <f>AI54*VLOOKUP('Données projet'!$B$10,Paramètres!$A$1:$I$89,3,0)*VLOOKUP('Données projet'!$B$10,Paramètres!$A$1:$I$89,5,0)</f>
        <v>212.92127999999991</v>
      </c>
      <c r="AK54" s="14">
        <f t="shared" si="35"/>
        <v>52.57344469809297</v>
      </c>
      <c r="AL54" s="22">
        <f t="shared" si="4"/>
        <v>462.4033121825118</v>
      </c>
      <c r="AM54" s="62">
        <f t="shared" si="5"/>
        <v>755.73664551584511</v>
      </c>
      <c r="AN54" s="62">
        <f ca="1">AVERAGE(OFFSET($AM$3,0,0,'Données projet'!$E$10+1,1))-AVERAGE(OFFSET($H$3,0,0,'Données projet'!$E$10+1,1))</f>
        <v>296.15681058372093</v>
      </c>
      <c r="AO54" s="62">
        <f t="shared" si="36"/>
        <v>304.69148609083879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3.0472508441753643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3.0472508441753643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-1.1368683772161603E-13</v>
      </c>
      <c r="BE54" s="14">
        <f>BD54*VLOOKUP('Données projet'!$B$11,Paramètres!$A$1:$I$89,3,0)*VLOOKUP('Données projet'!$B$11,Paramètres!$A$1:$I$89,5,0)</f>
        <v>-6.2073013396002357E-14</v>
      </c>
      <c r="BF54" s="14" t="e">
        <f t="shared" si="37"/>
        <v>#NUM!</v>
      </c>
      <c r="BG54" s="22" t="e">
        <f t="shared" si="7"/>
        <v>#NUM!</v>
      </c>
      <c r="BH54" s="62" t="e">
        <f t="shared" si="8"/>
        <v>#NUM!</v>
      </c>
      <c r="BI54" s="62">
        <f ca="1">AVERAGE(OFFSET($BH$3,0,0,'Données projet'!$E$11+1,1))-AVERAGE(OFFSET($H$3,0,0,'Données projet'!$E$11+1,1))</f>
        <v>198.95219623447554</v>
      </c>
      <c r="BJ54" s="62">
        <f t="shared" si="38"/>
        <v>299.68918988634471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4.4069540740368245</v>
      </c>
      <c r="BQ54" s="23">
        <f>EXP(-LN(2)/25)*BQ53+(1-EXP(-LN(2)/25))/(LN(2)/25)*Calculateur!BL54*Calculateur!BN54*VLOOKUP('Données projet'!$B$11,Paramètres!$A$1:$I$89,3,0)*0.475*44/12</f>
        <v>3.6420259237083203</v>
      </c>
      <c r="BR54" s="23">
        <f>EXP(-LN(2)/2)*BR53+(1-EXP(-LN(2)/2))/(LN(2)/2)*BL54*BO54*VLOOKUP('Données projet'!$B$11,Paramètres!$A$1:$I$89,3,0)*0.475*44/12</f>
        <v>1.2200322727864785E-2</v>
      </c>
      <c r="BS54" s="24">
        <f t="shared" si="9"/>
        <v>8.0611803204730084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2">
        <f t="shared" si="32"/>
        <v>13.637932508790366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70">
        <f t="shared" si="1"/>
        <v>360.95127911947662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4.4000000000000004</v>
      </c>
      <c r="N55" s="14">
        <f>IF('Données projet'!$A$36&gt;35,N54+M55-V54,IF(A55&lt;'Données projet'!$A$36,$K$205^A55,IF(A55='Données projet'!$A$36,'Données projet'!$B$36,N54+M55-V54)))</f>
        <v>137.80000000000013</v>
      </c>
      <c r="O55" s="14">
        <f>N55*VLOOKUP('Données projet'!$B$9,Paramètres!$A$1:$I$89,3,0)*VLOOKUP('Données projet'!$B$9,Paramètres!$A$1:$I$89,5,0)</f>
        <v>120.38208000000013</v>
      </c>
      <c r="P55" s="14">
        <f t="shared" si="33"/>
        <v>31.76409668560358</v>
      </c>
      <c r="Q55" s="22">
        <f t="shared" si="53"/>
        <v>264.98792439409311</v>
      </c>
      <c r="R55" s="62">
        <f t="shared" si="0"/>
        <v>558.32125772742643</v>
      </c>
      <c r="S55" s="62">
        <f ca="1">AVERAGE(OFFSET($R$3,0,0,'Données projet'!$E$9+1,1))-AVERAGE(OFFSET($H$3,0,0,'Données projet'!$E$9+1,1))</f>
        <v>149.01553333688895</v>
      </c>
      <c r="T55" s="62">
        <f t="shared" si="34"/>
        <v>180.75293059562205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9.5227307832677858E-3</v>
      </c>
      <c r="AC55" s="24">
        <f t="shared" si="3"/>
        <v>9.5227307832677858E-3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8.4</v>
      </c>
      <c r="AI55" s="14">
        <f>IF('Données projet'!$A$62&gt;35,AI54+AH55-AQ54,IF(A55&lt;'Données projet'!$A$62,$AF$205^A55,IF(A55='Données projet'!$A$62,'Données projet'!$B$62,AI54+AH55-AQ54)))</f>
        <v>298.7999999999999</v>
      </c>
      <c r="AJ55" s="14">
        <f>AI55*VLOOKUP('Données projet'!$B$10,Paramètres!$A$1:$I$89,3,0)*VLOOKUP('Données projet'!$B$10,Paramètres!$A$1:$I$89,5,0)</f>
        <v>219.08015999999992</v>
      </c>
      <c r="AK55" s="14">
        <f t="shared" si="35"/>
        <v>53.914914316401685</v>
      </c>
      <c r="AL55" s="22">
        <f t="shared" si="4"/>
        <v>475.46642110106609</v>
      </c>
      <c r="AM55" s="62">
        <f t="shared" si="5"/>
        <v>768.79975443439935</v>
      </c>
      <c r="AN55" s="62">
        <f ca="1">AVERAGE(OFFSET($AM$3,0,0,'Données projet'!$E$10+1,1))-AVERAGE(OFFSET($H$3,0,0,'Données projet'!$E$10+1,1))</f>
        <v>296.15681058372093</v>
      </c>
      <c r="AO55" s="62">
        <f t="shared" si="36"/>
        <v>304.69148609083879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2.9639236095934316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2.9639236095934316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-1.1368683772161603E-13</v>
      </c>
      <c r="BE55" s="14">
        <f>BD55*VLOOKUP('Données projet'!$B$11,Paramètres!$A$1:$I$89,3,0)*VLOOKUP('Données projet'!$B$11,Paramètres!$A$1:$I$89,5,0)</f>
        <v>-6.2073013396002357E-14</v>
      </c>
      <c r="BF55" s="14" t="e">
        <f t="shared" si="37"/>
        <v>#NUM!</v>
      </c>
      <c r="BG55" s="22" t="e">
        <f t="shared" si="7"/>
        <v>#NUM!</v>
      </c>
      <c r="BH55" s="62" t="e">
        <f t="shared" si="8"/>
        <v>#NUM!</v>
      </c>
      <c r="BI55" s="62">
        <f ca="1">AVERAGE(OFFSET($BH$3,0,0,'Données projet'!$E$11+1,1))-AVERAGE(OFFSET($H$3,0,0,'Données projet'!$E$11+1,1))</f>
        <v>198.95219623447554</v>
      </c>
      <c r="BJ55" s="62">
        <f t="shared" si="38"/>
        <v>299.68918988634471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4.3205363926215314</v>
      </c>
      <c r="BQ55" s="23">
        <f>EXP(-LN(2)/25)*BQ54+(1-EXP(-LN(2)/25))/(LN(2)/25)*Calculateur!BL55*Calculateur!BN55*VLOOKUP('Données projet'!$B$11,Paramètres!$A$1:$I$89,3,0)*0.475*44/12</f>
        <v>3.5424345332986968</v>
      </c>
      <c r="BR55" s="23">
        <f>EXP(-LN(2)/2)*BR54+(1-EXP(-LN(2)/2))/(LN(2)/2)*BL55*BO55*VLOOKUP('Données projet'!$B$11,Paramètres!$A$1:$I$89,3,0)*0.475*44/12</f>
        <v>8.6269309335375473E-3</v>
      </c>
      <c r="BS55" s="24">
        <f t="shared" si="9"/>
        <v>7.8715978568537661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2">
        <f t="shared" si="32"/>
        <v>13.869414921287754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70">
        <f t="shared" si="1"/>
        <v>362.90313432124293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4.4000000000000004</v>
      </c>
      <c r="N56" s="14">
        <f>IF('Données projet'!$A$36&gt;35,N55+M56-V55,IF(A56&lt;'Données projet'!$A$36,$K$205^A56,IF(A56='Données projet'!$A$36,'Données projet'!$B$36,N55+M56-V55)))</f>
        <v>142.20000000000013</v>
      </c>
      <c r="O56" s="14">
        <f>N56*VLOOKUP('Données projet'!$B$9,Paramètres!$A$1:$I$89,3,0)*VLOOKUP('Données projet'!$B$9,Paramètres!$A$1:$I$89,5,0)</f>
        <v>124.22592000000012</v>
      </c>
      <c r="P56" s="14">
        <f t="shared" si="33"/>
        <v>32.658631616020024</v>
      </c>
      <c r="Q56" s="22">
        <f t="shared" si="53"/>
        <v>273.24059406456837</v>
      </c>
      <c r="R56" s="62">
        <f t="shared" si="0"/>
        <v>566.57392739790168</v>
      </c>
      <c r="S56" s="62">
        <f ca="1">AVERAGE(OFFSET($R$3,0,0,'Données projet'!$E$9+1,1))-AVERAGE(OFFSET($H$3,0,0,'Données projet'!$E$9+1,1))</f>
        <v>149.01553333688895</v>
      </c>
      <c r="T56" s="62">
        <f t="shared" si="34"/>
        <v>180.75293059562205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6.7335875122625346E-3</v>
      </c>
      <c r="AC56" s="24">
        <f t="shared" si="3"/>
        <v>6.7335875122625346E-3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8.4</v>
      </c>
      <c r="AI56" s="14">
        <f>IF('Données projet'!$A$62&gt;35,AI55+AH56-AQ55,IF(A56&lt;'Données projet'!$A$62,$AF$205^A56,IF(A56='Données projet'!$A$62,'Données projet'!$B$62,AI55+AH56-AQ55)))</f>
        <v>307.19999999999987</v>
      </c>
      <c r="AJ56" s="14">
        <f>AI56*VLOOKUP('Données projet'!$B$10,Paramètres!$A$1:$I$89,3,0)*VLOOKUP('Données projet'!$B$10,Paramètres!$A$1:$I$89,5,0)</f>
        <v>225.2390399999999</v>
      </c>
      <c r="AK56" s="14">
        <f t="shared" si="35"/>
        <v>55.252000822487368</v>
      </c>
      <c r="AL56" s="22">
        <f t="shared" si="4"/>
        <v>488.5218960991653</v>
      </c>
      <c r="AM56" s="62">
        <f t="shared" si="5"/>
        <v>781.85522943249862</v>
      </c>
      <c r="AN56" s="62">
        <f ca="1">AVERAGE(OFFSET($AM$3,0,0,'Données projet'!$E$10+1,1))-AVERAGE(OFFSET($H$3,0,0,'Données projet'!$E$10+1,1))</f>
        <v>296.15681058372093</v>
      </c>
      <c r="AO56" s="62">
        <f t="shared" si="36"/>
        <v>304.69148609083879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2.8828749626231307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2.8828749626231307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-1.1368683772161603E-13</v>
      </c>
      <c r="BE56" s="14">
        <f>BD56*VLOOKUP('Données projet'!$B$11,Paramètres!$A$1:$I$89,3,0)*VLOOKUP('Données projet'!$B$11,Paramètres!$A$1:$I$89,5,0)</f>
        <v>-6.2073013396002357E-14</v>
      </c>
      <c r="BF56" s="14" t="e">
        <f t="shared" si="37"/>
        <v>#NUM!</v>
      </c>
      <c r="BG56" s="22" t="e">
        <f t="shared" si="7"/>
        <v>#NUM!</v>
      </c>
      <c r="BH56" s="62" t="e">
        <f t="shared" si="8"/>
        <v>#NUM!</v>
      </c>
      <c r="BI56" s="62">
        <f ca="1">AVERAGE(OFFSET($BH$3,0,0,'Données projet'!$E$11+1,1))-AVERAGE(OFFSET($H$3,0,0,'Données projet'!$E$11+1,1))</f>
        <v>198.95219623447554</v>
      </c>
      <c r="BJ56" s="62">
        <f t="shared" si="38"/>
        <v>299.68918988634471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4.2358133092292114</v>
      </c>
      <c r="BQ56" s="23">
        <f>EXP(-LN(2)/25)*BQ55+(1-EXP(-LN(2)/25))/(LN(2)/25)*Calculateur!BL56*Calculateur!BN56*VLOOKUP('Données projet'!$B$11,Paramètres!$A$1:$I$89,3,0)*0.475*44/12</f>
        <v>3.4455664746971082</v>
      </c>
      <c r="BR56" s="23">
        <f>EXP(-LN(2)/2)*BR55+(1-EXP(-LN(2)/2))/(LN(2)/2)*BL56*BO56*VLOOKUP('Données projet'!$B$11,Paramètres!$A$1:$I$89,3,0)*0.475*44/12</f>
        <v>6.1001613639323927E-3</v>
      </c>
      <c r="BS56" s="24">
        <f t="shared" si="9"/>
        <v>7.6874799452902511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2">
        <f t="shared" si="32"/>
        <v>14.100389472000563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70">
        <f t="shared" si="1"/>
        <v>364.85410499706774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4.4000000000000004</v>
      </c>
      <c r="N57" s="14">
        <f>IF('Données projet'!$A$36&gt;35,N56+M57-V56,IF(A57&lt;'Données projet'!$A$36,$K$205^A57,IF(A57='Données projet'!$A$36,'Données projet'!$B$36,N56+M57-V56)))</f>
        <v>146.60000000000014</v>
      </c>
      <c r="O57" s="14">
        <f>N57*VLOOKUP('Données projet'!$B$9,Paramètres!$A$1:$I$89,3,0)*VLOOKUP('Données projet'!$B$9,Paramètres!$A$1:$I$89,5,0)</f>
        <v>128.06976000000014</v>
      </c>
      <c r="P57" s="14">
        <f t="shared" si="33"/>
        <v>33.54994996369139</v>
      </c>
      <c r="Q57" s="22">
        <f t="shared" si="53"/>
        <v>281.48766152009608</v>
      </c>
      <c r="R57" s="62">
        <f t="shared" si="0"/>
        <v>574.8209948534294</v>
      </c>
      <c r="S57" s="62">
        <f ca="1">AVERAGE(OFFSET($R$3,0,0,'Données projet'!$E$9+1,1))-AVERAGE(OFFSET($H$3,0,0,'Données projet'!$E$9+1,1))</f>
        <v>149.01553333688895</v>
      </c>
      <c r="T57" s="62">
        <f t="shared" si="34"/>
        <v>180.75293059562205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4.7613653916338929E-3</v>
      </c>
      <c r="AC57" s="24">
        <f t="shared" si="3"/>
        <v>4.7613653916338929E-3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8.4</v>
      </c>
      <c r="AI57" s="14">
        <f>IF('Données projet'!$A$62&gt;35,AI56+AH57-AQ56,IF(A57&lt;'Données projet'!$A$62,$AF$205^A57,IF(A57='Données projet'!$A$62,'Données projet'!$B$62,AI56+AH57-AQ56)))</f>
        <v>315.59999999999985</v>
      </c>
      <c r="AJ57" s="14">
        <f>AI57*VLOOKUP('Données projet'!$B$10,Paramètres!$A$1:$I$89,3,0)*VLOOKUP('Données projet'!$B$10,Paramètres!$A$1:$I$89,5,0)</f>
        <v>231.39791999999986</v>
      </c>
      <c r="AK57" s="14">
        <f t="shared" si="35"/>
        <v>56.584837838715806</v>
      </c>
      <c r="AL57" s="22">
        <f t="shared" si="4"/>
        <v>501.5699699024297</v>
      </c>
      <c r="AM57" s="62">
        <f t="shared" si="5"/>
        <v>794.90330323576302</v>
      </c>
      <c r="AN57" s="62">
        <f ca="1">AVERAGE(OFFSET($AM$3,0,0,'Données projet'!$E$10+1,1))-AVERAGE(OFFSET($H$3,0,0,'Données projet'!$E$10+1,1))</f>
        <v>296.15681058372093</v>
      </c>
      <c r="AO57" s="62">
        <f t="shared" si="36"/>
        <v>304.69148609083879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2.8040425951663956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2.8040425951663956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-1.1368683772161603E-13</v>
      </c>
      <c r="BE57" s="14">
        <f>BD57*VLOOKUP('Données projet'!$B$11,Paramètres!$A$1:$I$89,3,0)*VLOOKUP('Données projet'!$B$11,Paramètres!$A$1:$I$89,5,0)</f>
        <v>-6.2073013396002357E-14</v>
      </c>
      <c r="BF57" s="14" t="e">
        <f t="shared" si="37"/>
        <v>#NUM!</v>
      </c>
      <c r="BG57" s="22" t="e">
        <f t="shared" si="7"/>
        <v>#NUM!</v>
      </c>
      <c r="BH57" s="62" t="e">
        <f t="shared" si="8"/>
        <v>#NUM!</v>
      </c>
      <c r="BI57" s="62">
        <f ca="1">AVERAGE(OFFSET($BH$3,0,0,'Données projet'!$E$11+1,1))-AVERAGE(OFFSET($H$3,0,0,'Données projet'!$E$11+1,1))</f>
        <v>198.95219623447554</v>
      </c>
      <c r="BJ57" s="62">
        <f t="shared" si="38"/>
        <v>299.68918988634471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4.1527515938262365</v>
      </c>
      <c r="BQ57" s="23">
        <f>EXP(-LN(2)/25)*BQ56+(1-EXP(-LN(2)/25))/(LN(2)/25)*Calculateur!BL57*Calculateur!BN57*VLOOKUP('Données projet'!$B$11,Paramètres!$A$1:$I$89,3,0)*0.475*44/12</f>
        <v>3.3513472782520499</v>
      </c>
      <c r="BR57" s="23">
        <f>EXP(-LN(2)/2)*BR56+(1-EXP(-LN(2)/2))/(LN(2)/2)*BL57*BO57*VLOOKUP('Données projet'!$B$11,Paramètres!$A$1:$I$89,3,0)*0.475*44/12</f>
        <v>4.3134654667687736E-3</v>
      </c>
      <c r="BS57" s="24">
        <f t="shared" si="9"/>
        <v>7.5084123375450549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2">
        <f t="shared" si="32"/>
        <v>14.330866650402033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70">
        <f t="shared" si="1"/>
        <v>366.80420941611692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151</v>
      </c>
      <c r="L58" s="13">
        <f>VLOOKUP(A58,'Données projet'!$A$35:$I$55,9,0)</f>
        <v>4.4000000000000004</v>
      </c>
      <c r="M58" s="13">
        <f t="array" ref="M58">INDEX(L:L,MIN(IF(ISNUMBER(L58:L254),ROW(L58:L254),"")))</f>
        <v>4.4000000000000004</v>
      </c>
      <c r="N58" s="14">
        <f>IF('Données projet'!$A$36&gt;35,N57+M58-V57,IF(A58&lt;'Données projet'!$A$36,$K$205^A58,IF(A58='Données projet'!$A$36,'Données projet'!$B$36,N57+M58-V57)))</f>
        <v>151.00000000000014</v>
      </c>
      <c r="O58" s="14">
        <f>N58*VLOOKUP('Données projet'!$B$9,Paramètres!$A$1:$I$89,3,0)*VLOOKUP('Données projet'!$B$9,Paramètres!$A$1:$I$89,5,0)</f>
        <v>131.91360000000014</v>
      </c>
      <c r="P58" s="14">
        <f t="shared" si="33"/>
        <v>34.438159352116038</v>
      </c>
      <c r="Q58" s="22">
        <f t="shared" si="53"/>
        <v>289.72931420493563</v>
      </c>
      <c r="R58" s="62">
        <f t="shared" si="0"/>
        <v>583.06264753826895</v>
      </c>
      <c r="S58" s="62">
        <f ca="1">AVERAGE(OFFSET($R$3,0,0,'Données projet'!$E$9+1,1))-AVERAGE(OFFSET($H$3,0,0,'Données projet'!$E$9+1,1))</f>
        <v>149.01553333688895</v>
      </c>
      <c r="T58" s="62">
        <f t="shared" si="34"/>
        <v>180.75293059562205</v>
      </c>
      <c r="U58" s="16">
        <f>IF(ISNA(VLOOKUP(A58,'Données projet'!$A$35:$I$55,3,0)),0,VLOOKUP(A58,'Données projet'!$A$35:$I$55,3,0))</f>
        <v>8</v>
      </c>
      <c r="V58" s="16">
        <f>IF(ISNA(VLOOKUP(A58,'Données projet'!$A$35:$I$55,4,0)),0,VLOOKUP(A58,'Données projet'!$A$35:$I$55,4,0))</f>
        <v>14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3.3667937561312673E-3</v>
      </c>
      <c r="AC58" s="24">
        <f t="shared" si="3"/>
        <v>3.3667937561312673E-3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324</v>
      </c>
      <c r="AG58" s="13">
        <f>VLOOKUP(A58,'Données projet'!$A$61:$I$81,9,0)</f>
        <v>8.4</v>
      </c>
      <c r="AH58" s="13">
        <f t="array" ref="AH58">INDEX(AG:AG,MIN(IF(ISNUMBER(AG58:AG254),ROW(AG58:AG254),"")))</f>
        <v>8.4</v>
      </c>
      <c r="AI58" s="14">
        <f>IF('Données projet'!$A$62&gt;35,AI57+AH58-AQ57,IF(A58&lt;'Données projet'!$A$62,$AF$205^A58,IF(A58='Données projet'!$A$62,'Données projet'!$B$62,AI57+AH58-AQ57)))</f>
        <v>323.99999999999983</v>
      </c>
      <c r="AJ58" s="14">
        <f>AI58*VLOOKUP('Données projet'!$B$10,Paramètres!$A$1:$I$89,3,0)*VLOOKUP('Données projet'!$B$10,Paramètres!$A$1:$I$89,5,0)</f>
        <v>237.55679999999987</v>
      </c>
      <c r="AK58" s="14">
        <f t="shared" si="35"/>
        <v>57.913551469467308</v>
      </c>
      <c r="AL58" s="22">
        <f t="shared" si="4"/>
        <v>514.61086214265526</v>
      </c>
      <c r="AM58" s="62">
        <f t="shared" si="5"/>
        <v>807.94419547598864</v>
      </c>
      <c r="AN58" s="62">
        <f ca="1">AVERAGE(OFFSET($AM$3,0,0,'Données projet'!$E$10+1,1))-AVERAGE(OFFSET($H$3,0,0,'Données projet'!$E$10+1,1))</f>
        <v>296.15681058372093</v>
      </c>
      <c r="AO58" s="62">
        <f t="shared" si="36"/>
        <v>304.69148609083879</v>
      </c>
      <c r="AP58" s="16">
        <f>IF(ISNA(VLOOKUP(A58,'Données projet'!$A$61:$I$81,3,0)),0,VLOOKUP(A58,'Données projet'!$A$61:$I$81,3,0))</f>
        <v>10</v>
      </c>
      <c r="AQ58" s="16">
        <f>IF(ISNA(VLOOKUP(A58,'Données projet'!$A$61:$I$81,4,0)),0,VLOOKUP(A58,'Données projet'!$A$61:$I$81,4,0))</f>
        <v>18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2.727365902943379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2.727365902943379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-1.1368683772161603E-13</v>
      </c>
      <c r="BE58" s="14">
        <f>BD58*VLOOKUP('Données projet'!$B$11,Paramètres!$A$1:$I$89,3,0)*VLOOKUP('Données projet'!$B$11,Paramètres!$A$1:$I$89,5,0)</f>
        <v>-6.2073013396002357E-14</v>
      </c>
      <c r="BF58" s="14" t="e">
        <f t="shared" si="37"/>
        <v>#NUM!</v>
      </c>
      <c r="BG58" s="22" t="e">
        <f t="shared" si="7"/>
        <v>#NUM!</v>
      </c>
      <c r="BH58" s="62" t="e">
        <f t="shared" si="8"/>
        <v>#NUM!</v>
      </c>
      <c r="BI58" s="62">
        <f ca="1">AVERAGE(OFFSET($BH$3,0,0,'Données projet'!$E$11+1,1))-AVERAGE(OFFSET($H$3,0,0,'Données projet'!$E$11+1,1))</f>
        <v>198.95219623447554</v>
      </c>
      <c r="BJ58" s="62">
        <f t="shared" si="38"/>
        <v>299.68918988634471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4.0713186679996705</v>
      </c>
      <c r="BQ58" s="23">
        <f>EXP(-LN(2)/25)*BQ57+(1-EXP(-LN(2)/25))/(LN(2)/25)*Calculateur!BL58*Calculateur!BN58*VLOOKUP('Données projet'!$B$11,Paramètres!$A$1:$I$89,3,0)*0.475*44/12</f>
        <v>3.2597045106885538</v>
      </c>
      <c r="BR58" s="23">
        <f>EXP(-LN(2)/2)*BR57+(1-EXP(-LN(2)/2))/(LN(2)/2)*BL58*BO58*VLOOKUP('Données projet'!$B$11,Paramètres!$A$1:$I$89,3,0)*0.475*44/12</f>
        <v>3.0500806819661963E-3</v>
      </c>
      <c r="BS58" s="24">
        <f t="shared" si="9"/>
        <v>7.3340732593701903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2">
        <f t="shared" si="32"/>
        <v>14.560856542690786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70">
        <f t="shared" si="1"/>
        <v>368.75346514518651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3.8</v>
      </c>
      <c r="N59" s="14">
        <f>IF('Données projet'!$A$36&gt;35,N58+M59-V58,IF(A59&lt;'Données projet'!$A$36,$K$205^A59,IF(A59='Données projet'!$A$36,'Données projet'!$B$36,N58+M59-V58)))</f>
        <v>140.80000000000015</v>
      </c>
      <c r="O59" s="14">
        <f>N59*VLOOKUP('Données projet'!$B$9,Paramètres!$A$1:$I$89,3,0)*VLOOKUP('Données projet'!$B$9,Paramètres!$A$1:$I$89,5,0)</f>
        <v>123.00288000000016</v>
      </c>
      <c r="P59" s="14">
        <f t="shared" si="33"/>
        <v>32.374361095906195</v>
      </c>
      <c r="Q59" s="22">
        <f t="shared" si="53"/>
        <v>270.61536157537017</v>
      </c>
      <c r="R59" s="62">
        <f t="shared" si="0"/>
        <v>563.94869490870349</v>
      </c>
      <c r="S59" s="62">
        <f ca="1">AVERAGE(OFFSET($R$3,0,0,'Données projet'!$E$9+1,1))-AVERAGE(OFFSET($H$3,0,0,'Données projet'!$E$9+1,1))</f>
        <v>149.01553333688895</v>
      </c>
      <c r="T59" s="62">
        <f t="shared" si="34"/>
        <v>180.75293059562205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2.3806826958169464E-3</v>
      </c>
      <c r="AC59" s="24">
        <f t="shared" si="3"/>
        <v>2.3806826958169464E-3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7.4</v>
      </c>
      <c r="AI59" s="14">
        <f>IF('Données projet'!$A$62&gt;35,AI58+AH59-AQ58,IF(A59&lt;'Données projet'!$A$62,$AF$205^A59,IF(A59='Données projet'!$A$62,'Données projet'!$B$62,AI58+AH59-AQ58)))</f>
        <v>313.39999999999981</v>
      </c>
      <c r="AJ59" s="14">
        <f>AI59*VLOOKUP('Données projet'!$B$10,Paramètres!$A$1:$I$89,3,0)*VLOOKUP('Données projet'!$B$10,Paramètres!$A$1:$I$89,5,0)</f>
        <v>229.78487999999984</v>
      </c>
      <c r="AK59" s="14">
        <f t="shared" si="35"/>
        <v>56.236165024777975</v>
      </c>
      <c r="AL59" s="22">
        <f t="shared" si="4"/>
        <v>498.15332008482136</v>
      </c>
      <c r="AM59" s="62">
        <f t="shared" si="5"/>
        <v>791.48665341815467</v>
      </c>
      <c r="AN59" s="62">
        <f ca="1">AVERAGE(OFFSET($AM$3,0,0,'Données projet'!$E$10+1,1))-AVERAGE(OFFSET($H$3,0,0,'Données projet'!$E$10+1,1))</f>
        <v>296.15681058372093</v>
      </c>
      <c r="AO59" s="62">
        <f t="shared" si="36"/>
        <v>304.69148609083879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2.6527859389014528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2.6527859389014528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-1.1368683772161603E-13</v>
      </c>
      <c r="BE59" s="14">
        <f>BD59*VLOOKUP('Données projet'!$B$11,Paramètres!$A$1:$I$89,3,0)*VLOOKUP('Données projet'!$B$11,Paramètres!$A$1:$I$89,5,0)</f>
        <v>-6.2073013396002357E-14</v>
      </c>
      <c r="BF59" s="14" t="e">
        <f t="shared" si="37"/>
        <v>#NUM!</v>
      </c>
      <c r="BG59" s="22" t="e">
        <f t="shared" si="7"/>
        <v>#NUM!</v>
      </c>
      <c r="BH59" s="62" t="e">
        <f t="shared" si="8"/>
        <v>#NUM!</v>
      </c>
      <c r="BI59" s="62">
        <f ca="1">AVERAGE(OFFSET($BH$3,0,0,'Données projet'!$E$11+1,1))-AVERAGE(OFFSET($H$3,0,0,'Données projet'!$E$11+1,1))</f>
        <v>198.95219623447554</v>
      </c>
      <c r="BJ59" s="62">
        <f t="shared" si="38"/>
        <v>299.68918988634471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3.9914825921793828</v>
      </c>
      <c r="BQ59" s="23">
        <f>EXP(-LN(2)/25)*BQ58+(1-EXP(-LN(2)/25))/(LN(2)/25)*Calculateur!BL59*Calculateur!BN59*VLOOKUP('Données projet'!$B$11,Paramètres!$A$1:$I$89,3,0)*0.475*44/12</f>
        <v>3.1705677194233655</v>
      </c>
      <c r="BR59" s="23">
        <f>EXP(-LN(2)/2)*BR58+(1-EXP(-LN(2)/2))/(LN(2)/2)*BL59*BO59*VLOOKUP('Données projet'!$B$11,Paramètres!$A$1:$I$89,3,0)*0.475*44/12</f>
        <v>2.1567327333843868E-3</v>
      </c>
      <c r="BS59" s="24">
        <f t="shared" si="9"/>
        <v>7.1642070443361323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2">
        <f t="shared" si="32"/>
        <v>14.790368854214481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70">
        <f t="shared" si="1"/>
        <v>370.70188908775697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3.8</v>
      </c>
      <c r="N60" s="14">
        <f>IF('Données projet'!$A$36&gt;35,N59+M60-V59,IF(A60&lt;'Données projet'!$A$36,$K$205^A60,IF(A60='Données projet'!$A$36,'Données projet'!$B$36,N59+M60-V59)))</f>
        <v>144.60000000000016</v>
      </c>
      <c r="O60" s="14">
        <f>N60*VLOOKUP('Données projet'!$B$9,Paramètres!$A$1:$I$89,3,0)*VLOOKUP('Données projet'!$B$9,Paramètres!$A$1:$I$89,5,0)</f>
        <v>126.32256000000015</v>
      </c>
      <c r="P60" s="14">
        <f t="shared" si="33"/>
        <v>33.145196976032793</v>
      </c>
      <c r="Q60" s="22">
        <f t="shared" si="53"/>
        <v>277.73967673325734</v>
      </c>
      <c r="R60" s="62">
        <f t="shared" si="0"/>
        <v>571.07301006659065</v>
      </c>
      <c r="S60" s="62">
        <f ca="1">AVERAGE(OFFSET($R$3,0,0,'Données projet'!$E$9+1,1))-AVERAGE(OFFSET($H$3,0,0,'Données projet'!$E$9+1,1))</f>
        <v>149.01553333688895</v>
      </c>
      <c r="T60" s="62">
        <f t="shared" si="34"/>
        <v>180.75293059562205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1.6833968780656336E-3</v>
      </c>
      <c r="AC60" s="24">
        <f t="shared" si="3"/>
        <v>1.6833968780656336E-3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7.4</v>
      </c>
      <c r="AI60" s="14">
        <f>IF('Données projet'!$A$62&gt;35,AI59+AH60-AQ59,IF(A60&lt;'Données projet'!$A$62,$AF$205^A60,IF(A60='Données projet'!$A$62,'Données projet'!$B$62,AI59+AH60-AQ59)))</f>
        <v>320.79999999999978</v>
      </c>
      <c r="AJ60" s="14">
        <f>AI60*VLOOKUP('Données projet'!$B$10,Paramètres!$A$1:$I$89,3,0)*VLOOKUP('Données projet'!$B$10,Paramètres!$A$1:$I$89,5,0)</f>
        <v>235.21055999999984</v>
      </c>
      <c r="AK60" s="14">
        <f t="shared" si="35"/>
        <v>57.407853322119394</v>
      </c>
      <c r="AL60" s="22">
        <f t="shared" si="4"/>
        <v>509.64373653602433</v>
      </c>
      <c r="AM60" s="62">
        <f t="shared" si="5"/>
        <v>802.97706986935759</v>
      </c>
      <c r="AN60" s="62">
        <f ca="1">AVERAGE(OFFSET($AM$3,0,0,'Données projet'!$E$10+1,1))-AVERAGE(OFFSET($H$3,0,0,'Données projet'!$E$10+1,1))</f>
        <v>296.15681058372093</v>
      </c>
      <c r="AO60" s="62">
        <f t="shared" si="36"/>
        <v>304.69148609083879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2.5802453678982431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2.5802453678982431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-1.1368683772161603E-13</v>
      </c>
      <c r="BE60" s="14">
        <f>BD60*VLOOKUP('Données projet'!$B$11,Paramètres!$A$1:$I$89,3,0)*VLOOKUP('Données projet'!$B$11,Paramètres!$A$1:$I$89,5,0)</f>
        <v>-6.2073013396002357E-14</v>
      </c>
      <c r="BF60" s="14" t="e">
        <f t="shared" si="37"/>
        <v>#NUM!</v>
      </c>
      <c r="BG60" s="22" t="e">
        <f t="shared" si="7"/>
        <v>#NUM!</v>
      </c>
      <c r="BH60" s="62" t="e">
        <f t="shared" si="8"/>
        <v>#NUM!</v>
      </c>
      <c r="BI60" s="62">
        <f ca="1">AVERAGE(OFFSET($BH$3,0,0,'Données projet'!$E$11+1,1))-AVERAGE(OFFSET($H$3,0,0,'Données projet'!$E$11+1,1))</f>
        <v>198.95219623447554</v>
      </c>
      <c r="BJ60" s="62">
        <f t="shared" si="38"/>
        <v>299.68918988634471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3.9132120531107333</v>
      </c>
      <c r="BQ60" s="23">
        <f>EXP(-LN(2)/25)*BQ59+(1-EXP(-LN(2)/25))/(LN(2)/25)*Calculateur!BL60*Calculateur!BN60*VLOOKUP('Données projet'!$B$11,Paramètres!$A$1:$I$89,3,0)*0.475*44/12</f>
        <v>3.0838683784028236</v>
      </c>
      <c r="BR60" s="23">
        <f>EXP(-LN(2)/2)*BR59+(1-EXP(-LN(2)/2))/(LN(2)/2)*BL60*BO60*VLOOKUP('Données projet'!$B$11,Paramètres!$A$1:$I$89,3,0)*0.475*44/12</f>
        <v>1.5250403409830982E-3</v>
      </c>
      <c r="BS60" s="24">
        <f t="shared" si="9"/>
        <v>6.9986054718545399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2">
        <f t="shared" si="32"/>
        <v>15.01941293027533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70">
        <f t="shared" si="1"/>
        <v>372.6494975202296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3.8</v>
      </c>
      <c r="N61" s="14">
        <f>IF('Données projet'!$A$36&gt;35,N60+M61-V60,IF(A61&lt;'Données projet'!$A$36,$K$205^A61,IF(A61='Données projet'!$A$36,'Données projet'!$B$36,N60+M61-V60)))</f>
        <v>148.40000000000018</v>
      </c>
      <c r="O61" s="14">
        <f>N61*VLOOKUP('Données projet'!$B$9,Paramètres!$A$1:$I$89,3,0)*VLOOKUP('Données projet'!$B$9,Paramètres!$A$1:$I$89,5,0)</f>
        <v>129.64224000000019</v>
      </c>
      <c r="P61" s="14">
        <f t="shared" si="33"/>
        <v>33.913678246253248</v>
      </c>
      <c r="Q61" s="22">
        <f t="shared" si="53"/>
        <v>284.85989094555805</v>
      </c>
      <c r="R61" s="62">
        <f t="shared" si="0"/>
        <v>578.19322427889142</v>
      </c>
      <c r="S61" s="62">
        <f ca="1">AVERAGE(OFFSET($R$3,0,0,'Données projet'!$E$9+1,1))-AVERAGE(OFFSET($H$3,0,0,'Données projet'!$E$9+1,1))</f>
        <v>149.01553333688895</v>
      </c>
      <c r="T61" s="62">
        <f t="shared" si="34"/>
        <v>180.75293059562205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1.1903413479084732E-3</v>
      </c>
      <c r="AC61" s="24">
        <f t="shared" si="3"/>
        <v>1.1903413479084732E-3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7.4</v>
      </c>
      <c r="AI61" s="14">
        <f>IF('Données projet'!$A$62&gt;35,AI60+AH61-AQ60,IF(A61&lt;'Données projet'!$A$62,$AF$205^A61,IF(A61='Données projet'!$A$62,'Données projet'!$B$62,AI60+AH61-AQ60)))</f>
        <v>328.19999999999976</v>
      </c>
      <c r="AJ61" s="14">
        <f>AI61*VLOOKUP('Données projet'!$B$10,Paramètres!$A$1:$I$89,3,0)*VLOOKUP('Données projet'!$B$10,Paramètres!$A$1:$I$89,5,0)</f>
        <v>240.63623999999982</v>
      </c>
      <c r="AK61" s="14">
        <f t="shared" si="35"/>
        <v>58.576399517863109</v>
      </c>
      <c r="AL61" s="22">
        <f t="shared" si="4"/>
        <v>521.12868049361134</v>
      </c>
      <c r="AM61" s="62">
        <f t="shared" si="5"/>
        <v>814.46201382694471</v>
      </c>
      <c r="AN61" s="62">
        <f ca="1">AVERAGE(OFFSET($AM$3,0,0,'Données projet'!$E$10+1,1))-AVERAGE(OFFSET($H$3,0,0,'Données projet'!$E$10+1,1))</f>
        <v>296.15681058372093</v>
      </c>
      <c r="AO61" s="62">
        <f t="shared" si="36"/>
        <v>304.69148609083879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2.5096884226238592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2.5096884226238592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-1.1368683772161603E-13</v>
      </c>
      <c r="BE61" s="14">
        <f>BD61*VLOOKUP('Données projet'!$B$11,Paramètres!$A$1:$I$89,3,0)*VLOOKUP('Données projet'!$B$11,Paramètres!$A$1:$I$89,5,0)</f>
        <v>-6.2073013396002357E-14</v>
      </c>
      <c r="BF61" s="14" t="e">
        <f t="shared" si="37"/>
        <v>#NUM!</v>
      </c>
      <c r="BG61" s="22" t="e">
        <f t="shared" si="7"/>
        <v>#NUM!</v>
      </c>
      <c r="BH61" s="62" t="e">
        <f t="shared" si="8"/>
        <v>#NUM!</v>
      </c>
      <c r="BI61" s="62">
        <f ca="1">AVERAGE(OFFSET($BH$3,0,0,'Données projet'!$E$11+1,1))-AVERAGE(OFFSET($H$3,0,0,'Données projet'!$E$11+1,1))</f>
        <v>198.95219623447554</v>
      </c>
      <c r="BJ61" s="62">
        <f t="shared" si="38"/>
        <v>299.68918988634471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3.8364763515729048</v>
      </c>
      <c r="BQ61" s="23">
        <f>EXP(-LN(2)/25)*BQ60+(1-EXP(-LN(2)/25))/(LN(2)/25)*Calculateur!BL61*Calculateur!BN61*VLOOKUP('Données projet'!$B$11,Paramètres!$A$1:$I$89,3,0)*0.475*44/12</f>
        <v>2.9995398354218086</v>
      </c>
      <c r="BR61" s="23">
        <f>EXP(-LN(2)/2)*BR60+(1-EXP(-LN(2)/2))/(LN(2)/2)*BL61*BO61*VLOOKUP('Données projet'!$B$11,Paramètres!$A$1:$I$89,3,0)*0.475*44/12</f>
        <v>1.0783663666921934E-3</v>
      </c>
      <c r="BS61" s="24">
        <f t="shared" si="9"/>
        <v>6.837094553361406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2">
        <f t="shared" si="32"/>
        <v>15.247997775460181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70">
        <f t="shared" si="1"/>
        <v>374.59630612559323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3.8</v>
      </c>
      <c r="N62" s="14">
        <f>IF('Données projet'!$A$36&gt;35,N61+M62-V61,IF(A62&lt;'Données projet'!$A$36,$K$205^A62,IF(A62='Données projet'!$A$36,'Données projet'!$B$36,N61+M62-V61)))</f>
        <v>152.20000000000019</v>
      </c>
      <c r="O62" s="14">
        <f>N62*VLOOKUP('Données projet'!$B$9,Paramètres!$A$1:$I$89,3,0)*VLOOKUP('Données projet'!$B$9,Paramètres!$A$1:$I$89,5,0)</f>
        <v>132.96192000000019</v>
      </c>
      <c r="P62" s="14">
        <f t="shared" si="33"/>
        <v>34.679872132599179</v>
      </c>
      <c r="Q62" s="22">
        <f t="shared" si="53"/>
        <v>291.97612129761052</v>
      </c>
      <c r="R62" s="62">
        <f t="shared" si="0"/>
        <v>585.30945463094383</v>
      </c>
      <c r="S62" s="62">
        <f ca="1">AVERAGE(OFFSET($R$3,0,0,'Données projet'!$E$9+1,1))-AVERAGE(OFFSET($H$3,0,0,'Données projet'!$E$9+1,1))</f>
        <v>149.01553333688895</v>
      </c>
      <c r="T62" s="62">
        <f t="shared" si="34"/>
        <v>180.75293059562205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8.4169843903281682E-4</v>
      </c>
      <c r="AC62" s="24">
        <f t="shared" si="3"/>
        <v>8.4169843903281682E-4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7.4</v>
      </c>
      <c r="AI62" s="14">
        <f>IF('Données projet'!$A$62&gt;35,AI61+AH62-AQ61,IF(A62&lt;'Données projet'!$A$62,$AF$205^A62,IF(A62='Données projet'!$A$62,'Données projet'!$B$62,AI61+AH62-AQ61)))</f>
        <v>335.59999999999974</v>
      </c>
      <c r="AJ62" s="14">
        <f>AI62*VLOOKUP('Données projet'!$B$10,Paramètres!$A$1:$I$89,3,0)*VLOOKUP('Données projet'!$B$10,Paramètres!$A$1:$I$89,5,0)</f>
        <v>246.06191999999979</v>
      </c>
      <c r="AK62" s="14">
        <f t="shared" si="35"/>
        <v>59.741882613953308</v>
      </c>
      <c r="AL62" s="22">
        <f t="shared" si="4"/>
        <v>532.60828955263503</v>
      </c>
      <c r="AM62" s="62">
        <f t="shared" si="5"/>
        <v>825.9416228859684</v>
      </c>
      <c r="AN62" s="62">
        <f ca="1">AVERAGE(OFFSET($AM$3,0,0,'Données projet'!$E$10+1,1))-AVERAGE(OFFSET($H$3,0,0,'Données projet'!$E$10+1,1))</f>
        <v>296.15681058372093</v>
      </c>
      <c r="AO62" s="62">
        <f t="shared" si="36"/>
        <v>304.69148609083879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2.4410608607284314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2.4410608607284314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-1.1368683772161603E-13</v>
      </c>
      <c r="BE62" s="14">
        <f>BD62*VLOOKUP('Données projet'!$B$11,Paramètres!$A$1:$I$89,3,0)*VLOOKUP('Données projet'!$B$11,Paramètres!$A$1:$I$89,5,0)</f>
        <v>-6.2073013396002357E-14</v>
      </c>
      <c r="BF62" s="14" t="e">
        <f t="shared" si="37"/>
        <v>#NUM!</v>
      </c>
      <c r="BG62" s="22" t="e">
        <f t="shared" si="7"/>
        <v>#NUM!</v>
      </c>
      <c r="BH62" s="62" t="e">
        <f t="shared" si="8"/>
        <v>#NUM!</v>
      </c>
      <c r="BI62" s="62">
        <f ca="1">AVERAGE(OFFSET($BH$3,0,0,'Données projet'!$E$11+1,1))-AVERAGE(OFFSET($H$3,0,0,'Données projet'!$E$11+1,1))</f>
        <v>198.95219623447554</v>
      </c>
      <c r="BJ62" s="62">
        <f t="shared" si="38"/>
        <v>299.68918988634471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3.7612453903380767</v>
      </c>
      <c r="BQ62" s="23">
        <f>EXP(-LN(2)/25)*BQ61+(1-EXP(-LN(2)/25))/(LN(2)/25)*Calculateur!BL62*Calculateur!BN62*VLOOKUP('Données projet'!$B$11,Paramètres!$A$1:$I$89,3,0)*0.475*44/12</f>
        <v>2.9175172608832547</v>
      </c>
      <c r="BR62" s="23">
        <f>EXP(-LN(2)/2)*BR61+(1-EXP(-LN(2)/2))/(LN(2)/2)*BL62*BO62*VLOOKUP('Données projet'!$B$11,Paramètres!$A$1:$I$89,3,0)*0.475*44/12</f>
        <v>7.6252017049154909E-4</v>
      </c>
      <c r="BS62" s="24">
        <f t="shared" si="9"/>
        <v>6.6795251713918233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2">
        <f t="shared" si="32"/>
        <v>15.476132071622855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70">
        <f t="shared" si="1"/>
        <v>376.54233002474325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156</v>
      </c>
      <c r="L63" s="13">
        <f>VLOOKUP(A63,'Données projet'!$A$35:$I$55,9,0)</f>
        <v>3.8</v>
      </c>
      <c r="M63" s="13">
        <f t="array" ref="M63">INDEX(L:L,MIN(IF(ISNUMBER(L63:L259),ROW(L63:L259),"")))</f>
        <v>3.8</v>
      </c>
      <c r="N63" s="14">
        <f>IF('Données projet'!$A$36&gt;35,N62+M63-V62,IF(A63&lt;'Données projet'!$A$36,$K$205^A63,IF(A63='Données projet'!$A$36,'Données projet'!$B$36,N62+M63-V62)))</f>
        <v>156.0000000000002</v>
      </c>
      <c r="O63" s="14">
        <f>N63*VLOOKUP('Données projet'!$B$9,Paramètres!$A$1:$I$89,3,0)*VLOOKUP('Données projet'!$B$9,Paramètres!$A$1:$I$89,5,0)</f>
        <v>136.28160000000017</v>
      </c>
      <c r="P63" s="14">
        <f t="shared" si="33"/>
        <v>35.443842312892308</v>
      </c>
      <c r="Q63" s="22">
        <f t="shared" si="53"/>
        <v>299.0884786949544</v>
      </c>
      <c r="R63" s="62">
        <f t="shared" si="0"/>
        <v>592.42181202828772</v>
      </c>
      <c r="S63" s="62">
        <f ca="1">AVERAGE(OFFSET($R$3,0,0,'Données projet'!$E$9+1,1))-AVERAGE(OFFSET($H$3,0,0,'Données projet'!$E$9+1,1))</f>
        <v>149.01553333688895</v>
      </c>
      <c r="T63" s="62">
        <f t="shared" si="34"/>
        <v>180.75293059562205</v>
      </c>
      <c r="U63" s="16">
        <f>IF(ISNA(VLOOKUP(A63,'Données projet'!$A$35:$I$55,3,0)),0,VLOOKUP(A63,'Données projet'!$A$35:$I$55,3,0))</f>
        <v>9</v>
      </c>
      <c r="V63" s="16">
        <f>IF(ISNA(VLOOKUP(A63,'Données projet'!$A$35:$I$55,4,0)),0,VLOOKUP(A63,'Données projet'!$A$35:$I$55,4,0))</f>
        <v>13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5.9517067395423661E-4</v>
      </c>
      <c r="AC63" s="24">
        <f t="shared" si="3"/>
        <v>5.9517067395423661E-4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343</v>
      </c>
      <c r="AG63" s="13">
        <f>VLOOKUP(A63,'Données projet'!$A$61:$I$81,9,0)</f>
        <v>7.4</v>
      </c>
      <c r="AH63" s="13">
        <f t="array" ref="AH63">INDEX(AG:AG,MIN(IF(ISNUMBER(AG63:AG259),ROW(AG63:AG259),"")))</f>
        <v>7.4</v>
      </c>
      <c r="AI63" s="14">
        <f>IF('Données projet'!$A$62&gt;35,AI62+AH63-AQ62,IF(A63&lt;'Données projet'!$A$62,$AF$205^A63,IF(A63='Données projet'!$A$62,'Données projet'!$B$62,AI62+AH63-AQ62)))</f>
        <v>342.99999999999972</v>
      </c>
      <c r="AJ63" s="14">
        <f>AI63*VLOOKUP('Données projet'!$B$10,Paramètres!$A$1:$I$89,3,0)*VLOOKUP('Données projet'!$B$10,Paramètres!$A$1:$I$89,5,0)</f>
        <v>251.48759999999979</v>
      </c>
      <c r="AK63" s="14">
        <f t="shared" si="35"/>
        <v>60.904377929400603</v>
      </c>
      <c r="AL63" s="22">
        <f t="shared" si="4"/>
        <v>544.08269489370571</v>
      </c>
      <c r="AM63" s="62">
        <f t="shared" si="5"/>
        <v>837.41602822703908</v>
      </c>
      <c r="AN63" s="62">
        <f ca="1">AVERAGE(OFFSET($AM$3,0,0,'Données projet'!$E$10+1,1))-AVERAGE(OFFSET($H$3,0,0,'Données projet'!$E$10+1,1))</f>
        <v>296.15681058372093</v>
      </c>
      <c r="AO63" s="62">
        <f t="shared" si="36"/>
        <v>304.69148609083879</v>
      </c>
      <c r="AP63" s="16">
        <f>IF(ISNA(VLOOKUP(A63,'Données projet'!$A$61:$I$81,3,0)),0,VLOOKUP(A63,'Données projet'!$A$61:$I$81,3,0))</f>
        <v>11</v>
      </c>
      <c r="AQ63" s="16">
        <f>IF(ISNA(VLOOKUP(A63,'Données projet'!$A$61:$I$81,4,0)),0,VLOOKUP(A63,'Données projet'!$A$61:$I$81,4,0))</f>
        <v>17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2.3743099231220008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2.3743099231220008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-1.1368683772161603E-13</v>
      </c>
      <c r="BE63" s="14">
        <f>BD63*VLOOKUP('Données projet'!$B$11,Paramètres!$A$1:$I$89,3,0)*VLOOKUP('Données projet'!$B$11,Paramètres!$A$1:$I$89,5,0)</f>
        <v>-6.2073013396002357E-14</v>
      </c>
      <c r="BF63" s="14" t="e">
        <f t="shared" si="37"/>
        <v>#NUM!</v>
      </c>
      <c r="BG63" s="22" t="e">
        <f t="shared" si="7"/>
        <v>#NUM!</v>
      </c>
      <c r="BH63" s="62" t="e">
        <f t="shared" si="8"/>
        <v>#NUM!</v>
      </c>
      <c r="BI63" s="62">
        <f ca="1">AVERAGE(OFFSET($BH$3,0,0,'Données projet'!$E$11+1,1))-AVERAGE(OFFSET($H$3,0,0,'Données projet'!$E$11+1,1))</f>
        <v>198.95219623447554</v>
      </c>
      <c r="BJ63" s="62">
        <f t="shared" si="38"/>
        <v>299.68918988634471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3.6874896623667084</v>
      </c>
      <c r="BQ63" s="23">
        <f>EXP(-LN(2)/25)*BQ62+(1-EXP(-LN(2)/25))/(LN(2)/25)*Calculateur!BL63*Calculateur!BN63*VLOOKUP('Données projet'!$B$11,Paramètres!$A$1:$I$89,3,0)*0.475*44/12</f>
        <v>2.8377375979588373</v>
      </c>
      <c r="BR63" s="23">
        <f>EXP(-LN(2)/2)*BR62+(1-EXP(-LN(2)/2))/(LN(2)/2)*BL63*BO63*VLOOKUP('Données projet'!$B$11,Paramètres!$A$1:$I$89,3,0)*0.475*44/12</f>
        <v>5.3918318334609671E-4</v>
      </c>
      <c r="BS63" s="24">
        <f t="shared" si="9"/>
        <v>6.5257664435088909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2">
        <f t="shared" si="32"/>
        <v>15.703824194633762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70">
        <f t="shared" si="1"/>
        <v>378.48758380565391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3.4</v>
      </c>
      <c r="N64" s="14">
        <f>IF('Données projet'!$A$36&gt;35,N63+M64-V63,IF(A64&lt;'Données projet'!$A$36,$K$205^A64,IF(A64='Données projet'!$A$36,'Données projet'!$B$36,N63+M64-V63)))</f>
        <v>146.4000000000002</v>
      </c>
      <c r="O64" s="14">
        <f>N64*VLOOKUP('Données projet'!$B$9,Paramètres!$A$1:$I$89,3,0)*VLOOKUP('Données projet'!$B$9,Paramètres!$A$1:$I$89,5,0)</f>
        <v>127.89504000000019</v>
      </c>
      <c r="P64" s="14">
        <f t="shared" si="33"/>
        <v>33.509503727991941</v>
      </c>
      <c r="Q64" s="22">
        <f t="shared" si="53"/>
        <v>281.11291365958624</v>
      </c>
      <c r="R64" s="62">
        <f t="shared" si="0"/>
        <v>574.44624699291955</v>
      </c>
      <c r="S64" s="62">
        <f ca="1">AVERAGE(OFFSET($R$3,0,0,'Données projet'!$E$9+1,1))-AVERAGE(OFFSET($H$3,0,0,'Données projet'!$E$9+1,1))</f>
        <v>149.01553333688895</v>
      </c>
      <c r="T64" s="62">
        <f t="shared" si="34"/>
        <v>180.75293059562205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4.2084921951640841E-4</v>
      </c>
      <c r="AC64" s="24">
        <f t="shared" si="3"/>
        <v>4.2084921951640841E-4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6</v>
      </c>
      <c r="AI64" s="14">
        <f>IF('Données projet'!$A$62&gt;35,AI63+AH64-AQ63,IF(A64&lt;'Données projet'!$A$62,$AF$205^A64,IF(A64='Données projet'!$A$62,'Données projet'!$B$62,AI63+AH64-AQ63)))</f>
        <v>331.99999999999972</v>
      </c>
      <c r="AJ64" s="14">
        <f>AI64*VLOOKUP('Données projet'!$B$10,Paramètres!$A$1:$I$89,3,0)*VLOOKUP('Données projet'!$B$10,Paramètres!$A$1:$I$89,5,0)</f>
        <v>243.42239999999978</v>
      </c>
      <c r="AK64" s="14">
        <f t="shared" si="35"/>
        <v>59.175268615646175</v>
      </c>
      <c r="AL64" s="22">
        <f t="shared" si="4"/>
        <v>527.02427283891677</v>
      </c>
      <c r="AM64" s="62">
        <f t="shared" si="5"/>
        <v>820.35760617225014</v>
      </c>
      <c r="AN64" s="62">
        <f ca="1">AVERAGE(OFFSET($AM$3,0,0,'Données projet'!$E$10+1,1))-AVERAGE(OFFSET($H$3,0,0,'Données projet'!$E$10+1,1))</f>
        <v>296.15681058372093</v>
      </c>
      <c r="AO64" s="62">
        <f t="shared" si="36"/>
        <v>304.69148609083879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2.3093842934146975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2.3093842934146975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-1.1368683772161603E-13</v>
      </c>
      <c r="BE64" s="14">
        <f>BD64*VLOOKUP('Données projet'!$B$11,Paramètres!$A$1:$I$89,3,0)*VLOOKUP('Données projet'!$B$11,Paramètres!$A$1:$I$89,5,0)</f>
        <v>-6.2073013396002357E-14</v>
      </c>
      <c r="BF64" s="14" t="e">
        <f t="shared" si="37"/>
        <v>#NUM!</v>
      </c>
      <c r="BG64" s="22" t="e">
        <f t="shared" si="7"/>
        <v>#NUM!</v>
      </c>
      <c r="BH64" s="62" t="e">
        <f t="shared" si="8"/>
        <v>#NUM!</v>
      </c>
      <c r="BI64" s="62">
        <f ca="1">AVERAGE(OFFSET($BH$3,0,0,'Données projet'!$E$11+1,1))-AVERAGE(OFFSET($H$3,0,0,'Données projet'!$E$11+1,1))</f>
        <v>198.95219623447554</v>
      </c>
      <c r="BJ64" s="62">
        <f t="shared" si="38"/>
        <v>299.68918988634471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3.6151802392343066</v>
      </c>
      <c r="BQ64" s="23">
        <f>EXP(-LN(2)/25)*BQ63+(1-EXP(-LN(2)/25))/(LN(2)/25)*Calculateur!BL64*Calculateur!BN64*VLOOKUP('Données projet'!$B$11,Paramètres!$A$1:$I$89,3,0)*0.475*44/12</f>
        <v>2.7601395141125185</v>
      </c>
      <c r="BR64" s="23">
        <f>EXP(-LN(2)/2)*BR63+(1-EXP(-LN(2)/2))/(LN(2)/2)*BL64*BO64*VLOOKUP('Données projet'!$B$11,Paramètres!$A$1:$I$89,3,0)*0.475*44/12</f>
        <v>3.8126008524577454E-4</v>
      </c>
      <c r="BS64" s="24">
        <f t="shared" si="9"/>
        <v>6.3757010134320709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2">
        <f t="shared" si="32"/>
        <v>15.931082230000042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70">
        <f t="shared" si="1"/>
        <v>380.43208155058352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3.4</v>
      </c>
      <c r="N65" s="14">
        <f>IF('Données projet'!$A$36&gt;35,N64+M65-V64,IF(A65&lt;'Données projet'!$A$36,$K$205^A65,IF(A65='Données projet'!$A$36,'Données projet'!$B$36,N64+M65-V64)))</f>
        <v>149.80000000000021</v>
      </c>
      <c r="O65" s="14">
        <f>N65*VLOOKUP('Données projet'!$B$9,Paramètres!$A$1:$I$89,3,0)*VLOOKUP('Données projet'!$B$9,Paramètres!$A$1:$I$89,5,0)</f>
        <v>130.86528000000018</v>
      </c>
      <c r="P65" s="14">
        <f t="shared" si="33"/>
        <v>34.196222873367319</v>
      </c>
      <c r="Q65" s="22">
        <f t="shared" si="53"/>
        <v>287.48211750444835</v>
      </c>
      <c r="R65" s="62">
        <f t="shared" si="0"/>
        <v>580.81545083778167</v>
      </c>
      <c r="S65" s="62">
        <f ca="1">AVERAGE(OFFSET($R$3,0,0,'Données projet'!$E$9+1,1))-AVERAGE(OFFSET($H$3,0,0,'Données projet'!$E$9+1,1))</f>
        <v>149.01553333688895</v>
      </c>
      <c r="T65" s="62">
        <f t="shared" si="34"/>
        <v>180.75293059562205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2.9758533697711831E-4</v>
      </c>
      <c r="AC65" s="24">
        <f t="shared" si="3"/>
        <v>2.9758533697711831E-4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6</v>
      </c>
      <c r="AI65" s="14">
        <f>IF('Données projet'!$A$62&gt;35,AI64+AH65-AQ64,IF(A65&lt;'Données projet'!$A$62,$AF$205^A65,IF(A65='Données projet'!$A$62,'Données projet'!$B$62,AI64+AH65-AQ64)))</f>
        <v>337.99999999999972</v>
      </c>
      <c r="AJ65" s="14">
        <f>AI65*VLOOKUP('Données projet'!$B$10,Paramètres!$A$1:$I$89,3,0)*VLOOKUP('Données projet'!$B$10,Paramètres!$A$1:$I$89,5,0)</f>
        <v>247.82159999999982</v>
      </c>
      <c r="AK65" s="14">
        <f t="shared" si="35"/>
        <v>60.119231945607517</v>
      </c>
      <c r="AL65" s="22">
        <f t="shared" si="4"/>
        <v>536.330282305266</v>
      </c>
      <c r="AM65" s="62">
        <f t="shared" si="5"/>
        <v>829.66361563859937</v>
      </c>
      <c r="AN65" s="62">
        <f ca="1">AVERAGE(OFFSET($AM$3,0,0,'Données projet'!$E$10+1,1))-AVERAGE(OFFSET($H$3,0,0,'Données projet'!$E$10+1,1))</f>
        <v>296.15681058372093</v>
      </c>
      <c r="AO65" s="62">
        <f t="shared" si="36"/>
        <v>304.69148609083879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2.246234058466031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2.246234058466031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-1.1368683772161603E-13</v>
      </c>
      <c r="BE65" s="14">
        <f>BD65*VLOOKUP('Données projet'!$B$11,Paramètres!$A$1:$I$89,3,0)*VLOOKUP('Données projet'!$B$11,Paramètres!$A$1:$I$89,5,0)</f>
        <v>-6.2073013396002357E-14</v>
      </c>
      <c r="BF65" s="14" t="e">
        <f t="shared" si="37"/>
        <v>#NUM!</v>
      </c>
      <c r="BG65" s="22" t="e">
        <f t="shared" si="7"/>
        <v>#NUM!</v>
      </c>
      <c r="BH65" s="62" t="e">
        <f t="shared" si="8"/>
        <v>#NUM!</v>
      </c>
      <c r="BI65" s="62">
        <f ca="1">AVERAGE(OFFSET($BH$3,0,0,'Données projet'!$E$11+1,1))-AVERAGE(OFFSET($H$3,0,0,'Données projet'!$E$11+1,1))</f>
        <v>198.95219623447554</v>
      </c>
      <c r="BJ65" s="62">
        <f t="shared" si="38"/>
        <v>299.68918988634471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3.5442887597851378</v>
      </c>
      <c r="BQ65" s="23">
        <f>EXP(-LN(2)/25)*BQ64+(1-EXP(-LN(2)/25))/(LN(2)/25)*Calculateur!BL65*Calculateur!BN65*VLOOKUP('Données projet'!$B$11,Paramètres!$A$1:$I$89,3,0)*0.475*44/12</f>
        <v>2.6846633539496829</v>
      </c>
      <c r="BR65" s="23">
        <f>EXP(-LN(2)/2)*BR64+(1-EXP(-LN(2)/2))/(LN(2)/2)*BL65*BO65*VLOOKUP('Données projet'!$B$11,Paramètres!$A$1:$I$89,3,0)*0.475*44/12</f>
        <v>2.6959159167304835E-4</v>
      </c>
      <c r="BS65" s="24">
        <f t="shared" si="9"/>
        <v>6.2292217053264931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2">
        <f t="shared" si="32"/>
        <v>16.157913987449295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70">
        <f t="shared" si="1"/>
        <v>382.37583686147428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3.4</v>
      </c>
      <c r="N66" s="14">
        <f>IF('Données projet'!$A$36&gt;35,N65+M66-V65,IF(A66&lt;'Données projet'!$A$36,$K$205^A66,IF(A66='Données projet'!$A$36,'Données projet'!$B$36,N65+M66-V65)))</f>
        <v>153.20000000000022</v>
      </c>
      <c r="O66" s="14">
        <f>N66*VLOOKUP('Données projet'!$B$9,Paramètres!$A$1:$I$89,3,0)*VLOOKUP('Données projet'!$B$9,Paramètres!$A$1:$I$89,5,0)</f>
        <v>133.8355200000002</v>
      </c>
      <c r="P66" s="14">
        <f t="shared" si="33"/>
        <v>34.881129989958623</v>
      </c>
      <c r="Q66" s="22">
        <f t="shared" si="53"/>
        <v>293.84816539917824</v>
      </c>
      <c r="R66" s="62">
        <f t="shared" si="0"/>
        <v>587.1814987325115</v>
      </c>
      <c r="S66" s="62">
        <f ca="1">AVERAGE(OFFSET($R$3,0,0,'Données projet'!$E$9+1,1))-AVERAGE(OFFSET($H$3,0,0,'Données projet'!$E$9+1,1))</f>
        <v>149.01553333688895</v>
      </c>
      <c r="T66" s="62">
        <f t="shared" si="34"/>
        <v>180.75293059562205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2.104246097582042E-4</v>
      </c>
      <c r="AC66" s="24">
        <f t="shared" si="3"/>
        <v>2.104246097582042E-4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6</v>
      </c>
      <c r="AI66" s="14">
        <f>IF('Données projet'!$A$62&gt;35,AI65+AH66-AQ65,IF(A66&lt;'Données projet'!$A$62,$AF$205^A66,IF(A66='Données projet'!$A$62,'Données projet'!$B$62,AI65+AH66-AQ65)))</f>
        <v>343.99999999999972</v>
      </c>
      <c r="AJ66" s="14">
        <f>AI66*VLOOKUP('Données projet'!$B$10,Paramètres!$A$1:$I$89,3,0)*VLOOKUP('Données projet'!$B$10,Paramètres!$A$1:$I$89,5,0)</f>
        <v>252.2207999999998</v>
      </c>
      <c r="AK66" s="14">
        <f t="shared" si="35"/>
        <v>61.061246695931573</v>
      </c>
      <c r="AL66" s="22">
        <f t="shared" si="4"/>
        <v>545.63289799541383</v>
      </c>
      <c r="AM66" s="62">
        <f t="shared" si="5"/>
        <v>838.9662313287472</v>
      </c>
      <c r="AN66" s="62">
        <f ca="1">AVERAGE(OFFSET($AM$3,0,0,'Données projet'!$E$10+1,1))-AVERAGE(OFFSET($H$3,0,0,'Données projet'!$E$10+1,1))</f>
        <v>296.15681058372093</v>
      </c>
      <c r="AO66" s="62">
        <f t="shared" si="36"/>
        <v>304.69148609083879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2.1848106700129621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2.1848106700129621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-1.1368683772161603E-13</v>
      </c>
      <c r="BE66" s="14">
        <f>BD66*VLOOKUP('Données projet'!$B$11,Paramètres!$A$1:$I$89,3,0)*VLOOKUP('Données projet'!$B$11,Paramètres!$A$1:$I$89,5,0)</f>
        <v>-6.2073013396002357E-14</v>
      </c>
      <c r="BF66" s="14" t="e">
        <f t="shared" si="37"/>
        <v>#NUM!</v>
      </c>
      <c r="BG66" s="22" t="e">
        <f t="shared" si="7"/>
        <v>#NUM!</v>
      </c>
      <c r="BH66" s="62" t="e">
        <f t="shared" si="8"/>
        <v>#NUM!</v>
      </c>
      <c r="BI66" s="62">
        <f ca="1">AVERAGE(OFFSET($BH$3,0,0,'Données projet'!$E$11+1,1))-AVERAGE(OFFSET($H$3,0,0,'Données projet'!$E$11+1,1))</f>
        <v>198.95219623447554</v>
      </c>
      <c r="BJ66" s="62">
        <f t="shared" si="38"/>
        <v>299.68918988634471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3.4747874190084342</v>
      </c>
      <c r="BQ66" s="23">
        <f>EXP(-LN(2)/25)*BQ65+(1-EXP(-LN(2)/25))/(LN(2)/25)*Calculateur!BL66*Calculateur!BN66*VLOOKUP('Données projet'!$B$11,Paramètres!$A$1:$I$89,3,0)*0.475*44/12</f>
        <v>2.611251093355619</v>
      </c>
      <c r="BR66" s="23">
        <f>EXP(-LN(2)/2)*BR65+(1-EXP(-LN(2)/2))/(LN(2)/2)*BL66*BO66*VLOOKUP('Données projet'!$B$11,Paramètres!$A$1:$I$89,3,0)*0.475*44/12</f>
        <v>1.9063004262288727E-4</v>
      </c>
      <c r="BS66" s="24">
        <f t="shared" si="9"/>
        <v>6.086229142406677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2">
        <f t="shared" si="32"/>
        <v>16.384327014561212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70">
        <f t="shared" si="1"/>
        <v>384.31886288369424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3.4</v>
      </c>
      <c r="N67" s="14">
        <f>IF('Données projet'!$A$36&gt;35,N66+M67-V66,IF(A67&lt;'Données projet'!$A$36,$K$205^A67,IF(A67='Données projet'!$A$36,'Données projet'!$B$36,N66+M67-V66)))</f>
        <v>156.60000000000022</v>
      </c>
      <c r="O67" s="14">
        <f>N67*VLOOKUP('Données projet'!$B$9,Paramètres!$A$1:$I$89,3,0)*VLOOKUP('Données projet'!$B$9,Paramètres!$A$1:$I$89,5,0)</f>
        <v>136.80576000000019</v>
      </c>
      <c r="P67" s="14">
        <f t="shared" si="33"/>
        <v>35.56426992299734</v>
      </c>
      <c r="Q67" s="22">
        <f t="shared" ref="Q67:Q98" si="54">(O67+P67)*0.475*44/12</f>
        <v>300.21113544922065</v>
      </c>
      <c r="R67" s="62">
        <f t="shared" ref="R67:R130" si="55">Q67+(I67+J67)*44/12</f>
        <v>593.54446878255396</v>
      </c>
      <c r="S67" s="62">
        <f ca="1">AVERAGE(OFFSET($R$3,0,0,'Données projet'!$E$9+1,1))-AVERAGE(OFFSET($H$3,0,0,'Données projet'!$E$9+1,1))</f>
        <v>149.01553333688895</v>
      </c>
      <c r="T67" s="62">
        <f t="shared" si="34"/>
        <v>180.75293059562205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1.4879266848855915E-4</v>
      </c>
      <c r="AC67" s="24">
        <f t="shared" si="3"/>
        <v>1.4879266848855915E-4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6</v>
      </c>
      <c r="AI67" s="14">
        <f>IF('Données projet'!$A$62&gt;35,AI66+AH67-AQ66,IF(A67&lt;'Données projet'!$A$62,$AF$205^A67,IF(A67='Données projet'!$A$62,'Données projet'!$B$62,AI66+AH67-AQ66)))</f>
        <v>349.99999999999972</v>
      </c>
      <c r="AJ67" s="14">
        <f>AI67*VLOOKUP('Données projet'!$B$10,Paramètres!$A$1:$I$89,3,0)*VLOOKUP('Données projet'!$B$10,Paramètres!$A$1:$I$89,5,0)</f>
        <v>256.61999999999978</v>
      </c>
      <c r="AK67" s="14">
        <f t="shared" si="35"/>
        <v>62.001350774926514</v>
      </c>
      <c r="AL67" s="22">
        <f t="shared" si="4"/>
        <v>554.9321859329965</v>
      </c>
      <c r="AM67" s="62">
        <f t="shared" si="5"/>
        <v>848.26551926632987</v>
      </c>
      <c r="AN67" s="62">
        <f ca="1">AVERAGE(OFFSET($AM$3,0,0,'Données projet'!$E$10+1,1))-AVERAGE(OFFSET($H$3,0,0,'Données projet'!$E$10+1,1))</f>
        <v>296.15681058372093</v>
      </c>
      <c r="AO67" s="62">
        <f t="shared" si="36"/>
        <v>304.69148609083879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2.1250669073472581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2.1250669073472581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-1.1368683772161603E-13</v>
      </c>
      <c r="BE67" s="14">
        <f>BD67*VLOOKUP('Données projet'!$B$11,Paramètres!$A$1:$I$89,3,0)*VLOOKUP('Données projet'!$B$11,Paramètres!$A$1:$I$89,5,0)</f>
        <v>-6.2073013396002357E-14</v>
      </c>
      <c r="BF67" s="14" t="e">
        <f t="shared" si="37"/>
        <v>#NUM!</v>
      </c>
      <c r="BG67" s="22" t="e">
        <f t="shared" si="7"/>
        <v>#NUM!</v>
      </c>
      <c r="BH67" s="62" t="e">
        <f t="shared" si="8"/>
        <v>#NUM!</v>
      </c>
      <c r="BI67" s="62">
        <f ca="1">AVERAGE(OFFSET($BH$3,0,0,'Données projet'!$E$11+1,1))-AVERAGE(OFFSET($H$3,0,0,'Données projet'!$E$11+1,1))</f>
        <v>198.95219623447554</v>
      </c>
      <c r="BJ67" s="62">
        <f t="shared" si="38"/>
        <v>299.68918988634471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3.4066489571327301</v>
      </c>
      <c r="BQ67" s="23">
        <f>EXP(-LN(2)/25)*BQ66+(1-EXP(-LN(2)/25))/(LN(2)/25)*Calculateur!BL67*Calculateur!BN67*VLOOKUP('Données projet'!$B$11,Paramètres!$A$1:$I$89,3,0)*0.475*44/12</f>
        <v>2.5398462948880827</v>
      </c>
      <c r="BR67" s="23">
        <f>EXP(-LN(2)/2)*BR66+(1-EXP(-LN(2)/2))/(LN(2)/2)*BL67*BO67*VLOOKUP('Données projet'!$B$11,Paramètres!$A$1:$I$89,3,0)*0.475*44/12</f>
        <v>1.3479579583652418E-4</v>
      </c>
      <c r="BS67" s="24">
        <f t="shared" si="9"/>
        <v>5.9466300478166492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2">
        <f t="shared" si="32"/>
        <v>16.610328609523005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70">
        <f t="shared" ref="H68:H131" si="56">(B68+E68+F68)*44/12+(C68+D68)*0.475*44/12</f>
        <v>386.26117232825266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160</v>
      </c>
      <c r="L68" s="13">
        <f>VLOOKUP(A68,'Données projet'!$A$35:$I$55,9,0)</f>
        <v>3.4</v>
      </c>
      <c r="M68" s="13">
        <f t="array" ref="M68">INDEX(L:L,MIN(IF(ISNUMBER(L68:L264),ROW(L68:L264),"")))</f>
        <v>3.4</v>
      </c>
      <c r="N68" s="14">
        <f>IF('Données projet'!$A$36&gt;35,N67+M68-V67,IF(A68&lt;'Données projet'!$A$36,$K$205^A68,IF(A68='Données projet'!$A$36,'Données projet'!$B$36,N67+M68-V67)))</f>
        <v>160.00000000000023</v>
      </c>
      <c r="O68" s="14">
        <f>N68*VLOOKUP('Données projet'!$B$9,Paramètres!$A$1:$I$89,3,0)*VLOOKUP('Données projet'!$B$9,Paramètres!$A$1:$I$89,5,0)</f>
        <v>139.77600000000021</v>
      </c>
      <c r="P68" s="14">
        <f t="shared" si="33"/>
        <v>36.245685459195357</v>
      </c>
      <c r="Q68" s="22">
        <f t="shared" si="54"/>
        <v>306.5711021747656</v>
      </c>
      <c r="R68" s="62">
        <f t="shared" si="55"/>
        <v>599.90443550809891</v>
      </c>
      <c r="S68" s="62">
        <f ca="1">AVERAGE(OFFSET($R$3,0,0,'Données projet'!$E$9+1,1))-AVERAGE(OFFSET($H$3,0,0,'Données projet'!$E$9+1,1))</f>
        <v>149.01553333688895</v>
      </c>
      <c r="T68" s="62">
        <f t="shared" si="34"/>
        <v>180.75293059562205</v>
      </c>
      <c r="U68" s="16">
        <f>IF(ISNA(VLOOKUP(A68,'Données projet'!$A$35:$I$55,3,0)),0,VLOOKUP(A68,'Données projet'!$A$35:$I$55,3,0))</f>
        <v>10</v>
      </c>
      <c r="V68" s="16">
        <f>IF(ISNA(VLOOKUP(A68,'Données projet'!$A$35:$I$55,4,0)),0,VLOOKUP(A68,'Données projet'!$A$35:$I$55,4,0))</f>
        <v>11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1.052123048791021E-4</v>
      </c>
      <c r="AC68" s="24">
        <f t="shared" ref="AC68:AC131" si="57">SUM(Z68:AB68)</f>
        <v>1.052123048791021E-4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356</v>
      </c>
      <c r="AG68" s="13">
        <f>VLOOKUP(A68,'Données projet'!$A$61:$I$81,9,0)</f>
        <v>6</v>
      </c>
      <c r="AH68" s="13">
        <f t="array" ref="AH68">INDEX(AG:AG,MIN(IF(ISNUMBER(AG68:AG264),ROW(AG68:AG264),"")))</f>
        <v>6</v>
      </c>
      <c r="AI68" s="14">
        <f>IF('Données projet'!$A$62&gt;35,AI67+AH68-AQ67,IF(A68&lt;'Données projet'!$A$62,$AF$205^A68,IF(A68='Données projet'!$A$62,'Données projet'!$B$62,AI67+AH68-AQ67)))</f>
        <v>355.99999999999972</v>
      </c>
      <c r="AJ68" s="14">
        <f>AI68*VLOOKUP('Données projet'!$B$10,Paramètres!$A$1:$I$89,3,0)*VLOOKUP('Données projet'!$B$10,Paramètres!$A$1:$I$89,5,0)</f>
        <v>261.01919999999978</v>
      </c>
      <c r="AK68" s="14">
        <f t="shared" si="35"/>
        <v>62.939580716713571</v>
      </c>
      <c r="AL68" s="22">
        <f t="shared" ref="AL68:AL131" si="58">(AJ68+AK68)*0.475*44/12</f>
        <v>564.22820974827573</v>
      </c>
      <c r="AM68" s="62">
        <f t="shared" ref="AM68:AM131" si="59">AL68+(AD68+AE68)*44/12</f>
        <v>857.56154308160899</v>
      </c>
      <c r="AN68" s="62">
        <f ca="1">AVERAGE(OFFSET($AM$3,0,0,'Données projet'!$E$10+1,1))-AVERAGE(OFFSET($H$3,0,0,'Données projet'!$E$10+1,1))</f>
        <v>296.15681058372093</v>
      </c>
      <c r="AO68" s="62">
        <f t="shared" si="36"/>
        <v>304.69148609083879</v>
      </c>
      <c r="AP68" s="16">
        <f>IF(ISNA(VLOOKUP(A68,'Données projet'!$A$61:$I$81,3,0)),0,VLOOKUP(A68,'Données projet'!$A$61:$I$81,3,0))</f>
        <v>12</v>
      </c>
      <c r="AQ68" s="16">
        <f>IF(ISNA(VLOOKUP(A68,'Données projet'!$A$61:$I$81,4,0)),0,VLOOKUP(A68,'Données projet'!$A$61:$I$81,4,0))</f>
        <v>16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2.0669568410134356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2.0669568410134356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-1.1368683772161603E-13</v>
      </c>
      <c r="BE68" s="14">
        <f>BD68*VLOOKUP('Données projet'!$B$11,Paramètres!$A$1:$I$89,3,0)*VLOOKUP('Données projet'!$B$11,Paramètres!$A$1:$I$89,5,0)</f>
        <v>-6.2073013396002357E-14</v>
      </c>
      <c r="BF68" s="14" t="e">
        <f t="shared" si="37"/>
        <v>#NUM!</v>
      </c>
      <c r="BG68" s="22" t="e">
        <f t="shared" ref="BG68:BG131" si="61">(BE68+BF68)*0.475*44/12</f>
        <v>#NUM!</v>
      </c>
      <c r="BH68" s="62" t="e">
        <f t="shared" ref="BH68:BH131" si="62">BG68+(AY68+AZ68)*44/12</f>
        <v>#NUM!</v>
      </c>
      <c r="BI68" s="62">
        <f ca="1">AVERAGE(OFFSET($BH$3,0,0,'Données projet'!$E$11+1,1))-AVERAGE(OFFSET($H$3,0,0,'Données projet'!$E$11+1,1))</f>
        <v>198.95219623447554</v>
      </c>
      <c r="BJ68" s="62">
        <f t="shared" si="38"/>
        <v>299.68918988634471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3.3398466489340506</v>
      </c>
      <c r="BQ68" s="23">
        <f>EXP(-LN(2)/25)*BQ67+(1-EXP(-LN(2)/25))/(LN(2)/25)*Calculateur!BL68*Calculateur!BN68*VLOOKUP('Données projet'!$B$11,Paramètres!$A$1:$I$89,3,0)*0.475*44/12</f>
        <v>2.4703940643896565</v>
      </c>
      <c r="BR68" s="23">
        <f>EXP(-LN(2)/2)*BR67+(1-EXP(-LN(2)/2))/(LN(2)/2)*BL68*BO68*VLOOKUP('Données projet'!$B$11,Paramètres!$A$1:$I$89,3,0)*0.475*44/12</f>
        <v>9.5315021311443636E-5</v>
      </c>
      <c r="BS68" s="24">
        <f t="shared" ref="BS68:BS131" si="63">SUM(BP68:BR68)</f>
        <v>5.8103360283450183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2">
        <f t="shared" ref="D69:D132" si="86">IFERROR(EXP(-1.0587+0.8836*LN(C69)+0.284),0)</f>
        <v>16.835925833077553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70">
        <f t="shared" si="56"/>
        <v>388.20277749261015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2.8</v>
      </c>
      <c r="N69" s="14">
        <f>IF('Données projet'!$A$36&gt;35,N68+M69-V68,IF(A69&lt;'Données projet'!$A$36,$K$205^A69,IF(A69='Données projet'!$A$36,'Données projet'!$B$36,N68+M69-V68)))</f>
        <v>151.80000000000024</v>
      </c>
      <c r="O69" s="14">
        <f>N69*VLOOKUP('Données projet'!$B$9,Paramètres!$A$1:$I$89,3,0)*VLOOKUP('Données projet'!$B$9,Paramètres!$A$1:$I$89,5,0)</f>
        <v>132.61248000000023</v>
      </c>
      <c r="P69" s="14">
        <f t="shared" ref="P69:P132" si="87">EXP(-1.0587+0.8836*LN(O69)+0.284)</f>
        <v>34.599325938965521</v>
      </c>
      <c r="Q69" s="22">
        <f t="shared" si="54"/>
        <v>291.22722867703203</v>
      </c>
      <c r="R69" s="62">
        <f t="shared" si="55"/>
        <v>584.5605620103654</v>
      </c>
      <c r="S69" s="62">
        <f ca="1">AVERAGE(OFFSET($R$3,0,0,'Données projet'!$E$9+1,1))-AVERAGE(OFFSET($H$3,0,0,'Données projet'!$E$9+1,1))</f>
        <v>149.01553333688895</v>
      </c>
      <c r="T69" s="62">
        <f t="shared" ref="T69:T132" si="88">$T$3</f>
        <v>180.75293059562205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7.4396334244279576E-5</v>
      </c>
      <c r="AC69" s="24">
        <f t="shared" si="57"/>
        <v>7.4396334244279576E-5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5.2</v>
      </c>
      <c r="AI69" s="14">
        <f>IF('Données projet'!$A$62&gt;35,AI68+AH69-AQ68,IF(A69&lt;'Données projet'!$A$62,$AF$205^A69,IF(A69='Données projet'!$A$62,'Données projet'!$B$62,AI68+AH69-AQ68)))</f>
        <v>345.1999999999997</v>
      </c>
      <c r="AJ69" s="14">
        <f>AI69*VLOOKUP('Données projet'!$B$10,Paramètres!$A$1:$I$89,3,0)*VLOOKUP('Données projet'!$B$10,Paramètres!$A$1:$I$89,5,0)</f>
        <v>253.1006399999998</v>
      </c>
      <c r="AK69" s="14">
        <f t="shared" ref="AK69:AK132" si="89">EXP(-1.0587+0.8836*LN(AJ69)+0.284)</f>
        <v>61.249419177028884</v>
      </c>
      <c r="AL69" s="22">
        <f t="shared" si="58"/>
        <v>547.4930197333249</v>
      </c>
      <c r="AM69" s="62">
        <f t="shared" si="59"/>
        <v>840.82635306665816</v>
      </c>
      <c r="AN69" s="62">
        <f ca="1">AVERAGE(OFFSET($AM$3,0,0,'Données projet'!$E$10+1,1))-AVERAGE(OFFSET($H$3,0,0,'Données projet'!$E$10+1,1))</f>
        <v>296.15681058372093</v>
      </c>
      <c r="AO69" s="62">
        <f t="shared" ref="AO69:AO132" si="90">$AO$3</f>
        <v>304.69148609083879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2.0104357974993872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2.0104357974993872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-1.1368683772161603E-13</v>
      </c>
      <c r="BE69" s="14">
        <f>BD69*VLOOKUP('Données projet'!$B$11,Paramètres!$A$1:$I$89,3,0)*VLOOKUP('Données projet'!$B$11,Paramètres!$A$1:$I$89,5,0)</f>
        <v>-6.2073013396002357E-14</v>
      </c>
      <c r="BF69" s="14" t="e">
        <f t="shared" ref="BF69:BF132" si="91">EXP(-1.0587+0.8836*LN(BE69)+0.284)</f>
        <v>#NUM!</v>
      </c>
      <c r="BG69" s="22" t="e">
        <f t="shared" si="61"/>
        <v>#NUM!</v>
      </c>
      <c r="BH69" s="62" t="e">
        <f t="shared" si="62"/>
        <v>#NUM!</v>
      </c>
      <c r="BI69" s="62">
        <f ca="1">AVERAGE(OFFSET($BH$3,0,0,'Données projet'!$E$11+1,1))-AVERAGE(OFFSET($H$3,0,0,'Données projet'!$E$11+1,1))</f>
        <v>198.95219623447554</v>
      </c>
      <c r="BJ69" s="62">
        <f t="shared" ref="BJ69:BJ132" si="92">$BJ$3</f>
        <v>299.68918988634471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3.2743542932537624</v>
      </c>
      <c r="BQ69" s="23">
        <f>EXP(-LN(2)/25)*BQ68+(1-EXP(-LN(2)/25))/(LN(2)/25)*Calculateur!BL69*Calculateur!BN69*VLOOKUP('Données projet'!$B$11,Paramètres!$A$1:$I$89,3,0)*0.475*44/12</f>
        <v>2.4028410087865435</v>
      </c>
      <c r="BR69" s="23">
        <f>EXP(-LN(2)/2)*BR68+(1-EXP(-LN(2)/2))/(LN(2)/2)*BL69*BO69*VLOOKUP('Données projet'!$B$11,Paramètres!$A$1:$I$89,3,0)*0.475*44/12</f>
        <v>6.7397897918262088E-5</v>
      </c>
      <c r="BS69" s="24">
        <f t="shared" si="63"/>
        <v>5.6772626999382245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2">
        <f t="shared" si="86"/>
        <v>17.061125519726964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70">
        <f t="shared" si="56"/>
        <v>390.14369028019127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2.8</v>
      </c>
      <c r="N70" s="14">
        <f>IF('Données projet'!$A$36&gt;35,N69+M70-V69,IF(A70&lt;'Données projet'!$A$36,$K$205^A70,IF(A70='Données projet'!$A$36,'Données projet'!$B$36,N69+M70-V69)))</f>
        <v>154.60000000000025</v>
      </c>
      <c r="O70" s="14">
        <f>N70*VLOOKUP('Données projet'!$B$9,Paramètres!$A$1:$I$89,3,0)*VLOOKUP('Données projet'!$B$9,Paramètres!$A$1:$I$89,5,0)</f>
        <v>135.05856000000023</v>
      </c>
      <c r="P70" s="14">
        <f t="shared" si="87"/>
        <v>35.162634438808944</v>
      </c>
      <c r="Q70" s="22">
        <f t="shared" si="54"/>
        <v>296.46858031425933</v>
      </c>
      <c r="R70" s="62">
        <f t="shared" si="55"/>
        <v>589.80191364759264</v>
      </c>
      <c r="S70" s="62">
        <f ca="1">AVERAGE(OFFSET($R$3,0,0,'Données projet'!$E$9+1,1))-AVERAGE(OFFSET($H$3,0,0,'Données projet'!$E$9+1,1))</f>
        <v>149.01553333688895</v>
      </c>
      <c r="T70" s="62">
        <f t="shared" si="88"/>
        <v>180.75293059562205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5.2606152439551051E-5</v>
      </c>
      <c r="AC70" s="24">
        <f t="shared" si="57"/>
        <v>5.2606152439551051E-5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5.2</v>
      </c>
      <c r="AI70" s="14">
        <f>IF('Données projet'!$A$62&gt;35,AI69+AH70-AQ69,IF(A70&lt;'Données projet'!$A$62,$AF$205^A70,IF(A70='Données projet'!$A$62,'Données projet'!$B$62,AI69+AH70-AQ69)))</f>
        <v>350.39999999999969</v>
      </c>
      <c r="AJ70" s="14">
        <f>AI70*VLOOKUP('Données projet'!$B$10,Paramètres!$A$1:$I$89,3,0)*VLOOKUP('Données projet'!$B$10,Paramètres!$A$1:$I$89,5,0)</f>
        <v>256.91327999999976</v>
      </c>
      <c r="AK70" s="14">
        <f t="shared" si="89"/>
        <v>62.063957347667916</v>
      </c>
      <c r="AL70" s="22">
        <f t="shared" si="58"/>
        <v>555.55202171385451</v>
      </c>
      <c r="AM70" s="62">
        <f t="shared" si="59"/>
        <v>848.88535504718789</v>
      </c>
      <c r="AN70" s="62">
        <f ca="1">AVERAGE(OFFSET($AM$3,0,0,'Données projet'!$E$10+1,1))-AVERAGE(OFFSET($H$3,0,0,'Données projet'!$E$10+1,1))</f>
        <v>296.15681058372093</v>
      </c>
      <c r="AO70" s="62">
        <f t="shared" si="90"/>
        <v>304.69148609083879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1.9554603248925428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1.9554603248925428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-1.1368683772161603E-13</v>
      </c>
      <c r="BE70" s="14">
        <f>BD70*VLOOKUP('Données projet'!$B$11,Paramètres!$A$1:$I$89,3,0)*VLOOKUP('Données projet'!$B$11,Paramètres!$A$1:$I$89,5,0)</f>
        <v>-6.2073013396002357E-14</v>
      </c>
      <c r="BF70" s="14" t="e">
        <f t="shared" si="91"/>
        <v>#NUM!</v>
      </c>
      <c r="BG70" s="22" t="e">
        <f t="shared" si="61"/>
        <v>#NUM!</v>
      </c>
      <c r="BH70" s="62" t="e">
        <f t="shared" si="62"/>
        <v>#NUM!</v>
      </c>
      <c r="BI70" s="62">
        <f ca="1">AVERAGE(OFFSET($BH$3,0,0,'Données projet'!$E$11+1,1))-AVERAGE(OFFSET($H$3,0,0,'Données projet'!$E$11+1,1))</f>
        <v>198.95219623447554</v>
      </c>
      <c r="BJ70" s="62">
        <f t="shared" si="92"/>
        <v>299.68918988634471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3.210146202721972</v>
      </c>
      <c r="BQ70" s="23">
        <f>EXP(-LN(2)/25)*BQ69+(1-EXP(-LN(2)/25))/(LN(2)/25)*Calculateur!BL70*Calculateur!BN70*VLOOKUP('Données projet'!$B$11,Paramètres!$A$1:$I$89,3,0)*0.475*44/12</f>
        <v>2.3371351950413586</v>
      </c>
      <c r="BR70" s="23">
        <f>EXP(-LN(2)/2)*BR69+(1-EXP(-LN(2)/2))/(LN(2)/2)*BL70*BO70*VLOOKUP('Données projet'!$B$11,Paramètres!$A$1:$I$89,3,0)*0.475*44/12</f>
        <v>4.7657510655721818E-5</v>
      </c>
      <c r="BS70" s="24">
        <f t="shared" si="63"/>
        <v>5.5473290552739867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2">
        <f t="shared" si="86"/>
        <v>17.285934288248221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70">
        <f t="shared" si="56"/>
        <v>392.08392221869906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2.8</v>
      </c>
      <c r="N71" s="14">
        <f>IF('Données projet'!$A$36&gt;35,N70+M71-V70,IF(A71&lt;'Données projet'!$A$36,$K$205^A71,IF(A71='Données projet'!$A$36,'Données projet'!$B$36,N70+M71-V70)))</f>
        <v>157.40000000000026</v>
      </c>
      <c r="O71" s="14">
        <f>N71*VLOOKUP('Données projet'!$B$9,Paramètres!$A$1:$I$89,3,0)*VLOOKUP('Données projet'!$B$9,Paramètres!$A$1:$I$89,5,0)</f>
        <v>137.50464000000025</v>
      </c>
      <c r="P71" s="14">
        <f t="shared" si="87"/>
        <v>35.724756582112391</v>
      </c>
      <c r="Q71" s="22">
        <f t="shared" si="54"/>
        <v>301.70786571384616</v>
      </c>
      <c r="R71" s="62">
        <f t="shared" si="55"/>
        <v>595.04119904717948</v>
      </c>
      <c r="S71" s="62">
        <f ca="1">AVERAGE(OFFSET($R$3,0,0,'Données projet'!$E$9+1,1))-AVERAGE(OFFSET($H$3,0,0,'Données projet'!$E$9+1,1))</f>
        <v>149.01553333688895</v>
      </c>
      <c r="T71" s="62">
        <f t="shared" si="88"/>
        <v>180.75293059562205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3.7198167122139788E-5</v>
      </c>
      <c r="AC71" s="24">
        <f t="shared" si="57"/>
        <v>3.7198167122139788E-5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5.2</v>
      </c>
      <c r="AI71" s="14">
        <f>IF('Données projet'!$A$62&gt;35,AI70+AH71-AQ70,IF(A71&lt;'Données projet'!$A$62,$AF$205^A71,IF(A71='Données projet'!$A$62,'Données projet'!$B$62,AI70+AH71-AQ70)))</f>
        <v>355.59999999999968</v>
      </c>
      <c r="AJ71" s="14">
        <f>AI71*VLOOKUP('Données projet'!$B$10,Paramètres!$A$1:$I$89,3,0)*VLOOKUP('Données projet'!$B$10,Paramètres!$A$1:$I$89,5,0)</f>
        <v>260.72591999999975</v>
      </c>
      <c r="AK71" s="14">
        <f t="shared" si="89"/>
        <v>62.877089647292053</v>
      </c>
      <c r="AL71" s="22">
        <f t="shared" si="58"/>
        <v>563.60857513569988</v>
      </c>
      <c r="AM71" s="62">
        <f t="shared" si="59"/>
        <v>856.94190846903325</v>
      </c>
      <c r="AN71" s="62">
        <f ca="1">AVERAGE(OFFSET($AM$3,0,0,'Données projet'!$E$10+1,1))-AVERAGE(OFFSET($H$3,0,0,'Données projet'!$E$10+1,1))</f>
        <v>296.15681058372093</v>
      </c>
      <c r="AO71" s="62">
        <f t="shared" si="90"/>
        <v>304.69148609083879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1.9019881594751671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1.9019881594751671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-1.1368683772161603E-13</v>
      </c>
      <c r="BE71" s="14">
        <f>BD71*VLOOKUP('Données projet'!$B$11,Paramètres!$A$1:$I$89,3,0)*VLOOKUP('Données projet'!$B$11,Paramètres!$A$1:$I$89,5,0)</f>
        <v>-6.2073013396002357E-14</v>
      </c>
      <c r="BF71" s="14" t="e">
        <f t="shared" si="91"/>
        <v>#NUM!</v>
      </c>
      <c r="BG71" s="22" t="e">
        <f t="shared" si="61"/>
        <v>#NUM!</v>
      </c>
      <c r="BH71" s="62" t="e">
        <f t="shared" si="62"/>
        <v>#NUM!</v>
      </c>
      <c r="BI71" s="62">
        <f ca="1">AVERAGE(OFFSET($BH$3,0,0,'Données projet'!$E$11+1,1))-AVERAGE(OFFSET($H$3,0,0,'Données projet'!$E$11+1,1))</f>
        <v>198.95219623447554</v>
      </c>
      <c r="BJ71" s="62">
        <f t="shared" si="92"/>
        <v>299.68918988634471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3.1471971936824419</v>
      </c>
      <c r="BQ71" s="23">
        <f>EXP(-LN(2)/25)*BQ70+(1-EXP(-LN(2)/25))/(LN(2)/25)*Calculateur!BL71*Calculateur!BN71*VLOOKUP('Données projet'!$B$11,Paramètres!$A$1:$I$89,3,0)*0.475*44/12</f>
        <v>2.2732261102283542</v>
      </c>
      <c r="BR71" s="23">
        <f>EXP(-LN(2)/2)*BR70+(1-EXP(-LN(2)/2))/(LN(2)/2)*BL71*BO71*VLOOKUP('Données projet'!$B$11,Paramètres!$A$1:$I$89,3,0)*0.475*44/12</f>
        <v>3.3698948959131044E-5</v>
      </c>
      <c r="BS71" s="24">
        <f t="shared" si="63"/>
        <v>5.4204570028597558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2">
        <f t="shared" si="86"/>
        <v>17.510358551572637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70">
        <f t="shared" si="56"/>
        <v>394.02348447732243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2.8</v>
      </c>
      <c r="N72" s="14">
        <f>IF('Données projet'!$A$36&gt;35,N71+M72-V71,IF(A72&lt;'Données projet'!$A$36,$K$205^A72,IF(A72='Données projet'!$A$36,'Données projet'!$B$36,N71+M72-V71)))</f>
        <v>160.20000000000027</v>
      </c>
      <c r="O72" s="14">
        <f>N72*VLOOKUP('Données projet'!$B$9,Paramètres!$A$1:$I$89,3,0)*VLOOKUP('Données projet'!$B$9,Paramètres!$A$1:$I$89,5,0)</f>
        <v>139.95072000000025</v>
      </c>
      <c r="P72" s="14">
        <f t="shared" si="87"/>
        <v>36.285715907711982</v>
      </c>
      <c r="Q72" s="22">
        <f t="shared" si="54"/>
        <v>306.94512587259879</v>
      </c>
      <c r="R72" s="62">
        <f t="shared" si="55"/>
        <v>600.27845920593211</v>
      </c>
      <c r="S72" s="62">
        <f ca="1">AVERAGE(OFFSET($R$3,0,0,'Données projet'!$E$9+1,1))-AVERAGE(OFFSET($H$3,0,0,'Données projet'!$E$9+1,1))</f>
        <v>149.01553333688895</v>
      </c>
      <c r="T72" s="62">
        <f t="shared" si="88"/>
        <v>180.75293059562205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2.6303076219775526E-5</v>
      </c>
      <c r="AC72" s="24">
        <f t="shared" si="57"/>
        <v>2.6303076219775526E-5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5.2</v>
      </c>
      <c r="AI72" s="14">
        <f>IF('Données projet'!$A$62&gt;35,AI71+AH72-AQ71,IF(A72&lt;'Données projet'!$A$62,$AF$205^A72,IF(A72='Données projet'!$A$62,'Données projet'!$B$62,AI71+AH72-AQ71)))</f>
        <v>360.79999999999967</v>
      </c>
      <c r="AJ72" s="14">
        <f>AI72*VLOOKUP('Données projet'!$B$10,Paramètres!$A$1:$I$89,3,0)*VLOOKUP('Données projet'!$B$10,Paramètres!$A$1:$I$89,5,0)</f>
        <v>264.53855999999973</v>
      </c>
      <c r="AK72" s="14">
        <f t="shared" si="89"/>
        <v>63.688839009304033</v>
      </c>
      <c r="AL72" s="22">
        <f t="shared" si="58"/>
        <v>571.66271994120405</v>
      </c>
      <c r="AM72" s="62">
        <f t="shared" si="59"/>
        <v>864.99605327453742</v>
      </c>
      <c r="AN72" s="62">
        <f ca="1">AVERAGE(OFFSET($AM$3,0,0,'Données projet'!$E$10+1,1))-AVERAGE(OFFSET($H$3,0,0,'Données projet'!$E$10+1,1))</f>
        <v>296.15681058372093</v>
      </c>
      <c r="AO72" s="62">
        <f t="shared" si="90"/>
        <v>304.69148609083879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1.8499781932331083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1.8499781932331083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-1.1368683772161603E-13</v>
      </c>
      <c r="BE72" s="14">
        <f>BD72*VLOOKUP('Données projet'!$B$11,Paramètres!$A$1:$I$89,3,0)*VLOOKUP('Données projet'!$B$11,Paramètres!$A$1:$I$89,5,0)</f>
        <v>-6.2073013396002357E-14</v>
      </c>
      <c r="BF72" s="14" t="e">
        <f t="shared" si="91"/>
        <v>#NUM!</v>
      </c>
      <c r="BG72" s="22" t="e">
        <f t="shared" si="61"/>
        <v>#NUM!</v>
      </c>
      <c r="BH72" s="62" t="e">
        <f t="shared" si="62"/>
        <v>#NUM!</v>
      </c>
      <c r="BI72" s="62">
        <f ca="1">AVERAGE(OFFSET($BH$3,0,0,'Données projet'!$E$11+1,1))-AVERAGE(OFFSET($H$3,0,0,'Données projet'!$E$11+1,1))</f>
        <v>198.95219623447554</v>
      </c>
      <c r="BJ72" s="62">
        <f t="shared" si="92"/>
        <v>299.68918988634471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3.0854825763150724</v>
      </c>
      <c r="BQ72" s="23">
        <f>EXP(-LN(2)/25)*BQ71+(1-EXP(-LN(2)/25))/(LN(2)/25)*Calculateur!BL72*Calculateur!BN72*VLOOKUP('Données projet'!$B$11,Paramètres!$A$1:$I$89,3,0)*0.475*44/12</f>
        <v>2.2110646227003943</v>
      </c>
      <c r="BR72" s="23">
        <f>EXP(-LN(2)/2)*BR71+(1-EXP(-LN(2)/2))/(LN(2)/2)*BL72*BO72*VLOOKUP('Données projet'!$B$11,Paramètres!$A$1:$I$89,3,0)*0.475*44/12</f>
        <v>2.3828755327860909E-5</v>
      </c>
      <c r="BS72" s="24">
        <f t="shared" si="63"/>
        <v>5.2965710277707947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2">
        <f t="shared" si="86"/>
        <v>17.734404526076464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70">
        <f t="shared" si="56"/>
        <v>395.96238788291669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163</v>
      </c>
      <c r="L73" s="13">
        <f>VLOOKUP(A73,'Données projet'!$A$35:$I$55,9,0)</f>
        <v>2.8</v>
      </c>
      <c r="M73" s="13">
        <f t="array" ref="M73">INDEX(L:L,MIN(IF(ISNUMBER(L73:L269),ROW(L73:L269),"")))</f>
        <v>2.8</v>
      </c>
      <c r="N73" s="14">
        <f>IF('Données projet'!$A$36&gt;35,N72+M73-V72,IF(A73&lt;'Données projet'!$A$36,$K$205^A73,IF(A73='Données projet'!$A$36,'Données projet'!$B$36,N72+M73-V72)))</f>
        <v>163.00000000000028</v>
      </c>
      <c r="O73" s="14">
        <f>N73*VLOOKUP('Données projet'!$B$9,Paramètres!$A$1:$I$89,3,0)*VLOOKUP('Données projet'!$B$9,Paramètres!$A$1:$I$89,5,0)</f>
        <v>142.39680000000027</v>
      </c>
      <c r="P73" s="14">
        <f t="shared" si="87"/>
        <v>36.845535084477049</v>
      </c>
      <c r="Q73" s="22">
        <f t="shared" si="54"/>
        <v>312.18040027213129</v>
      </c>
      <c r="R73" s="62">
        <f t="shared" si="55"/>
        <v>605.51373360546461</v>
      </c>
      <c r="S73" s="62">
        <f ca="1">AVERAGE(OFFSET($R$3,0,0,'Données projet'!$E$9+1,1))-AVERAGE(OFFSET($H$3,0,0,'Données projet'!$E$9+1,1))</f>
        <v>149.01553333688895</v>
      </c>
      <c r="T73" s="62">
        <f t="shared" si="88"/>
        <v>180.75293059562205</v>
      </c>
      <c r="U73" s="16">
        <f>IF(ISNA(VLOOKUP(A73,'Données projet'!$A$35:$I$55,3,0)),0,VLOOKUP(A73,'Données projet'!$A$35:$I$55,3,0))</f>
        <v>11</v>
      </c>
      <c r="V73" s="16">
        <f>IF(ISNA(VLOOKUP(A73,'Données projet'!$A$35:$I$55,4,0)),0,VLOOKUP(A73,'Données projet'!$A$35:$I$55,4,0))</f>
        <v>10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1.8599083561069894E-5</v>
      </c>
      <c r="AC73" s="24">
        <f t="shared" si="57"/>
        <v>1.8599083561069894E-5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366</v>
      </c>
      <c r="AG73" s="13">
        <f>VLOOKUP(A73,'Données projet'!$A$61:$I$81,9,0)</f>
        <v>5.2</v>
      </c>
      <c r="AH73" s="13">
        <f t="array" ref="AH73">INDEX(AG:AG,MIN(IF(ISNUMBER(AG73:AG269),ROW(AG73:AG269),"")))</f>
        <v>5.2</v>
      </c>
      <c r="AI73" s="14">
        <f>IF('Données projet'!$A$62&gt;35,AI72+AH73-AQ72,IF(A73&lt;'Données projet'!$A$62,$AF$205^A73,IF(A73='Données projet'!$A$62,'Données projet'!$B$62,AI72+AH73-AQ72)))</f>
        <v>365.99999999999966</v>
      </c>
      <c r="AJ73" s="14">
        <f>AI73*VLOOKUP('Données projet'!$B$10,Paramètres!$A$1:$I$89,3,0)*VLOOKUP('Données projet'!$B$10,Paramètres!$A$1:$I$89,5,0)</f>
        <v>268.35119999999978</v>
      </c>
      <c r="AK73" s="14">
        <f t="shared" si="89"/>
        <v>64.499227668096069</v>
      </c>
      <c r="AL73" s="22">
        <f t="shared" si="58"/>
        <v>579.71449485526693</v>
      </c>
      <c r="AM73" s="62">
        <f t="shared" si="59"/>
        <v>873.04782818860031</v>
      </c>
      <c r="AN73" s="62">
        <f ca="1">AVERAGE(OFFSET($AM$3,0,0,'Données projet'!$E$10+1,1))-AVERAGE(OFFSET($H$3,0,0,'Données projet'!$E$10+1,1))</f>
        <v>296.15681058372093</v>
      </c>
      <c r="AO73" s="62">
        <f t="shared" si="90"/>
        <v>304.69148609083879</v>
      </c>
      <c r="AP73" s="16">
        <f>IF(ISNA(VLOOKUP(A73,'Données projet'!$A$61:$I$81,3,0)),0,VLOOKUP(A73,'Données projet'!$A$61:$I$81,3,0))</f>
        <v>13</v>
      </c>
      <c r="AQ73" s="16">
        <f>IF(ISNA(VLOOKUP(A73,'Données projet'!$A$61:$I$81,4,0)),0,VLOOKUP(A73,'Données projet'!$A$61:$I$81,4,0))</f>
        <v>15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1.799390442253024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1.799390442253024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-1.1368683772161603E-13</v>
      </c>
      <c r="BE73" s="14">
        <f>BD73*VLOOKUP('Données projet'!$B$11,Paramètres!$A$1:$I$89,3,0)*VLOOKUP('Données projet'!$B$11,Paramètres!$A$1:$I$89,5,0)</f>
        <v>-6.2073013396002357E-14</v>
      </c>
      <c r="BF73" s="14" t="e">
        <f t="shared" si="91"/>
        <v>#NUM!</v>
      </c>
      <c r="BG73" s="22" t="e">
        <f t="shared" si="61"/>
        <v>#NUM!</v>
      </c>
      <c r="BH73" s="62" t="e">
        <f t="shared" si="62"/>
        <v>#NUM!</v>
      </c>
      <c r="BI73" s="62">
        <f ca="1">AVERAGE(OFFSET($BH$3,0,0,'Données projet'!$E$11+1,1))-AVERAGE(OFFSET($H$3,0,0,'Données projet'!$E$11+1,1))</f>
        <v>198.95219623447554</v>
      </c>
      <c r="BJ73" s="62">
        <f t="shared" si="92"/>
        <v>299.68918988634471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3.0249781449520774</v>
      </c>
      <c r="BQ73" s="23">
        <f>EXP(-LN(2)/25)*BQ72+(1-EXP(-LN(2)/25))/(LN(2)/25)*Calculateur!BL73*Calculateur!BN73*VLOOKUP('Données projet'!$B$11,Paramètres!$A$1:$I$89,3,0)*0.475*44/12</f>
        <v>2.150602944317817</v>
      </c>
      <c r="BR73" s="23">
        <f>EXP(-LN(2)/2)*BR72+(1-EXP(-LN(2)/2))/(LN(2)/2)*BL73*BO73*VLOOKUP('Données projet'!$B$11,Paramètres!$A$1:$I$89,3,0)*0.475*44/12</f>
        <v>1.6849474479565522E-5</v>
      </c>
      <c r="BS73" s="24">
        <f t="shared" si="63"/>
        <v>5.1755979387443736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2">
        <f t="shared" si="86"/>
        <v>17.958078240325332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70">
        <f t="shared" si="56"/>
        <v>397.90064293523346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2.6</v>
      </c>
      <c r="N74" s="14">
        <f>IF('Données projet'!$A$36&gt;35,N73+M74-V73,IF(A74&lt;'Données projet'!$A$36,$K$205^A74,IF(A74='Données projet'!$A$36,'Données projet'!$B$36,N73+M74-V73)))</f>
        <v>155.60000000000028</v>
      </c>
      <c r="O74" s="14">
        <f>N74*VLOOKUP('Données projet'!$B$9,Paramètres!$A$1:$I$89,3,0)*VLOOKUP('Données projet'!$B$9,Paramètres!$A$1:$I$89,5,0)</f>
        <v>135.93216000000027</v>
      </c>
      <c r="P74" s="14">
        <f t="shared" si="87"/>
        <v>35.363527294509744</v>
      </c>
      <c r="Q74" s="22">
        <f t="shared" si="54"/>
        <v>298.33998870460488</v>
      </c>
      <c r="R74" s="62">
        <f t="shared" si="55"/>
        <v>591.67332203793819</v>
      </c>
      <c r="S74" s="62">
        <f ca="1">AVERAGE(OFFSET($R$3,0,0,'Données projet'!$E$9+1,1))-AVERAGE(OFFSET($H$3,0,0,'Données projet'!$E$9+1,1))</f>
        <v>149.01553333688895</v>
      </c>
      <c r="T74" s="62">
        <f t="shared" si="88"/>
        <v>180.75293059562205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1.3151538109887763E-5</v>
      </c>
      <c r="AC74" s="24">
        <f t="shared" si="57"/>
        <v>1.3151538109887763E-5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4.8</v>
      </c>
      <c r="AI74" s="14">
        <f>IF('Données projet'!$A$62&gt;35,AI73+AH74-AQ73,IF(A74&lt;'Données projet'!$A$62,$AF$205^A74,IF(A74='Données projet'!$A$62,'Données projet'!$B$62,AI73+AH74-AQ73)))</f>
        <v>355.79999999999967</v>
      </c>
      <c r="AJ74" s="14">
        <f>AI74*VLOOKUP('Données projet'!$B$10,Paramètres!$A$1:$I$89,3,0)*VLOOKUP('Données projet'!$B$10,Paramètres!$A$1:$I$89,5,0)</f>
        <v>260.87255999999974</v>
      </c>
      <c r="AK74" s="14">
        <f t="shared" si="89"/>
        <v>62.908336204200786</v>
      </c>
      <c r="AL74" s="22">
        <f t="shared" si="58"/>
        <v>563.9183942223159</v>
      </c>
      <c r="AM74" s="62">
        <f t="shared" si="59"/>
        <v>857.25172755564927</v>
      </c>
      <c r="AN74" s="62">
        <f ca="1">AVERAGE(OFFSET($AM$3,0,0,'Données projet'!$E$10+1,1))-AVERAGE(OFFSET($H$3,0,0,'Données projet'!$E$10+1,1))</f>
        <v>296.15681058372093</v>
      </c>
      <c r="AO74" s="62">
        <f t="shared" si="90"/>
        <v>304.69148609083879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1.7501860159837843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1.7501860159837843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-1.1368683772161603E-13</v>
      </c>
      <c r="BE74" s="14">
        <f>BD74*VLOOKUP('Données projet'!$B$11,Paramètres!$A$1:$I$89,3,0)*VLOOKUP('Données projet'!$B$11,Paramètres!$A$1:$I$89,5,0)</f>
        <v>-6.2073013396002357E-14</v>
      </c>
      <c r="BF74" s="14" t="e">
        <f t="shared" si="91"/>
        <v>#NUM!</v>
      </c>
      <c r="BG74" s="22" t="e">
        <f t="shared" si="61"/>
        <v>#NUM!</v>
      </c>
      <c r="BH74" s="62" t="e">
        <f t="shared" si="62"/>
        <v>#NUM!</v>
      </c>
      <c r="BI74" s="62">
        <f ca="1">AVERAGE(OFFSET($BH$3,0,0,'Données projet'!$E$11+1,1))-AVERAGE(OFFSET($H$3,0,0,'Données projet'!$E$11+1,1))</f>
        <v>198.95219623447554</v>
      </c>
      <c r="BJ74" s="62">
        <f t="shared" si="92"/>
        <v>299.68918988634471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2.9656601685840518</v>
      </c>
      <c r="BQ74" s="23">
        <f>EXP(-LN(2)/25)*BQ73+(1-EXP(-LN(2)/25))/(LN(2)/25)*Calculateur!BL74*Calculateur!BN74*VLOOKUP('Données projet'!$B$11,Paramètres!$A$1:$I$89,3,0)*0.475*44/12</f>
        <v>2.0917945937101527</v>
      </c>
      <c r="BR74" s="23">
        <f>EXP(-LN(2)/2)*BR73+(1-EXP(-LN(2)/2))/(LN(2)/2)*BL74*BO74*VLOOKUP('Données projet'!$B$11,Paramètres!$A$1:$I$89,3,0)*0.475*44/12</f>
        <v>1.1914377663930454E-5</v>
      </c>
      <c r="BS74" s="24">
        <f t="shared" si="63"/>
        <v>5.0574666766718686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2">
        <f t="shared" si="86"/>
        <v>18.181385543312256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70">
        <f t="shared" si="56"/>
        <v>399.83825982126905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2.6</v>
      </c>
      <c r="N75" s="14">
        <f>IF('Données projet'!$A$36&gt;35,N74+M75-V74,IF(A75&lt;'Données projet'!$A$36,$K$205^A75,IF(A75='Données projet'!$A$36,'Données projet'!$B$36,N74+M75-V74)))</f>
        <v>158.20000000000027</v>
      </c>
      <c r="O75" s="14">
        <f>N75*VLOOKUP('Données projet'!$B$9,Paramètres!$A$1:$I$89,3,0)*VLOOKUP('Données projet'!$B$9,Paramètres!$A$1:$I$89,5,0)</f>
        <v>138.20352000000025</v>
      </c>
      <c r="P75" s="14">
        <f t="shared" si="87"/>
        <v>35.885148322765353</v>
      </c>
      <c r="Q75" s="22">
        <f t="shared" si="54"/>
        <v>303.20443066215006</v>
      </c>
      <c r="R75" s="62">
        <f t="shared" si="55"/>
        <v>596.53776399548337</v>
      </c>
      <c r="S75" s="62">
        <f ca="1">AVERAGE(OFFSET($R$3,0,0,'Données projet'!$E$9+1,1))-AVERAGE(OFFSET($H$3,0,0,'Données projet'!$E$9+1,1))</f>
        <v>149.01553333688895</v>
      </c>
      <c r="T75" s="62">
        <f t="shared" si="88"/>
        <v>180.75293059562205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9.2995417805349471E-6</v>
      </c>
      <c r="AC75" s="24">
        <f t="shared" si="57"/>
        <v>9.2995417805349471E-6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4.8</v>
      </c>
      <c r="AI75" s="14">
        <f>IF('Données projet'!$A$62&gt;35,AI74+AH75-AQ74,IF(A75&lt;'Données projet'!$A$62,$AF$205^A75,IF(A75='Données projet'!$A$62,'Données projet'!$B$62,AI74+AH75-AQ74)))</f>
        <v>360.59999999999968</v>
      </c>
      <c r="AJ75" s="14">
        <f>AI75*VLOOKUP('Données projet'!$B$10,Paramètres!$A$1:$I$89,3,0)*VLOOKUP('Données projet'!$B$10,Paramètres!$A$1:$I$89,5,0)</f>
        <v>264.39191999999974</v>
      </c>
      <c r="AK75" s="14">
        <f t="shared" si="89"/>
        <v>63.657643181110089</v>
      </c>
      <c r="AL75" s="22">
        <f t="shared" si="58"/>
        <v>571.35298920709954</v>
      </c>
      <c r="AM75" s="62">
        <f t="shared" si="59"/>
        <v>864.68632254043291</v>
      </c>
      <c r="AN75" s="62">
        <f ca="1">AVERAGE(OFFSET($AM$3,0,0,'Données projet'!$E$10+1,1))-AVERAGE(OFFSET($H$3,0,0,'Données projet'!$E$10+1,1))</f>
        <v>296.15681058372093</v>
      </c>
      <c r="AO75" s="62">
        <f t="shared" si="90"/>
        <v>304.69148609083879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1.7023270873384253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1.7023270873384253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-1.1368683772161603E-13</v>
      </c>
      <c r="BE75" s="14">
        <f>BD75*VLOOKUP('Données projet'!$B$11,Paramètres!$A$1:$I$89,3,0)*VLOOKUP('Données projet'!$B$11,Paramètres!$A$1:$I$89,5,0)</f>
        <v>-6.2073013396002357E-14</v>
      </c>
      <c r="BF75" s="14" t="e">
        <f t="shared" si="91"/>
        <v>#NUM!</v>
      </c>
      <c r="BG75" s="22" t="e">
        <f t="shared" si="61"/>
        <v>#NUM!</v>
      </c>
      <c r="BH75" s="62" t="e">
        <f t="shared" si="62"/>
        <v>#NUM!</v>
      </c>
      <c r="BI75" s="62">
        <f ca="1">AVERAGE(OFFSET($BH$3,0,0,'Données projet'!$E$11+1,1))-AVERAGE(OFFSET($H$3,0,0,'Données projet'!$E$11+1,1))</f>
        <v>198.95219623447554</v>
      </c>
      <c r="BJ75" s="62">
        <f t="shared" si="92"/>
        <v>299.68918988634471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2.9075053815522098</v>
      </c>
      <c r="BQ75" s="23">
        <f>EXP(-LN(2)/25)*BQ74+(1-EXP(-LN(2)/25))/(LN(2)/25)*Calculateur!BL75*Calculateur!BN75*VLOOKUP('Données projet'!$B$11,Paramètres!$A$1:$I$89,3,0)*0.475*44/12</f>
        <v>2.0345943605424517</v>
      </c>
      <c r="BR75" s="23">
        <f>EXP(-LN(2)/2)*BR74+(1-EXP(-LN(2)/2))/(LN(2)/2)*BL75*BO75*VLOOKUP('Données projet'!$B$11,Paramètres!$A$1:$I$89,3,0)*0.475*44/12</f>
        <v>8.424737239782761E-6</v>
      </c>
      <c r="BS75" s="24">
        <f t="shared" si="63"/>
        <v>4.9421081668319014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2">
        <f t="shared" si="86"/>
        <v>18.404332112224722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70">
        <f t="shared" si="56"/>
        <v>401.77524842879154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2.6</v>
      </c>
      <c r="N76" s="14">
        <f>IF('Données projet'!$A$36&gt;35,N75+M76-V75,IF(A76&lt;'Données projet'!$A$36,$K$205^A76,IF(A76='Données projet'!$A$36,'Données projet'!$B$36,N75+M76-V75)))</f>
        <v>160.80000000000027</v>
      </c>
      <c r="O76" s="14">
        <f>N76*VLOOKUP('Données projet'!$B$9,Paramètres!$A$1:$I$89,3,0)*VLOOKUP('Données projet'!$B$9,Paramètres!$A$1:$I$89,5,0)</f>
        <v>140.47488000000024</v>
      </c>
      <c r="P76" s="14">
        <f t="shared" si="87"/>
        <v>36.405772385199718</v>
      </c>
      <c r="Q76" s="22">
        <f t="shared" si="54"/>
        <v>308.06713623755655</v>
      </c>
      <c r="R76" s="62">
        <f t="shared" si="55"/>
        <v>601.40046957088987</v>
      </c>
      <c r="S76" s="62">
        <f ca="1">AVERAGE(OFFSET($R$3,0,0,'Données projet'!$E$9+1,1))-AVERAGE(OFFSET($H$3,0,0,'Données projet'!$E$9+1,1))</f>
        <v>149.01553333688895</v>
      </c>
      <c r="T76" s="62">
        <f t="shared" si="88"/>
        <v>180.75293059562205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6.5757690549438814E-6</v>
      </c>
      <c r="AC76" s="24">
        <f t="shared" si="57"/>
        <v>6.5757690549438814E-6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4.8</v>
      </c>
      <c r="AI76" s="14">
        <f>IF('Données projet'!$A$62&gt;35,AI75+AH76-AQ75,IF(A76&lt;'Données projet'!$A$62,$AF$205^A76,IF(A76='Données projet'!$A$62,'Données projet'!$B$62,AI75+AH76-AQ75)))</f>
        <v>365.39999999999969</v>
      </c>
      <c r="AJ76" s="14">
        <f>AI76*VLOOKUP('Données projet'!$B$10,Paramètres!$A$1:$I$89,3,0)*VLOOKUP('Données projet'!$B$10,Paramètres!$A$1:$I$89,5,0)</f>
        <v>267.91127999999981</v>
      </c>
      <c r="AK76" s="14">
        <f t="shared" si="89"/>
        <v>64.405790031310872</v>
      </c>
      <c r="AL76" s="22">
        <f t="shared" si="58"/>
        <v>578.78556363786606</v>
      </c>
      <c r="AM76" s="62">
        <f t="shared" si="59"/>
        <v>872.11889697119932</v>
      </c>
      <c r="AN76" s="62">
        <f ca="1">AVERAGE(OFFSET($AM$3,0,0,'Données projet'!$E$10+1,1))-AVERAGE(OFFSET($H$3,0,0,'Données projet'!$E$10+1,1))</f>
        <v>296.15681058372093</v>
      </c>
      <c r="AO76" s="62">
        <f t="shared" si="90"/>
        <v>304.69148609083879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1.6557768636136652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1.6557768636136652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-1.1368683772161603E-13</v>
      </c>
      <c r="BE76" s="14">
        <f>BD76*VLOOKUP('Données projet'!$B$11,Paramètres!$A$1:$I$89,3,0)*VLOOKUP('Données projet'!$B$11,Paramètres!$A$1:$I$89,5,0)</f>
        <v>-6.2073013396002357E-14</v>
      </c>
      <c r="BF76" s="14" t="e">
        <f t="shared" si="91"/>
        <v>#NUM!</v>
      </c>
      <c r="BG76" s="22" t="e">
        <f t="shared" si="61"/>
        <v>#NUM!</v>
      </c>
      <c r="BH76" s="62" t="e">
        <f t="shared" si="62"/>
        <v>#NUM!</v>
      </c>
      <c r="BI76" s="62">
        <f ca="1">AVERAGE(OFFSET($BH$3,0,0,'Données projet'!$E$11+1,1))-AVERAGE(OFFSET($H$3,0,0,'Données projet'!$E$11+1,1))</f>
        <v>198.95219623447554</v>
      </c>
      <c r="BJ76" s="62">
        <f t="shared" si="92"/>
        <v>299.68918988634471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2.8504909744231446</v>
      </c>
      <c r="BQ76" s="23">
        <f>EXP(-LN(2)/25)*BQ75+(1-EXP(-LN(2)/25))/(LN(2)/25)*Calculateur!BL76*Calculateur!BN76*VLOOKUP('Données projet'!$B$11,Paramètres!$A$1:$I$89,3,0)*0.475*44/12</f>
        <v>1.978958270758751</v>
      </c>
      <c r="BR76" s="23">
        <f>EXP(-LN(2)/2)*BR75+(1-EXP(-LN(2)/2))/(LN(2)/2)*BL76*BO76*VLOOKUP('Données projet'!$B$11,Paramètres!$A$1:$I$89,3,0)*0.475*44/12</f>
        <v>5.9571888319652272E-6</v>
      </c>
      <c r="BS76" s="24">
        <f t="shared" si="63"/>
        <v>4.8294552023707276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2">
        <f t="shared" si="86"/>
        <v>18.626923459774314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70">
        <f t="shared" si="56"/>
        <v>403.71161835910709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2.6</v>
      </c>
      <c r="N77" s="14">
        <f>IF('Données projet'!$A$36&gt;35,N76+M77-V76,IF(A77&lt;'Données projet'!$A$36,$K$205^A77,IF(A77='Données projet'!$A$36,'Données projet'!$B$36,N76+M77-V76)))</f>
        <v>163.40000000000026</v>
      </c>
      <c r="O77" s="14">
        <f>N77*VLOOKUP('Données projet'!$B$9,Paramètres!$A$1:$I$89,3,0)*VLOOKUP('Données projet'!$B$9,Paramètres!$A$1:$I$89,5,0)</f>
        <v>142.74624000000026</v>
      </c>
      <c r="P77" s="14">
        <f t="shared" si="87"/>
        <v>36.925417462939578</v>
      </c>
      <c r="Q77" s="22">
        <f t="shared" si="54"/>
        <v>312.92813674795354</v>
      </c>
      <c r="R77" s="62">
        <f t="shared" si="55"/>
        <v>606.26147008128692</v>
      </c>
      <c r="S77" s="62">
        <f ca="1">AVERAGE(OFFSET($R$3,0,0,'Données projet'!$E$9+1,1))-AVERAGE(OFFSET($H$3,0,0,'Données projet'!$E$9+1,1))</f>
        <v>149.01553333688895</v>
      </c>
      <c r="T77" s="62">
        <f t="shared" si="88"/>
        <v>180.75293059562205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4.6497708902674735E-6</v>
      </c>
      <c r="AC77" s="24">
        <f t="shared" si="57"/>
        <v>4.6497708902674735E-6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4.8</v>
      </c>
      <c r="AI77" s="14">
        <f>IF('Données projet'!$A$62&gt;35,AI76+AH77-AQ76,IF(A77&lt;'Données projet'!$A$62,$AF$205^A77,IF(A77='Données projet'!$A$62,'Données projet'!$B$62,AI76+AH77-AQ76)))</f>
        <v>370.1999999999997</v>
      </c>
      <c r="AJ77" s="14">
        <f>AI77*VLOOKUP('Données projet'!$B$10,Paramètres!$A$1:$I$89,3,0)*VLOOKUP('Données projet'!$B$10,Paramètres!$A$1:$I$89,5,0)</f>
        <v>271.43063999999981</v>
      </c>
      <c r="AK77" s="14">
        <f t="shared" si="89"/>
        <v>65.152793756453633</v>
      </c>
      <c r="AL77" s="22">
        <f t="shared" si="58"/>
        <v>586.21614712582311</v>
      </c>
      <c r="AM77" s="62">
        <f t="shared" si="59"/>
        <v>879.54948045915648</v>
      </c>
      <c r="AN77" s="62">
        <f ca="1">AVERAGE(OFFSET($AM$3,0,0,'Données projet'!$E$10+1,1))-AVERAGE(OFFSET($H$3,0,0,'Données projet'!$E$10+1,1))</f>
        <v>296.15681058372093</v>
      </c>
      <c r="AO77" s="62">
        <f t="shared" si="90"/>
        <v>304.69148609083879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1.6104995582046286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1.6104995582046286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-1.1368683772161603E-13</v>
      </c>
      <c r="BE77" s="14">
        <f>BD77*VLOOKUP('Données projet'!$B$11,Paramètres!$A$1:$I$89,3,0)*VLOOKUP('Données projet'!$B$11,Paramètres!$A$1:$I$89,5,0)</f>
        <v>-6.2073013396002357E-14</v>
      </c>
      <c r="BF77" s="14" t="e">
        <f t="shared" si="91"/>
        <v>#NUM!</v>
      </c>
      <c r="BG77" s="22" t="e">
        <f t="shared" si="61"/>
        <v>#NUM!</v>
      </c>
      <c r="BH77" s="62" t="e">
        <f t="shared" si="62"/>
        <v>#NUM!</v>
      </c>
      <c r="BI77" s="62">
        <f ca="1">AVERAGE(OFFSET($BH$3,0,0,'Données projet'!$E$11+1,1))-AVERAGE(OFFSET($H$3,0,0,'Données projet'!$E$11+1,1))</f>
        <v>198.95219623447554</v>
      </c>
      <c r="BJ77" s="62">
        <f t="shared" si="92"/>
        <v>299.68918988634471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2.794594585042526</v>
      </c>
      <c r="BQ77" s="23">
        <f>EXP(-LN(2)/25)*BQ76+(1-EXP(-LN(2)/25))/(LN(2)/25)*Calculateur!BL77*Calculateur!BN77*VLOOKUP('Données projet'!$B$11,Paramètres!$A$1:$I$89,3,0)*0.475*44/12</f>
        <v>1.9248435527759604</v>
      </c>
      <c r="BR77" s="23">
        <f>EXP(-LN(2)/2)*BR76+(1-EXP(-LN(2)/2))/(LN(2)/2)*BL77*BO77*VLOOKUP('Données projet'!$B$11,Paramètres!$A$1:$I$89,3,0)*0.475*44/12</f>
        <v>4.2123686198913805E-6</v>
      </c>
      <c r="BS77" s="24">
        <f t="shared" si="63"/>
        <v>4.7194423501871068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2">
        <f t="shared" si="86"/>
        <v>18.849164941118655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70">
        <f t="shared" si="56"/>
        <v>405.64737893911513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166</v>
      </c>
      <c r="L78" s="13">
        <f>VLOOKUP(A78,'Données projet'!$A$35:$I$55,9,0)</f>
        <v>2.6</v>
      </c>
      <c r="M78" s="13">
        <f t="array" ref="M78">INDEX(L:L,MIN(IF(ISNUMBER(L78:L274),ROW(L78:L274),"")))</f>
        <v>2.6</v>
      </c>
      <c r="N78" s="14">
        <f>IF('Données projet'!$A$36&gt;35,N77+M78-V77,IF(A78&lt;'Données projet'!$A$36,$K$205^A78,IF(A78='Données projet'!$A$36,'Données projet'!$B$36,N77+M78-V77)))</f>
        <v>166.00000000000026</v>
      </c>
      <c r="O78" s="14">
        <f>N78*VLOOKUP('Données projet'!$B$9,Paramètres!$A$1:$I$89,3,0)*VLOOKUP('Données projet'!$B$9,Paramètres!$A$1:$I$89,5,0)</f>
        <v>145.01760000000024</v>
      </c>
      <c r="P78" s="14">
        <f t="shared" si="87"/>
        <v>37.444100932065297</v>
      </c>
      <c r="Q78" s="22">
        <f t="shared" si="54"/>
        <v>317.78746245668077</v>
      </c>
      <c r="R78" s="62">
        <f t="shared" si="55"/>
        <v>611.12079579001409</v>
      </c>
      <c r="S78" s="62">
        <f ca="1">AVERAGE(OFFSET($R$3,0,0,'Données projet'!$E$9+1,1))-AVERAGE(OFFSET($H$3,0,0,'Données projet'!$E$9+1,1))</f>
        <v>149.01553333688895</v>
      </c>
      <c r="T78" s="62">
        <f t="shared" si="88"/>
        <v>180.75293059562205</v>
      </c>
      <c r="U78" s="16">
        <f>IF(ISNA(VLOOKUP(A78,'Données projet'!$A$35:$I$55,3,0)),0,VLOOKUP(A78,'Données projet'!$A$35:$I$55,3,0))</f>
        <v>12</v>
      </c>
      <c r="V78" s="16">
        <f>IF(ISNA(VLOOKUP(A78,'Données projet'!$A$35:$I$55,4,0)),0,VLOOKUP(A78,'Données projet'!$A$35:$I$55,4,0))</f>
        <v>9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3.2878845274719407E-6</v>
      </c>
      <c r="AC78" s="24">
        <f t="shared" si="57"/>
        <v>3.2878845274719407E-6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375</v>
      </c>
      <c r="AG78" s="13">
        <f>VLOOKUP(A78,'Données projet'!$A$61:$I$81,9,0)</f>
        <v>4.8</v>
      </c>
      <c r="AH78" s="13">
        <f t="array" ref="AH78">INDEX(AG:AG,MIN(IF(ISNUMBER(AG78:AG274),ROW(AG78:AG274),"")))</f>
        <v>4.8</v>
      </c>
      <c r="AI78" s="14">
        <f>IF('Données projet'!$A$62&gt;35,AI77+AH78-AQ77,IF(A78&lt;'Données projet'!$A$62,$AF$205^A78,IF(A78='Données projet'!$A$62,'Données projet'!$B$62,AI77+AH78-AQ77)))</f>
        <v>374.99999999999972</v>
      </c>
      <c r="AJ78" s="14">
        <f>AI78*VLOOKUP('Données projet'!$B$10,Paramètres!$A$1:$I$89,3,0)*VLOOKUP('Données projet'!$B$10,Paramètres!$A$1:$I$89,5,0)</f>
        <v>274.94999999999976</v>
      </c>
      <c r="AK78" s="14">
        <f t="shared" si="89"/>
        <v>65.898670891956897</v>
      </c>
      <c r="AL78" s="22">
        <f t="shared" si="58"/>
        <v>593.64476847015783</v>
      </c>
      <c r="AM78" s="62">
        <f t="shared" si="59"/>
        <v>886.9781018034912</v>
      </c>
      <c r="AN78" s="62">
        <f ca="1">AVERAGE(OFFSET($AM$3,0,0,'Données projet'!$E$10+1,1))-AVERAGE(OFFSET($H$3,0,0,'Données projet'!$E$10+1,1))</f>
        <v>296.15681058372093</v>
      </c>
      <c r="AO78" s="62">
        <f t="shared" si="90"/>
        <v>304.69148609083879</v>
      </c>
      <c r="AP78" s="16">
        <f>IF(ISNA(VLOOKUP(A78,'Données projet'!$A$61:$I$81,3,0)),0,VLOOKUP(A78,'Données projet'!$A$61:$I$81,3,0))</f>
        <v>14</v>
      </c>
      <c r="AQ78" s="16">
        <f>IF(ISNA(VLOOKUP(A78,'Données projet'!$A$61:$I$81,4,0)),0,VLOOKUP(A78,'Données projet'!$A$61:$I$81,4,0))</f>
        <v>14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1.566460363093032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1.566460363093032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-1.1368683772161603E-13</v>
      </c>
      <c r="BE78" s="14">
        <f>BD78*VLOOKUP('Données projet'!$B$11,Paramètres!$A$1:$I$89,3,0)*VLOOKUP('Données projet'!$B$11,Paramètres!$A$1:$I$89,5,0)</f>
        <v>-6.2073013396002357E-14</v>
      </c>
      <c r="BF78" s="14" t="e">
        <f t="shared" si="91"/>
        <v>#NUM!</v>
      </c>
      <c r="BG78" s="22" t="e">
        <f t="shared" si="61"/>
        <v>#NUM!</v>
      </c>
      <c r="BH78" s="62" t="e">
        <f t="shared" si="62"/>
        <v>#NUM!</v>
      </c>
      <c r="BI78" s="62">
        <f ca="1">AVERAGE(OFFSET($BH$3,0,0,'Données projet'!$E$11+1,1))-AVERAGE(OFFSET($H$3,0,0,'Données projet'!$E$11+1,1))</f>
        <v>198.95219623447554</v>
      </c>
      <c r="BJ78" s="62">
        <f t="shared" si="92"/>
        <v>299.68918988634471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2.7397942897642302</v>
      </c>
      <c r="BQ78" s="23">
        <f>EXP(-LN(2)/25)*BQ77+(1-EXP(-LN(2)/25))/(LN(2)/25)*Calculateur!BL78*Calculateur!BN78*VLOOKUP('Données projet'!$B$11,Paramètres!$A$1:$I$89,3,0)*0.475*44/12</f>
        <v>1.8722086046021786</v>
      </c>
      <c r="BR78" s="23">
        <f>EXP(-LN(2)/2)*BR77+(1-EXP(-LN(2)/2))/(LN(2)/2)*BL78*BO78*VLOOKUP('Données projet'!$B$11,Paramètres!$A$1:$I$89,3,0)*0.475*44/12</f>
        <v>2.9785944159826136E-6</v>
      </c>
      <c r="BS78" s="24">
        <f t="shared" si="63"/>
        <v>4.6120058729608244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2">
        <f t="shared" si="86"/>
        <v>19.071061760403854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70">
        <f t="shared" si="56"/>
        <v>407.58253923270354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2.2000000000000002</v>
      </c>
      <c r="N79" s="14">
        <f>IF('Données projet'!$A$36&gt;35,N78+M79-V78,IF(A79&lt;'Données projet'!$A$36,$K$205^A79,IF(A79='Données projet'!$A$36,'Données projet'!$B$36,N78+M79-V78)))</f>
        <v>159.20000000000024</v>
      </c>
      <c r="O79" s="14">
        <f>N79*VLOOKUP('Données projet'!$B$9,Paramètres!$A$1:$I$89,3,0)*VLOOKUP('Données projet'!$B$9,Paramètres!$A$1:$I$89,5,0)</f>
        <v>139.07712000000024</v>
      </c>
      <c r="P79" s="14">
        <f t="shared" si="87"/>
        <v>36.085505335071055</v>
      </c>
      <c r="Q79" s="22">
        <f t="shared" si="54"/>
        <v>305.0749057919158</v>
      </c>
      <c r="R79" s="62">
        <f t="shared" si="55"/>
        <v>598.40823912524911</v>
      </c>
      <c r="S79" s="62">
        <f ca="1">AVERAGE(OFFSET($R$3,0,0,'Données projet'!$E$9+1,1))-AVERAGE(OFFSET($H$3,0,0,'Données projet'!$E$9+1,1))</f>
        <v>149.01553333688895</v>
      </c>
      <c r="T79" s="62">
        <f t="shared" si="88"/>
        <v>180.75293059562205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2.3248854451337368E-6</v>
      </c>
      <c r="AC79" s="24">
        <f t="shared" si="57"/>
        <v>2.3248854451337368E-6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4.2</v>
      </c>
      <c r="AI79" s="14">
        <f>IF('Données projet'!$A$62&gt;35,AI78+AH79-AQ78,IF(A79&lt;'Données projet'!$A$62,$AF$205^A79,IF(A79='Données projet'!$A$62,'Données projet'!$B$62,AI78+AH79-AQ78)))</f>
        <v>365.1999999999997</v>
      </c>
      <c r="AJ79" s="14">
        <f>AI79*VLOOKUP('Données projet'!$B$10,Paramètres!$A$1:$I$89,3,0)*VLOOKUP('Données projet'!$B$10,Paramètres!$A$1:$I$89,5,0)</f>
        <v>267.76463999999982</v>
      </c>
      <c r="AK79" s="14">
        <f t="shared" si="89"/>
        <v>64.374640184948362</v>
      </c>
      <c r="AL79" s="22">
        <f t="shared" si="58"/>
        <v>578.47591298878478</v>
      </c>
      <c r="AM79" s="62">
        <f t="shared" si="59"/>
        <v>871.80924632211804</v>
      </c>
      <c r="AN79" s="62">
        <f ca="1">AVERAGE(OFFSET($AM$3,0,0,'Données projet'!$E$10+1,1))-AVERAGE(OFFSET($H$3,0,0,'Données projet'!$E$10+1,1))</f>
        <v>296.15681058372093</v>
      </c>
      <c r="AO79" s="62">
        <f t="shared" si="90"/>
        <v>304.69148609083879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1.5236254220876828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1.5236254220876828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-1.1368683772161603E-13</v>
      </c>
      <c r="BE79" s="14">
        <f>BD79*VLOOKUP('Données projet'!$B$11,Paramètres!$A$1:$I$89,3,0)*VLOOKUP('Données projet'!$B$11,Paramètres!$A$1:$I$89,5,0)</f>
        <v>-6.2073013396002357E-14</v>
      </c>
      <c r="BF79" s="14" t="e">
        <f t="shared" si="91"/>
        <v>#NUM!</v>
      </c>
      <c r="BG79" s="22" t="e">
        <f t="shared" si="61"/>
        <v>#NUM!</v>
      </c>
      <c r="BH79" s="62" t="e">
        <f t="shared" si="62"/>
        <v>#NUM!</v>
      </c>
      <c r="BI79" s="62">
        <f ca="1">AVERAGE(OFFSET($BH$3,0,0,'Données projet'!$E$11+1,1))-AVERAGE(OFFSET($H$3,0,0,'Données projet'!$E$11+1,1))</f>
        <v>198.95219623447554</v>
      </c>
      <c r="BJ79" s="62">
        <f t="shared" si="92"/>
        <v>299.68918988634471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2.686068594851462</v>
      </c>
      <c r="BQ79" s="23">
        <f>EXP(-LN(2)/25)*BQ78+(1-EXP(-LN(2)/25))/(LN(2)/25)*Calculateur!BL79*Calculateur!BN79*VLOOKUP('Données projet'!$B$11,Paramètres!$A$1:$I$89,3,0)*0.475*44/12</f>
        <v>1.8210129618541606</v>
      </c>
      <c r="BR79" s="23">
        <f>EXP(-LN(2)/2)*BR78+(1-EXP(-LN(2)/2))/(LN(2)/2)*BL79*BO79*VLOOKUP('Données projet'!$B$11,Paramètres!$A$1:$I$89,3,0)*0.475*44/12</f>
        <v>2.1061843099456903E-6</v>
      </c>
      <c r="BS79" s="24">
        <f t="shared" si="63"/>
        <v>4.507083662889932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2">
        <f t="shared" si="86"/>
        <v>19.292618976952753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70">
        <f t="shared" si="56"/>
        <v>409.51710805152618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2.2000000000000002</v>
      </c>
      <c r="N80" s="14">
        <f>IF('Données projet'!$A$36&gt;35,N79+M80-V79,IF(A80&lt;'Données projet'!$A$36,$K$205^A80,IF(A80='Données projet'!$A$36,'Données projet'!$B$36,N79+M80-V79)))</f>
        <v>161.40000000000023</v>
      </c>
      <c r="O80" s="14">
        <f>N80*VLOOKUP('Données projet'!$B$9,Paramètres!$A$1:$I$89,3,0)*VLOOKUP('Données projet'!$B$9,Paramètres!$A$1:$I$89,5,0)</f>
        <v>140.99904000000024</v>
      </c>
      <c r="P80" s="14">
        <f t="shared" si="87"/>
        <v>36.525776729948888</v>
      </c>
      <c r="Q80" s="22">
        <f t="shared" si="54"/>
        <v>309.18905580466139</v>
      </c>
      <c r="R80" s="62">
        <f t="shared" si="55"/>
        <v>602.52238913799465</v>
      </c>
      <c r="S80" s="62">
        <f ca="1">AVERAGE(OFFSET($R$3,0,0,'Données projet'!$E$9+1,1))-AVERAGE(OFFSET($H$3,0,0,'Données projet'!$E$9+1,1))</f>
        <v>149.01553333688895</v>
      </c>
      <c r="T80" s="62">
        <f t="shared" si="88"/>
        <v>180.75293059562205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1.6439422637359704E-6</v>
      </c>
      <c r="AC80" s="24">
        <f t="shared" si="57"/>
        <v>1.6439422637359704E-6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4.2</v>
      </c>
      <c r="AI80" s="14">
        <f>IF('Données projet'!$A$62&gt;35,AI79+AH80-AQ79,IF(A80&lt;'Données projet'!$A$62,$AF$205^A80,IF(A80='Données projet'!$A$62,'Données projet'!$B$62,AI79+AH80-AQ79)))</f>
        <v>369.39999999999969</v>
      </c>
      <c r="AJ80" s="14">
        <f>AI80*VLOOKUP('Données projet'!$B$10,Paramètres!$A$1:$I$89,3,0)*VLOOKUP('Données projet'!$B$10,Paramètres!$A$1:$I$89,5,0)</f>
        <v>270.84407999999979</v>
      </c>
      <c r="AK80" s="14">
        <f t="shared" si="89"/>
        <v>65.028371811908485</v>
      </c>
      <c r="AL80" s="22">
        <f t="shared" si="58"/>
        <v>584.97785357240684</v>
      </c>
      <c r="AM80" s="62">
        <f t="shared" si="59"/>
        <v>878.31118690574021</v>
      </c>
      <c r="AN80" s="62">
        <f ca="1">AVERAGE(OFFSET($AM$3,0,0,'Données projet'!$E$10+1,1))-AVERAGE(OFFSET($H$3,0,0,'Données projet'!$E$10+1,1))</f>
        <v>296.15681058372093</v>
      </c>
      <c r="AO80" s="62">
        <f t="shared" si="90"/>
        <v>304.69148609083879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1.4819618047967165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1.4819618047967165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-1.1368683772161603E-13</v>
      </c>
      <c r="BE80" s="14">
        <f>BD80*VLOOKUP('Données projet'!$B$11,Paramètres!$A$1:$I$89,3,0)*VLOOKUP('Données projet'!$B$11,Paramètres!$A$1:$I$89,5,0)</f>
        <v>-6.2073013396002357E-14</v>
      </c>
      <c r="BF80" s="14" t="e">
        <f t="shared" si="91"/>
        <v>#NUM!</v>
      </c>
      <c r="BG80" s="22" t="e">
        <f t="shared" si="61"/>
        <v>#NUM!</v>
      </c>
      <c r="BH80" s="62" t="e">
        <f t="shared" si="62"/>
        <v>#NUM!</v>
      </c>
      <c r="BI80" s="62">
        <f ca="1">AVERAGE(OFFSET($BH$3,0,0,'Données projet'!$E$11+1,1))-AVERAGE(OFFSET($H$3,0,0,'Données projet'!$E$11+1,1))</f>
        <v>198.95219623447554</v>
      </c>
      <c r="BJ80" s="62">
        <f t="shared" si="92"/>
        <v>299.68918988634471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2.633396428046495</v>
      </c>
      <c r="BQ80" s="23">
        <f>EXP(-LN(2)/25)*BQ79+(1-EXP(-LN(2)/25))/(LN(2)/25)*Calculateur!BL80*Calculateur!BN80*VLOOKUP('Données projet'!$B$11,Paramètres!$A$1:$I$89,3,0)*0.475*44/12</f>
        <v>1.7712172666493489</v>
      </c>
      <c r="BR80" s="23">
        <f>EXP(-LN(2)/2)*BR79+(1-EXP(-LN(2)/2))/(LN(2)/2)*BL80*BO80*VLOOKUP('Données projet'!$B$11,Paramètres!$A$1:$I$89,3,0)*0.475*44/12</f>
        <v>1.4892972079913068E-6</v>
      </c>
      <c r="BS80" s="24">
        <f t="shared" si="63"/>
        <v>4.4046151839930516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2">
        <f t="shared" si="86"/>
        <v>19.51384151112245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70">
        <f t="shared" si="56"/>
        <v>411.45109396520513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2.2000000000000002</v>
      </c>
      <c r="N81" s="14">
        <f>IF('Données projet'!$A$36&gt;35,N80+M81-V80,IF(A81&lt;'Données projet'!$A$36,$K$205^A81,IF(A81='Données projet'!$A$36,'Données projet'!$B$36,N80+M81-V80)))</f>
        <v>163.60000000000022</v>
      </c>
      <c r="O81" s="14">
        <f>N81*VLOOKUP('Données projet'!$B$9,Paramètres!$A$1:$I$89,3,0)*VLOOKUP('Données projet'!$B$9,Paramètres!$A$1:$I$89,5,0)</f>
        <v>142.92096000000021</v>
      </c>
      <c r="P81" s="14">
        <f t="shared" si="87"/>
        <v>36.96535011371369</v>
      </c>
      <c r="Q81" s="22">
        <f t="shared" si="54"/>
        <v>313.30199011471836</v>
      </c>
      <c r="R81" s="62">
        <f t="shared" si="55"/>
        <v>606.63532344805162</v>
      </c>
      <c r="S81" s="62">
        <f ca="1">AVERAGE(OFFSET($R$3,0,0,'Données projet'!$E$9+1,1))-AVERAGE(OFFSET($H$3,0,0,'Données projet'!$E$9+1,1))</f>
        <v>149.01553333688895</v>
      </c>
      <c r="T81" s="62">
        <f t="shared" si="88"/>
        <v>180.75293059562205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1.1624427225668684E-6</v>
      </c>
      <c r="AC81" s="24">
        <f t="shared" si="57"/>
        <v>1.1624427225668684E-6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4.2</v>
      </c>
      <c r="AI81" s="14">
        <f>IF('Données projet'!$A$62&gt;35,AI80+AH81-AQ80,IF(A81&lt;'Données projet'!$A$62,$AF$205^A81,IF(A81='Données projet'!$A$62,'Données projet'!$B$62,AI80+AH81-AQ80)))</f>
        <v>373.59999999999968</v>
      </c>
      <c r="AJ81" s="14">
        <f>AI81*VLOOKUP('Données projet'!$B$10,Paramètres!$A$1:$I$89,3,0)*VLOOKUP('Données projet'!$B$10,Paramètres!$A$1:$I$89,5,0)</f>
        <v>273.92351999999977</v>
      </c>
      <c r="AK81" s="14">
        <f t="shared" si="89"/>
        <v>65.681238814600704</v>
      </c>
      <c r="AL81" s="22">
        <f t="shared" si="58"/>
        <v>591.47828826876241</v>
      </c>
      <c r="AM81" s="62">
        <f t="shared" si="59"/>
        <v>884.81162160209578</v>
      </c>
      <c r="AN81" s="62">
        <f ca="1">AVERAGE(OFFSET($AM$3,0,0,'Données projet'!$E$10+1,1))-AVERAGE(OFFSET($H$3,0,0,'Données projet'!$E$10+1,1))</f>
        <v>296.15681058372093</v>
      </c>
      <c r="AO81" s="62">
        <f t="shared" si="90"/>
        <v>304.69148609083879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1.441437481311566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1.441437481311566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-1.1368683772161603E-13</v>
      </c>
      <c r="BE81" s="14">
        <f>BD81*VLOOKUP('Données projet'!$B$11,Paramètres!$A$1:$I$89,3,0)*VLOOKUP('Données projet'!$B$11,Paramètres!$A$1:$I$89,5,0)</f>
        <v>-6.2073013396002357E-14</v>
      </c>
      <c r="BF81" s="14" t="e">
        <f t="shared" si="91"/>
        <v>#NUM!</v>
      </c>
      <c r="BG81" s="22" t="e">
        <f t="shared" si="61"/>
        <v>#NUM!</v>
      </c>
      <c r="BH81" s="62" t="e">
        <f t="shared" si="62"/>
        <v>#NUM!</v>
      </c>
      <c r="BI81" s="62">
        <f ca="1">AVERAGE(OFFSET($BH$3,0,0,'Données projet'!$E$11+1,1))-AVERAGE(OFFSET($H$3,0,0,'Données projet'!$E$11+1,1))</f>
        <v>198.95219623447554</v>
      </c>
      <c r="BJ81" s="62">
        <f t="shared" si="92"/>
        <v>299.68918988634471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2.5817571303057241</v>
      </c>
      <c r="BQ81" s="23">
        <f>EXP(-LN(2)/25)*BQ80+(1-EXP(-LN(2)/25))/(LN(2)/25)*Calculateur!BL81*Calculateur!BN81*VLOOKUP('Données projet'!$B$11,Paramètres!$A$1:$I$89,3,0)*0.475*44/12</f>
        <v>1.7227832373485545</v>
      </c>
      <c r="BR81" s="23">
        <f>EXP(-LN(2)/2)*BR80+(1-EXP(-LN(2)/2))/(LN(2)/2)*BL81*BO81*VLOOKUP('Données projet'!$B$11,Paramètres!$A$1:$I$89,3,0)*0.475*44/12</f>
        <v>1.0530921549728451E-6</v>
      </c>
      <c r="BS81" s="24">
        <f t="shared" si="63"/>
        <v>4.3045414207464336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2">
        <f t="shared" si="86"/>
        <v>19.734734149853086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70">
        <f t="shared" si="56"/>
        <v>413.38450531099431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2.2000000000000002</v>
      </c>
      <c r="N82" s="14">
        <f>IF('Données projet'!$A$36&gt;35,N81+M82-V81,IF(A82&lt;'Données projet'!$A$36,$K$205^A82,IF(A82='Données projet'!$A$36,'Données projet'!$B$36,N81+M82-V81)))</f>
        <v>165.80000000000021</v>
      </c>
      <c r="O82" s="14">
        <f>N82*VLOOKUP('Données projet'!$B$9,Paramètres!$A$1:$I$89,3,0)*VLOOKUP('Données projet'!$B$9,Paramètres!$A$1:$I$89,5,0)</f>
        <v>144.84288000000021</v>
      </c>
      <c r="P82" s="14">
        <f t="shared" si="87"/>
        <v>37.404235957844634</v>
      </c>
      <c r="Q82" s="22">
        <f t="shared" si="54"/>
        <v>317.41372695991305</v>
      </c>
      <c r="R82" s="62">
        <f t="shared" si="55"/>
        <v>610.74706029324636</v>
      </c>
      <c r="S82" s="62">
        <f ca="1">AVERAGE(OFFSET($R$3,0,0,'Données projet'!$E$9+1,1))-AVERAGE(OFFSET($H$3,0,0,'Données projet'!$E$9+1,1))</f>
        <v>149.01553333688895</v>
      </c>
      <c r="T82" s="62">
        <f t="shared" si="88"/>
        <v>180.75293059562205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8.2197113186798518E-7</v>
      </c>
      <c r="AC82" s="24">
        <f t="shared" si="57"/>
        <v>8.2197113186798518E-7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4.2</v>
      </c>
      <c r="AI82" s="14">
        <f>IF('Données projet'!$A$62&gt;35,AI81+AH82-AQ81,IF(A82&lt;'Données projet'!$A$62,$AF$205^A82,IF(A82='Données projet'!$A$62,'Données projet'!$B$62,AI81+AH82-AQ81)))</f>
        <v>377.79999999999967</v>
      </c>
      <c r="AJ82" s="14">
        <f>AI82*VLOOKUP('Données projet'!$B$10,Paramètres!$A$1:$I$89,3,0)*VLOOKUP('Données projet'!$B$10,Paramètres!$A$1:$I$89,5,0)</f>
        <v>277.00295999999975</v>
      </c>
      <c r="AK82" s="14">
        <f t="shared" si="89"/>
        <v>66.33325203788479</v>
      </c>
      <c r="AL82" s="22">
        <f t="shared" si="58"/>
        <v>597.97723596598223</v>
      </c>
      <c r="AM82" s="62">
        <f t="shared" si="59"/>
        <v>891.3105692993156</v>
      </c>
      <c r="AN82" s="62">
        <f ca="1">AVERAGE(OFFSET($AM$3,0,0,'Données projet'!$E$10+1,1))-AVERAGE(OFFSET($H$3,0,0,'Données projet'!$E$10+1,1))</f>
        <v>296.15681058372093</v>
      </c>
      <c r="AO82" s="62">
        <f t="shared" si="90"/>
        <v>304.69148609083879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1.4020212975831985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1.4020212975831985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-1.1368683772161603E-13</v>
      </c>
      <c r="BE82" s="14">
        <f>BD82*VLOOKUP('Données projet'!$B$11,Paramètres!$A$1:$I$89,3,0)*VLOOKUP('Données projet'!$B$11,Paramètres!$A$1:$I$89,5,0)</f>
        <v>-6.2073013396002357E-14</v>
      </c>
      <c r="BF82" s="14" t="e">
        <f t="shared" si="91"/>
        <v>#NUM!</v>
      </c>
      <c r="BG82" s="22" t="e">
        <f t="shared" si="61"/>
        <v>#NUM!</v>
      </c>
      <c r="BH82" s="62" t="e">
        <f t="shared" si="62"/>
        <v>#NUM!</v>
      </c>
      <c r="BI82" s="62">
        <f ca="1">AVERAGE(OFFSET($BH$3,0,0,'Données projet'!$E$11+1,1))-AVERAGE(OFFSET($H$3,0,0,'Données projet'!$E$11+1,1))</f>
        <v>198.95219623447554</v>
      </c>
      <c r="BJ82" s="62">
        <f t="shared" si="92"/>
        <v>299.68918988634471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2.5311304476967882</v>
      </c>
      <c r="BQ82" s="23">
        <f>EXP(-LN(2)/25)*BQ81+(1-EXP(-LN(2)/25))/(LN(2)/25)*Calculateur!BL82*Calculateur!BN82*VLOOKUP('Données projet'!$B$11,Paramètres!$A$1:$I$89,3,0)*0.475*44/12</f>
        <v>1.6756736391260254</v>
      </c>
      <c r="BR82" s="23">
        <f>EXP(-LN(2)/2)*BR81+(1-EXP(-LN(2)/2))/(LN(2)/2)*BL82*BO82*VLOOKUP('Données projet'!$B$11,Paramètres!$A$1:$I$89,3,0)*0.475*44/12</f>
        <v>7.446486039956534E-7</v>
      </c>
      <c r="BS82" s="24">
        <f t="shared" si="63"/>
        <v>4.2068048314714179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2">
        <f t="shared" si="86"/>
        <v>19.955301551927505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70">
        <f t="shared" si="56"/>
        <v>415.31735020294059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168</v>
      </c>
      <c r="L83" s="13">
        <f>VLOOKUP(A83,'Données projet'!$A$35:$I$55,9,0)</f>
        <v>2.2000000000000002</v>
      </c>
      <c r="M83" s="13">
        <f t="array" ref="M83">INDEX(L:L,MIN(IF(ISNUMBER(L83:L279),ROW(L83:L279),"")))</f>
        <v>2.2000000000000002</v>
      </c>
      <c r="N83" s="14">
        <f>IF('Données projet'!$A$36&gt;35,N82+M83-V82,IF(A83&lt;'Données projet'!$A$36,$K$205^A83,IF(A83='Données projet'!$A$36,'Données projet'!$B$36,N82+M83-V82)))</f>
        <v>168.0000000000002</v>
      </c>
      <c r="O83" s="14">
        <f>N83*VLOOKUP('Données projet'!$B$9,Paramètres!$A$1:$I$89,3,0)*VLOOKUP('Données projet'!$B$9,Paramètres!$A$1:$I$89,5,0)</f>
        <v>146.76480000000021</v>
      </c>
      <c r="P83" s="14">
        <f t="shared" si="87"/>
        <v>37.842444439956701</v>
      </c>
      <c r="Q83" s="22">
        <f t="shared" si="54"/>
        <v>321.52428406625825</v>
      </c>
      <c r="R83" s="62">
        <f t="shared" si="55"/>
        <v>614.85761739959162</v>
      </c>
      <c r="S83" s="62">
        <f ca="1">AVERAGE(OFFSET($R$3,0,0,'Données projet'!$E$9+1,1))-AVERAGE(OFFSET($H$3,0,0,'Données projet'!$E$9+1,1))</f>
        <v>149.01553333688895</v>
      </c>
      <c r="T83" s="62">
        <f t="shared" si="88"/>
        <v>180.75293059562205</v>
      </c>
      <c r="U83" s="16">
        <f>IF(ISNA(VLOOKUP(A83,'Données projet'!$A$35:$I$55,3,0)),0,VLOOKUP(A83,'Données projet'!$A$35:$I$55,3,0))</f>
        <v>13</v>
      </c>
      <c r="V83" s="16">
        <f>IF(ISNA(VLOOKUP(A83,'Données projet'!$A$35:$I$55,4,0)),0,VLOOKUP(A83,'Données projet'!$A$35:$I$55,4,0))</f>
        <v>8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5.8122136128343419E-7</v>
      </c>
      <c r="AC83" s="24">
        <f t="shared" si="57"/>
        <v>5.8122136128343419E-7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382</v>
      </c>
      <c r="AG83" s="13">
        <f>VLOOKUP(A83,'Données projet'!$A$61:$I$81,9,0)</f>
        <v>4.2</v>
      </c>
      <c r="AH83" s="13">
        <f t="array" ref="AH83">INDEX(AG:AG,MIN(IF(ISNUMBER(AG83:AG279),ROW(AG83:AG279),"")))</f>
        <v>4.2</v>
      </c>
      <c r="AI83" s="14">
        <f>IF('Données projet'!$A$62&gt;35,AI82+AH83-AQ82,IF(A83&lt;'Données projet'!$A$62,$AF$205^A83,IF(A83='Données projet'!$A$62,'Données projet'!$B$62,AI82+AH83-AQ82)))</f>
        <v>381.99999999999966</v>
      </c>
      <c r="AJ83" s="14">
        <f>AI83*VLOOKUP('Données projet'!$B$10,Paramètres!$A$1:$I$89,3,0)*VLOOKUP('Données projet'!$B$10,Paramètres!$A$1:$I$89,5,0)</f>
        <v>280.08239999999972</v>
      </c>
      <c r="AK83" s="14">
        <f t="shared" si="89"/>
        <v>66.984422071611988</v>
      </c>
      <c r="AL83" s="22">
        <f t="shared" si="58"/>
        <v>604.47471510805701</v>
      </c>
      <c r="AM83" s="62">
        <f t="shared" si="59"/>
        <v>897.80804844139038</v>
      </c>
      <c r="AN83" s="62">
        <f ca="1">AVERAGE(OFFSET($AM$3,0,0,'Données projet'!$E$10+1,1))-AVERAGE(OFFSET($H$3,0,0,'Données projet'!$E$10+1,1))</f>
        <v>296.15681058372093</v>
      </c>
      <c r="AO83" s="62">
        <f t="shared" si="90"/>
        <v>304.69148609083879</v>
      </c>
      <c r="AP83" s="16">
        <f>IF(ISNA(VLOOKUP(A83,'Données projet'!$A$61:$I$81,3,0)),0,VLOOKUP(A83,'Données projet'!$A$61:$I$81,3,0))</f>
        <v>15</v>
      </c>
      <c r="AQ83" s="16">
        <f>IF(ISNA(VLOOKUP(A83,'Données projet'!$A$61:$I$81,4,0)),0,VLOOKUP(A83,'Données projet'!$A$61:$I$81,4,0))</f>
        <v>382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1.3636829514716902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1.3636829514716902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-1.1368683772161603E-13</v>
      </c>
      <c r="BE83" s="14">
        <f>BD83*VLOOKUP('Données projet'!$B$11,Paramètres!$A$1:$I$89,3,0)*VLOOKUP('Données projet'!$B$11,Paramètres!$A$1:$I$89,5,0)</f>
        <v>-6.2073013396002357E-14</v>
      </c>
      <c r="BF83" s="14" t="e">
        <f t="shared" si="91"/>
        <v>#NUM!</v>
      </c>
      <c r="BG83" s="22" t="e">
        <f t="shared" si="61"/>
        <v>#NUM!</v>
      </c>
      <c r="BH83" s="62" t="e">
        <f t="shared" si="62"/>
        <v>#NUM!</v>
      </c>
      <c r="BI83" s="62">
        <f ca="1">AVERAGE(OFFSET($BH$3,0,0,'Données projet'!$E$11+1,1))-AVERAGE(OFFSET($H$3,0,0,'Données projet'!$E$11+1,1))</f>
        <v>198.95219623447554</v>
      </c>
      <c r="BJ83" s="62">
        <f t="shared" si="92"/>
        <v>299.68918988634471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2.4814965234545858</v>
      </c>
      <c r="BQ83" s="23">
        <f>EXP(-LN(2)/25)*BQ82+(1-EXP(-LN(2)/25))/(LN(2)/25)*Calculateur!BL83*Calculateur!BN83*VLOOKUP('Données projet'!$B$11,Paramètres!$A$1:$I$89,3,0)*0.475*44/12</f>
        <v>1.6298522553442774</v>
      </c>
      <c r="BR83" s="23">
        <f>EXP(-LN(2)/2)*BR82+(1-EXP(-LN(2)/2))/(LN(2)/2)*BL83*BO83*VLOOKUP('Données projet'!$B$11,Paramètres!$A$1:$I$89,3,0)*0.475*44/12</f>
        <v>5.2654607748642256E-7</v>
      </c>
      <c r="BS83" s="24">
        <f t="shared" si="63"/>
        <v>4.111349305344941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2">
        <f t="shared" si="86"/>
        <v>20.175548252960489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70">
        <f t="shared" si="56"/>
        <v>417.24963654057308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2</v>
      </c>
      <c r="N84" s="14">
        <f>IF('Données projet'!$A$36&gt;35,N83+M84-V83,IF(A84&lt;'Données projet'!$A$36,$K$205^A84,IF(A84='Données projet'!$A$36,'Données projet'!$B$36,N83+M84-V83)))</f>
        <v>162.0000000000002</v>
      </c>
      <c r="O84" s="14">
        <f>N84*VLOOKUP('Données projet'!$B$9,Paramètres!$A$1:$I$89,3,0)*VLOOKUP('Données projet'!$B$9,Paramètres!$A$1:$I$89,5,0)</f>
        <v>141.5232000000002</v>
      </c>
      <c r="P84" s="14">
        <f t="shared" si="87"/>
        <v>36.645729158274222</v>
      </c>
      <c r="Q84" s="22">
        <f t="shared" si="54"/>
        <v>310.31088495066126</v>
      </c>
      <c r="R84" s="62">
        <f t="shared" si="55"/>
        <v>603.64421828399463</v>
      </c>
      <c r="S84" s="62">
        <f ca="1">AVERAGE(OFFSET($R$3,0,0,'Données projet'!$E$9+1,1))-AVERAGE(OFFSET($H$3,0,0,'Données projet'!$E$9+1,1))</f>
        <v>149.01553333688895</v>
      </c>
      <c r="T84" s="62">
        <f t="shared" si="88"/>
        <v>180.75293059562205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4.1098556593399259E-7</v>
      </c>
      <c r="AC84" s="24">
        <f t="shared" si="57"/>
        <v>4.1098556593399259E-7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-3.4106051316484809E-13</v>
      </c>
      <c r="AJ84" s="14">
        <f>AI84*VLOOKUP('Données projet'!$B$10,Paramètres!$A$1:$I$89,3,0)*VLOOKUP('Données projet'!$B$10,Paramètres!$A$1:$I$89,5,0)</f>
        <v>-2.5006556825246659E-13</v>
      </c>
      <c r="AK84" s="14" t="e">
        <f t="shared" si="89"/>
        <v>#NUM!</v>
      </c>
      <c r="AL84" s="22" t="e">
        <f t="shared" si="58"/>
        <v>#NUM!</v>
      </c>
      <c r="AM84" s="62" t="e">
        <f t="shared" si="59"/>
        <v>#NUM!</v>
      </c>
      <c r="AN84" s="62">
        <f ca="1">AVERAGE(OFFSET($AM$3,0,0,'Données projet'!$E$10+1,1))-AVERAGE(OFFSET($H$3,0,0,'Données projet'!$E$10+1,1))</f>
        <v>296.15681058372093</v>
      </c>
      <c r="AO84" s="62">
        <f t="shared" si="90"/>
        <v>304.69148609083879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1.326392969450727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1.326392969450727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-1.1368683772161603E-13</v>
      </c>
      <c r="BE84" s="14">
        <f>BD84*VLOOKUP('Données projet'!$B$11,Paramètres!$A$1:$I$89,3,0)*VLOOKUP('Données projet'!$B$11,Paramètres!$A$1:$I$89,5,0)</f>
        <v>-6.2073013396002357E-14</v>
      </c>
      <c r="BF84" s="14" t="e">
        <f t="shared" si="91"/>
        <v>#NUM!</v>
      </c>
      <c r="BG84" s="22" t="e">
        <f t="shared" si="61"/>
        <v>#NUM!</v>
      </c>
      <c r="BH84" s="62" t="e">
        <f t="shared" si="62"/>
        <v>#NUM!</v>
      </c>
      <c r="BI84" s="62">
        <f ca="1">AVERAGE(OFFSET($BH$3,0,0,'Données projet'!$E$11+1,1))-AVERAGE(OFFSET($H$3,0,0,'Données projet'!$E$11+1,1))</f>
        <v>198.95219623447554</v>
      </c>
      <c r="BJ84" s="62">
        <f t="shared" si="92"/>
        <v>299.68918988634471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2.4328358901930689</v>
      </c>
      <c r="BQ84" s="23">
        <f>EXP(-LN(2)/25)*BQ83+(1-EXP(-LN(2)/25))/(LN(2)/25)*Calculateur!BL84*Calculateur!BN84*VLOOKUP('Données projet'!$B$11,Paramètres!$A$1:$I$89,3,0)*0.475*44/12</f>
        <v>1.585283859711683</v>
      </c>
      <c r="BR84" s="23">
        <f>EXP(-LN(2)/2)*BR83+(1-EXP(-LN(2)/2))/(LN(2)/2)*BL84*BO84*VLOOKUP('Données projet'!$B$11,Paramètres!$A$1:$I$89,3,0)*0.475*44/12</f>
        <v>3.723243019978267E-7</v>
      </c>
      <c r="BS84" s="24">
        <f t="shared" si="63"/>
        <v>4.0181201222290541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2">
        <f t="shared" si="86"/>
        <v>20.395478670134686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70">
        <f t="shared" si="56"/>
        <v>419.18137201715149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2</v>
      </c>
      <c r="N85" s="14">
        <f>IF('Données projet'!$A$36&gt;35,N84+M85-V84,IF(A85&lt;'Données projet'!$A$36,$K$205^A85,IF(A85='Données projet'!$A$36,'Données projet'!$B$36,N84+M85-V84)))</f>
        <v>164.0000000000002</v>
      </c>
      <c r="O85" s="14">
        <f>N85*VLOOKUP('Données projet'!$B$9,Paramètres!$A$1:$I$89,3,0)*VLOOKUP('Données projet'!$B$9,Paramètres!$A$1:$I$89,5,0)</f>
        <v>143.27040000000019</v>
      </c>
      <c r="P85" s="14">
        <f t="shared" si="87"/>
        <v>37.045198377171367</v>
      </c>
      <c r="Q85" s="22">
        <f t="shared" si="54"/>
        <v>314.04966717357382</v>
      </c>
      <c r="R85" s="62">
        <f t="shared" si="55"/>
        <v>607.38300050690714</v>
      </c>
      <c r="S85" s="62">
        <f ca="1">AVERAGE(OFFSET($R$3,0,0,'Données projet'!$E$9+1,1))-AVERAGE(OFFSET($H$3,0,0,'Données projet'!$E$9+1,1))</f>
        <v>149.01553333688895</v>
      </c>
      <c r="T85" s="62">
        <f t="shared" si="88"/>
        <v>180.75293059562205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2.906106806417171E-7</v>
      </c>
      <c r="AC85" s="24">
        <f t="shared" si="57"/>
        <v>2.906106806417171E-7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-3.4106051316484809E-13</v>
      </c>
      <c r="AJ85" s="14">
        <f>AI85*VLOOKUP('Données projet'!$B$10,Paramètres!$A$1:$I$89,3,0)*VLOOKUP('Données projet'!$B$10,Paramètres!$A$1:$I$89,5,0)</f>
        <v>-2.5006556825246659E-13</v>
      </c>
      <c r="AK85" s="14" t="e">
        <f t="shared" si="89"/>
        <v>#NUM!</v>
      </c>
      <c r="AL85" s="22" t="e">
        <f t="shared" si="58"/>
        <v>#NUM!</v>
      </c>
      <c r="AM85" s="62" t="e">
        <f t="shared" si="59"/>
        <v>#NUM!</v>
      </c>
      <c r="AN85" s="62">
        <f ca="1">AVERAGE(OFFSET($AM$3,0,0,'Données projet'!$E$10+1,1))-AVERAGE(OFFSET($H$3,0,0,'Données projet'!$E$10+1,1))</f>
        <v>296.15681058372093</v>
      </c>
      <c r="AO85" s="62">
        <f t="shared" si="90"/>
        <v>304.69148609083879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1.2901226839491222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1.2901226839491222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-1.1368683772161603E-13</v>
      </c>
      <c r="BE85" s="14">
        <f>BD85*VLOOKUP('Données projet'!$B$11,Paramètres!$A$1:$I$89,3,0)*VLOOKUP('Données projet'!$B$11,Paramètres!$A$1:$I$89,5,0)</f>
        <v>-6.2073013396002357E-14</v>
      </c>
      <c r="BF85" s="14" t="e">
        <f t="shared" si="91"/>
        <v>#NUM!</v>
      </c>
      <c r="BG85" s="22" t="e">
        <f t="shared" si="61"/>
        <v>#NUM!</v>
      </c>
      <c r="BH85" s="62" t="e">
        <f t="shared" si="62"/>
        <v>#NUM!</v>
      </c>
      <c r="BI85" s="62">
        <f ca="1">AVERAGE(OFFSET($BH$3,0,0,'Données projet'!$E$11+1,1))-AVERAGE(OFFSET($H$3,0,0,'Données projet'!$E$11+1,1))</f>
        <v>198.95219623447554</v>
      </c>
      <c r="BJ85" s="62">
        <f t="shared" si="92"/>
        <v>299.68918988634471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2.3851294622697545</v>
      </c>
      <c r="BQ85" s="23">
        <f>EXP(-LN(2)/25)*BQ84+(1-EXP(-LN(2)/25))/(LN(2)/25)*Calculateur!BL85*Calculateur!BN85*VLOOKUP('Données projet'!$B$11,Paramètres!$A$1:$I$89,3,0)*0.475*44/12</f>
        <v>1.541934189201412</v>
      </c>
      <c r="BR85" s="23">
        <f>EXP(-LN(2)/2)*BR84+(1-EXP(-LN(2)/2))/(LN(2)/2)*BL85*BO85*VLOOKUP('Données projet'!$B$11,Paramètres!$A$1:$I$89,3,0)*0.475*44/12</f>
        <v>2.6327303874321128E-7</v>
      </c>
      <c r="BS85" s="24">
        <f t="shared" si="63"/>
        <v>3.9270639147442052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2">
        <f t="shared" si="86"/>
        <v>20.615097106698798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70">
        <f t="shared" si="56"/>
        <v>421.1125641275006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2</v>
      </c>
      <c r="N86" s="14">
        <f>IF('Données projet'!$A$36&gt;35,N85+M86-V85,IF(A86&lt;'Données projet'!$A$36,$K$205^A86,IF(A86='Données projet'!$A$36,'Données projet'!$B$36,N85+M86-V85)))</f>
        <v>166.0000000000002</v>
      </c>
      <c r="O86" s="14">
        <f>N86*VLOOKUP('Données projet'!$B$9,Paramètres!$A$1:$I$89,3,0)*VLOOKUP('Données projet'!$B$9,Paramètres!$A$1:$I$89,5,0)</f>
        <v>145.01760000000019</v>
      </c>
      <c r="P86" s="14">
        <f t="shared" si="87"/>
        <v>37.444100932065268</v>
      </c>
      <c r="Q86" s="22">
        <f t="shared" si="54"/>
        <v>317.78746245668066</v>
      </c>
      <c r="R86" s="62">
        <f t="shared" si="55"/>
        <v>611.12079579001397</v>
      </c>
      <c r="S86" s="62">
        <f ca="1">AVERAGE(OFFSET($R$3,0,0,'Données projet'!$E$9+1,1))-AVERAGE(OFFSET($H$3,0,0,'Données projet'!$E$9+1,1))</f>
        <v>149.01553333688895</v>
      </c>
      <c r="T86" s="62">
        <f t="shared" si="88"/>
        <v>180.75293059562205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2.0549278296699629E-7</v>
      </c>
      <c r="AC86" s="24">
        <f t="shared" si="57"/>
        <v>2.0549278296699629E-7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-3.4106051316484809E-13</v>
      </c>
      <c r="AJ86" s="14">
        <f>AI86*VLOOKUP('Données projet'!$B$10,Paramètres!$A$1:$I$89,3,0)*VLOOKUP('Données projet'!$B$10,Paramètres!$A$1:$I$89,5,0)</f>
        <v>-2.5006556825246659E-13</v>
      </c>
      <c r="AK86" s="14" t="e">
        <f t="shared" si="89"/>
        <v>#NUM!</v>
      </c>
      <c r="AL86" s="22" t="e">
        <f t="shared" si="58"/>
        <v>#NUM!</v>
      </c>
      <c r="AM86" s="62" t="e">
        <f t="shared" si="59"/>
        <v>#NUM!</v>
      </c>
      <c r="AN86" s="62">
        <f ca="1">AVERAGE(OFFSET($AM$3,0,0,'Données projet'!$E$10+1,1))-AVERAGE(OFFSET($H$3,0,0,'Données projet'!$E$10+1,1))</f>
        <v>296.15681058372093</v>
      </c>
      <c r="AO86" s="62">
        <f t="shared" si="90"/>
        <v>304.69148609083879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1.2548442113119302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1.2548442113119302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-1.1368683772161603E-13</v>
      </c>
      <c r="BE86" s="14">
        <f>BD86*VLOOKUP('Données projet'!$B$11,Paramètres!$A$1:$I$89,3,0)*VLOOKUP('Données projet'!$B$11,Paramètres!$A$1:$I$89,5,0)</f>
        <v>-6.2073013396002357E-14</v>
      </c>
      <c r="BF86" s="14" t="e">
        <f t="shared" si="91"/>
        <v>#NUM!</v>
      </c>
      <c r="BG86" s="22" t="e">
        <f t="shared" si="61"/>
        <v>#NUM!</v>
      </c>
      <c r="BH86" s="62" t="e">
        <f t="shared" si="62"/>
        <v>#NUM!</v>
      </c>
      <c r="BI86" s="62">
        <f ca="1">AVERAGE(OFFSET($BH$3,0,0,'Données projet'!$E$11+1,1))-AVERAGE(OFFSET($H$3,0,0,'Données projet'!$E$11+1,1))</f>
        <v>198.95219623447554</v>
      </c>
      <c r="BJ86" s="62">
        <f t="shared" si="92"/>
        <v>299.68918988634471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2.3383585282999686</v>
      </c>
      <c r="BQ86" s="23">
        <f>EXP(-LN(2)/25)*BQ85+(1-EXP(-LN(2)/25))/(LN(2)/25)*Calculateur!BL86*Calculateur!BN86*VLOOKUP('Données projet'!$B$11,Paramètres!$A$1:$I$89,3,0)*0.475*44/12</f>
        <v>1.4997699177109045</v>
      </c>
      <c r="BR86" s="23">
        <f>EXP(-LN(2)/2)*BR85+(1-EXP(-LN(2)/2))/(LN(2)/2)*BL86*BO86*VLOOKUP('Données projet'!$B$11,Paramètres!$A$1:$I$89,3,0)*0.475*44/12</f>
        <v>1.8616215099891335E-7</v>
      </c>
      <c r="BS86" s="24">
        <f t="shared" si="63"/>
        <v>3.8381286321730239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2">
        <f t="shared" si="86"/>
        <v>20.834407756242857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70">
        <f t="shared" si="56"/>
        <v>423.0432201754565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2</v>
      </c>
      <c r="N87" s="14">
        <f>IF('Données projet'!$A$36&gt;35,N86+M87-V86,IF(A87&lt;'Données projet'!$A$36,$K$205^A87,IF(A87='Données projet'!$A$36,'Données projet'!$B$36,N86+M87-V86)))</f>
        <v>168.0000000000002</v>
      </c>
      <c r="O87" s="14">
        <f>N87*VLOOKUP('Données projet'!$B$9,Paramètres!$A$1:$I$89,3,0)*VLOOKUP('Données projet'!$B$9,Paramètres!$A$1:$I$89,5,0)</f>
        <v>146.76480000000021</v>
      </c>
      <c r="P87" s="14">
        <f t="shared" si="87"/>
        <v>37.842444439956701</v>
      </c>
      <c r="Q87" s="22">
        <f t="shared" si="54"/>
        <v>321.52428406625825</v>
      </c>
      <c r="R87" s="62">
        <f t="shared" si="55"/>
        <v>614.85761739959162</v>
      </c>
      <c r="S87" s="62">
        <f ca="1">AVERAGE(OFFSET($R$3,0,0,'Données projet'!$E$9+1,1))-AVERAGE(OFFSET($H$3,0,0,'Données projet'!$E$9+1,1))</f>
        <v>149.01553333688895</v>
      </c>
      <c r="T87" s="62">
        <f t="shared" si="88"/>
        <v>180.75293059562205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1.4530534032085855E-7</v>
      </c>
      <c r="AC87" s="24">
        <f t="shared" si="57"/>
        <v>1.4530534032085855E-7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-3.4106051316484809E-13</v>
      </c>
      <c r="AJ87" s="14">
        <f>AI87*VLOOKUP('Données projet'!$B$10,Paramètres!$A$1:$I$89,3,0)*VLOOKUP('Données projet'!$B$10,Paramètres!$A$1:$I$89,5,0)</f>
        <v>-2.5006556825246659E-13</v>
      </c>
      <c r="AK87" s="14" t="e">
        <f t="shared" si="89"/>
        <v>#NUM!</v>
      </c>
      <c r="AL87" s="22" t="e">
        <f t="shared" si="58"/>
        <v>#NUM!</v>
      </c>
      <c r="AM87" s="62" t="e">
        <f t="shared" si="59"/>
        <v>#NUM!</v>
      </c>
      <c r="AN87" s="62">
        <f ca="1">AVERAGE(OFFSET($AM$3,0,0,'Données projet'!$E$10+1,1))-AVERAGE(OFFSET($H$3,0,0,'Données projet'!$E$10+1,1))</f>
        <v>296.15681058372093</v>
      </c>
      <c r="AO87" s="62">
        <f t="shared" si="90"/>
        <v>304.69148609083879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1.2205304303642164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1.2205304303642164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-1.1368683772161603E-13</v>
      </c>
      <c r="BE87" s="14">
        <f>BD87*VLOOKUP('Données projet'!$B$11,Paramètres!$A$1:$I$89,3,0)*VLOOKUP('Données projet'!$B$11,Paramètres!$A$1:$I$89,5,0)</f>
        <v>-6.2073013396002357E-14</v>
      </c>
      <c r="BF87" s="14" t="e">
        <f t="shared" si="91"/>
        <v>#NUM!</v>
      </c>
      <c r="BG87" s="22" t="e">
        <f t="shared" si="61"/>
        <v>#NUM!</v>
      </c>
      <c r="BH87" s="62" t="e">
        <f t="shared" si="62"/>
        <v>#NUM!</v>
      </c>
      <c r="BI87" s="62">
        <f ca="1">AVERAGE(OFFSET($BH$3,0,0,'Données projet'!$E$11+1,1))-AVERAGE(OFFSET($H$3,0,0,'Données projet'!$E$11+1,1))</f>
        <v>198.95219623447554</v>
      </c>
      <c r="BJ87" s="62">
        <f t="shared" si="92"/>
        <v>299.68918988634471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2.2925047438178772</v>
      </c>
      <c r="BQ87" s="23">
        <f>EXP(-LN(2)/25)*BQ86+(1-EXP(-LN(2)/25))/(LN(2)/25)*Calculateur!BL87*Calculateur!BN87*VLOOKUP('Données projet'!$B$11,Paramètres!$A$1:$I$89,3,0)*0.475*44/12</f>
        <v>1.4587586304416276</v>
      </c>
      <c r="BR87" s="23">
        <f>EXP(-LN(2)/2)*BR86+(1-EXP(-LN(2)/2))/(LN(2)/2)*BL87*BO87*VLOOKUP('Données projet'!$B$11,Paramètres!$A$1:$I$89,3,0)*0.475*44/12</f>
        <v>1.3163651937160564E-7</v>
      </c>
      <c r="BS87" s="24">
        <f t="shared" si="63"/>
        <v>3.7512635058960244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2">
        <f t="shared" si="86"/>
        <v>21.053414706764155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70">
        <f t="shared" si="56"/>
        <v>424.97334728094779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>
        <f>VLOOKUP(A88,'Données projet'!$A$35:$I$55,2,0)</f>
        <v>170</v>
      </c>
      <c r="L88" s="13">
        <f>VLOOKUP(A88,'Données projet'!$A$35:$I$55,9,0)</f>
        <v>2</v>
      </c>
      <c r="M88" s="13">
        <f t="array" ref="M88">INDEX(L:L,MIN(IF(ISNUMBER(L88:L284),ROW(L88:L284),"")))</f>
        <v>2</v>
      </c>
      <c r="N88" s="14">
        <f>IF('Données projet'!$A$36&gt;35,N87+M88-V87,IF(A88&lt;'Données projet'!$A$36,$K$205^A88,IF(A88='Données projet'!$A$36,'Données projet'!$B$36,N87+M88-V87)))</f>
        <v>170.0000000000002</v>
      </c>
      <c r="O88" s="14">
        <f>N88*VLOOKUP('Données projet'!$B$9,Paramètres!$A$1:$I$89,3,0)*VLOOKUP('Données projet'!$B$9,Paramètres!$A$1:$I$89,5,0)</f>
        <v>148.5120000000002</v>
      </c>
      <c r="P88" s="14">
        <f t="shared" si="87"/>
        <v>38.240236326053576</v>
      </c>
      <c r="Q88" s="22">
        <f t="shared" si="54"/>
        <v>325.26014493454369</v>
      </c>
      <c r="R88" s="62">
        <f t="shared" si="55"/>
        <v>618.593478267877</v>
      </c>
      <c r="S88" s="62">
        <f ca="1">AVERAGE(OFFSET($R$3,0,0,'Données projet'!$E$9+1,1))-AVERAGE(OFFSET($H$3,0,0,'Données projet'!$E$9+1,1))</f>
        <v>149.01553333688895</v>
      </c>
      <c r="T88" s="62">
        <f t="shared" si="88"/>
        <v>180.75293059562205</v>
      </c>
      <c r="U88" s="16">
        <f>IF(ISNA(VLOOKUP(A88,'Données projet'!$A$35:$I$55,3,0)),0,VLOOKUP(A88,'Données projet'!$A$35:$I$55,3,0))</f>
        <v>14</v>
      </c>
      <c r="V88" s="16">
        <f>IF(ISNA(VLOOKUP(A88,'Données projet'!$A$35:$I$55,4,0)),0,VLOOKUP(A88,'Données projet'!$A$35:$I$55,4,0))</f>
        <v>7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1.0274639148349815E-7</v>
      </c>
      <c r="AC88" s="24">
        <f t="shared" si="57"/>
        <v>1.0274639148349815E-7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-3.4106051316484809E-13</v>
      </c>
      <c r="AJ88" s="14">
        <f>AI88*VLOOKUP('Données projet'!$B$10,Paramètres!$A$1:$I$89,3,0)*VLOOKUP('Données projet'!$B$10,Paramètres!$A$1:$I$89,5,0)</f>
        <v>-2.5006556825246659E-13</v>
      </c>
      <c r="AK88" s="14" t="e">
        <f t="shared" si="89"/>
        <v>#NUM!</v>
      </c>
      <c r="AL88" s="22" t="e">
        <f t="shared" si="58"/>
        <v>#NUM!</v>
      </c>
      <c r="AM88" s="62" t="e">
        <f t="shared" si="59"/>
        <v>#NUM!</v>
      </c>
      <c r="AN88" s="62">
        <f ca="1">AVERAGE(OFFSET($AM$3,0,0,'Données projet'!$E$10+1,1))-AVERAGE(OFFSET($H$3,0,0,'Données projet'!$E$10+1,1))</f>
        <v>296.15681058372093</v>
      </c>
      <c r="AO88" s="62">
        <f t="shared" si="90"/>
        <v>304.69148609083879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1.1871549615610011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1.1871549615610011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-1.1368683772161603E-13</v>
      </c>
      <c r="BE88" s="14">
        <f>BD88*VLOOKUP('Données projet'!$B$11,Paramètres!$A$1:$I$89,3,0)*VLOOKUP('Données projet'!$B$11,Paramètres!$A$1:$I$89,5,0)</f>
        <v>-6.2073013396002357E-14</v>
      </c>
      <c r="BF88" s="14" t="e">
        <f t="shared" si="91"/>
        <v>#NUM!</v>
      </c>
      <c r="BG88" s="22" t="e">
        <f t="shared" si="61"/>
        <v>#NUM!</v>
      </c>
      <c r="BH88" s="62" t="e">
        <f t="shared" si="62"/>
        <v>#NUM!</v>
      </c>
      <c r="BI88" s="62">
        <f ca="1">AVERAGE(OFFSET($BH$3,0,0,'Données projet'!$E$11+1,1))-AVERAGE(OFFSET($H$3,0,0,'Données projet'!$E$11+1,1))</f>
        <v>198.95219623447554</v>
      </c>
      <c r="BJ88" s="62">
        <f t="shared" si="92"/>
        <v>299.68918988634471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2.2475501240814326</v>
      </c>
      <c r="BQ88" s="23">
        <f>EXP(-LN(2)/25)*BQ87+(1-EXP(-LN(2)/25))/(LN(2)/25)*Calculateur!BL88*Calculateur!BN88*VLOOKUP('Données projet'!$B$11,Paramètres!$A$1:$I$89,3,0)*0.475*44/12</f>
        <v>1.4188687989794189</v>
      </c>
      <c r="BR88" s="23">
        <f>EXP(-LN(2)/2)*BR87+(1-EXP(-LN(2)/2))/(LN(2)/2)*BL88*BO88*VLOOKUP('Données projet'!$B$11,Paramètres!$A$1:$I$89,3,0)*0.475*44/12</f>
        <v>9.3081075499456675E-8</v>
      </c>
      <c r="BS88" s="24">
        <f t="shared" si="63"/>
        <v>3.6664190161419268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2">
        <f t="shared" si="86"/>
        <v>21.272121944536373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70">
        <f t="shared" si="56"/>
        <v>426.9029523867344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1.6</v>
      </c>
      <c r="N89" s="14">
        <f>IF('Données projet'!$A$36&gt;35,N88+M89-V88,IF(A89&lt;'Données projet'!$A$36,$K$205^A89,IF(A89='Données projet'!$A$36,'Données projet'!$B$36,N88+M89-V88)))</f>
        <v>164.60000000000019</v>
      </c>
      <c r="O89" s="14">
        <f>N89*VLOOKUP('Données projet'!$B$9,Paramètres!$A$1:$I$89,3,0)*VLOOKUP('Données projet'!$B$9,Paramètres!$A$1:$I$89,5,0)</f>
        <v>143.79456000000019</v>
      </c>
      <c r="P89" s="14">
        <f t="shared" si="87"/>
        <v>37.164928293001893</v>
      </c>
      <c r="Q89" s="22">
        <f t="shared" si="54"/>
        <v>315.17110877697866</v>
      </c>
      <c r="R89" s="62">
        <f t="shared" si="55"/>
        <v>608.50444211031197</v>
      </c>
      <c r="S89" s="62">
        <f ca="1">AVERAGE(OFFSET($R$3,0,0,'Données projet'!$E$9+1,1))-AVERAGE(OFFSET($H$3,0,0,'Données projet'!$E$9+1,1))</f>
        <v>149.01553333688895</v>
      </c>
      <c r="T89" s="62">
        <f t="shared" si="88"/>
        <v>180.75293059562205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7.2652670160429274E-8</v>
      </c>
      <c r="AC89" s="24">
        <f t="shared" si="57"/>
        <v>7.2652670160429274E-8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-3.4106051316484809E-13</v>
      </c>
      <c r="AJ89" s="14">
        <f>AI89*VLOOKUP('Données projet'!$B$10,Paramètres!$A$1:$I$89,3,0)*VLOOKUP('Données projet'!$B$10,Paramètres!$A$1:$I$89,5,0)</f>
        <v>-2.5006556825246659E-13</v>
      </c>
      <c r="AK89" s="14" t="e">
        <f t="shared" si="89"/>
        <v>#NUM!</v>
      </c>
      <c r="AL89" s="22" t="e">
        <f t="shared" si="58"/>
        <v>#NUM!</v>
      </c>
      <c r="AM89" s="62" t="e">
        <f t="shared" si="59"/>
        <v>#NUM!</v>
      </c>
      <c r="AN89" s="62">
        <f ca="1">AVERAGE(OFFSET($AM$3,0,0,'Données projet'!$E$10+1,1))-AVERAGE(OFFSET($H$3,0,0,'Données projet'!$E$10+1,1))</f>
        <v>296.15681058372093</v>
      </c>
      <c r="AO89" s="62">
        <f t="shared" si="90"/>
        <v>304.69148609083879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1.1546921467073494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1.1546921467073494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-1.1368683772161603E-13</v>
      </c>
      <c r="BE89" s="14">
        <f>BD89*VLOOKUP('Données projet'!$B$11,Paramètres!$A$1:$I$89,3,0)*VLOOKUP('Données projet'!$B$11,Paramètres!$A$1:$I$89,5,0)</f>
        <v>-6.2073013396002357E-14</v>
      </c>
      <c r="BF89" s="14" t="e">
        <f t="shared" si="91"/>
        <v>#NUM!</v>
      </c>
      <c r="BG89" s="22" t="e">
        <f t="shared" si="61"/>
        <v>#NUM!</v>
      </c>
      <c r="BH89" s="62" t="e">
        <f t="shared" si="62"/>
        <v>#NUM!</v>
      </c>
      <c r="BI89" s="62">
        <f ca="1">AVERAGE(OFFSET($BH$3,0,0,'Données projet'!$E$11+1,1))-AVERAGE(OFFSET($H$3,0,0,'Données projet'!$E$11+1,1))</f>
        <v>198.95219623447554</v>
      </c>
      <c r="BJ89" s="62">
        <f t="shared" si="92"/>
        <v>299.68918988634471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2.2034770370184091</v>
      </c>
      <c r="BQ89" s="23">
        <f>EXP(-LN(2)/25)*BQ88+(1-EXP(-LN(2)/25))/(LN(2)/25)*Calculateur!BL89*Calculateur!BN89*VLOOKUP('Données projet'!$B$11,Paramètres!$A$1:$I$89,3,0)*0.475*44/12</f>
        <v>1.3800697570562594</v>
      </c>
      <c r="BR89" s="23">
        <f>EXP(-LN(2)/2)*BR88+(1-EXP(-LN(2)/2))/(LN(2)/2)*BL89*BO89*VLOOKUP('Données projet'!$B$11,Paramètres!$A$1:$I$89,3,0)*0.475*44/12</f>
        <v>6.581825968580282E-8</v>
      </c>
      <c r="BS89" s="24">
        <f t="shared" si="63"/>
        <v>3.5835468598929281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2">
        <f t="shared" si="86"/>
        <v>21.490533357793517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70">
        <f t="shared" si="56"/>
        <v>428.83204226482388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1.6</v>
      </c>
      <c r="N90" s="14">
        <f>IF('Données projet'!$A$36&gt;35,N89+M90-V89,IF(A90&lt;'Données projet'!$A$36,$K$205^A90,IF(A90='Données projet'!$A$36,'Données projet'!$B$36,N89+M90-V89)))</f>
        <v>166.20000000000019</v>
      </c>
      <c r="O90" s="14">
        <f>N90*VLOOKUP('Données projet'!$B$9,Paramètres!$A$1:$I$89,3,0)*VLOOKUP('Données projet'!$B$9,Paramètres!$A$1:$I$89,5,0)</f>
        <v>145.19232000000019</v>
      </c>
      <c r="P90" s="14">
        <f t="shared" si="87"/>
        <v>37.483960315974116</v>
      </c>
      <c r="Q90" s="22">
        <f t="shared" si="54"/>
        <v>318.16118821698859</v>
      </c>
      <c r="R90" s="62">
        <f t="shared" si="55"/>
        <v>611.49452155032191</v>
      </c>
      <c r="S90" s="62">
        <f ca="1">AVERAGE(OFFSET($R$3,0,0,'Données projet'!$E$9+1,1))-AVERAGE(OFFSET($H$3,0,0,'Données projet'!$E$9+1,1))</f>
        <v>149.01553333688895</v>
      </c>
      <c r="T90" s="62">
        <f t="shared" si="88"/>
        <v>180.75293059562205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5.1373195741749073E-8</v>
      </c>
      <c r="AC90" s="24">
        <f t="shared" si="57"/>
        <v>5.1373195741749073E-8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-3.4106051316484809E-13</v>
      </c>
      <c r="AJ90" s="14">
        <f>AI90*VLOOKUP('Données projet'!$B$10,Paramètres!$A$1:$I$89,3,0)*VLOOKUP('Données projet'!$B$10,Paramètres!$A$1:$I$89,5,0)</f>
        <v>-2.5006556825246659E-13</v>
      </c>
      <c r="AK90" s="14" t="e">
        <f t="shared" si="89"/>
        <v>#NUM!</v>
      </c>
      <c r="AL90" s="22" t="e">
        <f t="shared" si="58"/>
        <v>#NUM!</v>
      </c>
      <c r="AM90" s="62" t="e">
        <f t="shared" si="59"/>
        <v>#NUM!</v>
      </c>
      <c r="AN90" s="62">
        <f ca="1">AVERAGE(OFFSET($AM$3,0,0,'Données projet'!$E$10+1,1))-AVERAGE(OFFSET($H$3,0,0,'Données projet'!$E$10+1,1))</f>
        <v>296.15681058372093</v>
      </c>
      <c r="AO90" s="62">
        <f t="shared" si="90"/>
        <v>304.69148609083879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1.1231170292330162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1.1231170292330162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-1.1368683772161603E-13</v>
      </c>
      <c r="BE90" s="14">
        <f>BD90*VLOOKUP('Données projet'!$B$11,Paramètres!$A$1:$I$89,3,0)*VLOOKUP('Données projet'!$B$11,Paramètres!$A$1:$I$89,5,0)</f>
        <v>-6.2073013396002357E-14</v>
      </c>
      <c r="BF90" s="14" t="e">
        <f t="shared" si="91"/>
        <v>#NUM!</v>
      </c>
      <c r="BG90" s="22" t="e">
        <f t="shared" si="61"/>
        <v>#NUM!</v>
      </c>
      <c r="BH90" s="62" t="e">
        <f t="shared" si="62"/>
        <v>#NUM!</v>
      </c>
      <c r="BI90" s="62">
        <f ca="1">AVERAGE(OFFSET($BH$3,0,0,'Données projet'!$E$11+1,1))-AVERAGE(OFFSET($H$3,0,0,'Données projet'!$E$11+1,1))</f>
        <v>198.95219623447554</v>
      </c>
      <c r="BJ90" s="62">
        <f t="shared" si="92"/>
        <v>299.68918988634471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2.1602681963107631</v>
      </c>
      <c r="BQ90" s="23">
        <f>EXP(-LN(2)/25)*BQ89+(1-EXP(-LN(2)/25))/(LN(2)/25)*Calculateur!BL90*Calculateur!BN90*VLOOKUP('Données projet'!$B$11,Paramètres!$A$1:$I$89,3,0)*0.475*44/12</f>
        <v>1.3423316769748417</v>
      </c>
      <c r="BR90" s="23">
        <f>EXP(-LN(2)/2)*BR89+(1-EXP(-LN(2)/2))/(LN(2)/2)*BL90*BO90*VLOOKUP('Données projet'!$B$11,Paramètres!$A$1:$I$89,3,0)*0.475*44/12</f>
        <v>4.6540537749728338E-8</v>
      </c>
      <c r="BS90" s="24">
        <f t="shared" si="63"/>
        <v>3.5025999198261424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2">
        <f t="shared" si="86"/>
        <v>21.70865274023982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70">
        <f t="shared" si="56"/>
        <v>430.76062352258458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1.6</v>
      </c>
      <c r="N91" s="14">
        <f>IF('Données projet'!$A$36&gt;35,N90+M91-V90,IF(A91&lt;'Données projet'!$A$36,$K$205^A91,IF(A91='Données projet'!$A$36,'Données projet'!$B$36,N90+M91-V90)))</f>
        <v>167.80000000000018</v>
      </c>
      <c r="O91" s="14">
        <f>N91*VLOOKUP('Données projet'!$B$9,Paramètres!$A$1:$I$89,3,0)*VLOOKUP('Données projet'!$B$9,Paramètres!$A$1:$I$89,5,0)</f>
        <v>146.5900800000002</v>
      </c>
      <c r="P91" s="14">
        <f t="shared" si="87"/>
        <v>37.802635033193546</v>
      </c>
      <c r="Q91" s="22">
        <f t="shared" si="54"/>
        <v>321.15064534947913</v>
      </c>
      <c r="R91" s="62">
        <f t="shared" si="55"/>
        <v>614.48397868281245</v>
      </c>
      <c r="S91" s="62">
        <f ca="1">AVERAGE(OFFSET($R$3,0,0,'Données projet'!$E$9+1,1))-AVERAGE(OFFSET($H$3,0,0,'Données projet'!$E$9+1,1))</f>
        <v>149.01553333688895</v>
      </c>
      <c r="T91" s="62">
        <f t="shared" si="88"/>
        <v>180.75293059562205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3.6326335080214637E-8</v>
      </c>
      <c r="AC91" s="24">
        <f t="shared" si="57"/>
        <v>3.6326335080214637E-8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-3.4106051316484809E-13</v>
      </c>
      <c r="AJ91" s="14">
        <f>AI91*VLOOKUP('Données projet'!$B$10,Paramètres!$A$1:$I$89,3,0)*VLOOKUP('Données projet'!$B$10,Paramètres!$A$1:$I$89,5,0)</f>
        <v>-2.5006556825246659E-13</v>
      </c>
      <c r="AK91" s="14" t="e">
        <f t="shared" si="89"/>
        <v>#NUM!</v>
      </c>
      <c r="AL91" s="22" t="e">
        <f t="shared" si="58"/>
        <v>#NUM!</v>
      </c>
      <c r="AM91" s="62" t="e">
        <f t="shared" si="59"/>
        <v>#NUM!</v>
      </c>
      <c r="AN91" s="62">
        <f ca="1">AVERAGE(OFFSET($AM$3,0,0,'Données projet'!$E$10+1,1))-AVERAGE(OFFSET($H$3,0,0,'Données projet'!$E$10+1,1))</f>
        <v>296.15681058372093</v>
      </c>
      <c r="AO91" s="62">
        <f t="shared" si="90"/>
        <v>304.69148609083879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1.0924053350064817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1.0924053350064817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-1.1368683772161603E-13</v>
      </c>
      <c r="BE91" s="14">
        <f>BD91*VLOOKUP('Données projet'!$B$11,Paramètres!$A$1:$I$89,3,0)*VLOOKUP('Données projet'!$B$11,Paramètres!$A$1:$I$89,5,0)</f>
        <v>-6.2073013396002357E-14</v>
      </c>
      <c r="BF91" s="14" t="e">
        <f t="shared" si="91"/>
        <v>#NUM!</v>
      </c>
      <c r="BG91" s="22" t="e">
        <f t="shared" si="61"/>
        <v>#NUM!</v>
      </c>
      <c r="BH91" s="62" t="e">
        <f t="shared" si="62"/>
        <v>#NUM!</v>
      </c>
      <c r="BI91" s="62">
        <f ca="1">AVERAGE(OFFSET($BH$3,0,0,'Données projet'!$E$11+1,1))-AVERAGE(OFFSET($H$3,0,0,'Données projet'!$E$11+1,1))</f>
        <v>198.95219623447554</v>
      </c>
      <c r="BJ91" s="62">
        <f t="shared" si="92"/>
        <v>299.68918988634471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2.117906654614603</v>
      </c>
      <c r="BQ91" s="23">
        <f>EXP(-LN(2)/25)*BQ90+(1-EXP(-LN(2)/25))/(LN(2)/25)*Calculateur!BL91*Calculateur!BN91*VLOOKUP('Données projet'!$B$11,Paramètres!$A$1:$I$89,3,0)*0.475*44/12</f>
        <v>1.3056255466778097</v>
      </c>
      <c r="BR91" s="23">
        <f>EXP(-LN(2)/2)*BR90+(1-EXP(-LN(2)/2))/(LN(2)/2)*BL91*BO91*VLOOKUP('Données projet'!$B$11,Paramètres!$A$1:$I$89,3,0)*0.475*44/12</f>
        <v>3.290912984290141E-8</v>
      </c>
      <c r="BS91" s="24">
        <f t="shared" si="63"/>
        <v>3.4235322342015424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2">
        <f t="shared" si="86"/>
        <v>21.926483794395363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70">
        <f t="shared" si="56"/>
        <v>432.68870260857216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1.6</v>
      </c>
      <c r="N92" s="14">
        <f>IF('Données projet'!$A$36&gt;35,N91+M92-V91,IF(A92&lt;'Données projet'!$A$36,$K$205^A92,IF(A92='Données projet'!$A$36,'Données projet'!$B$36,N91+M92-V91)))</f>
        <v>169.40000000000018</v>
      </c>
      <c r="O92" s="14">
        <f>N92*VLOOKUP('Données projet'!$B$9,Paramètres!$A$1:$I$89,3,0)*VLOOKUP('Données projet'!$B$9,Paramètres!$A$1:$I$89,5,0)</f>
        <v>147.98784000000018</v>
      </c>
      <c r="P92" s="14">
        <f t="shared" si="87"/>
        <v>38.120956246204841</v>
      </c>
      <c r="Q92" s="22">
        <f t="shared" si="54"/>
        <v>324.13948679547377</v>
      </c>
      <c r="R92" s="62">
        <f t="shared" si="55"/>
        <v>617.47282012880714</v>
      </c>
      <c r="S92" s="62">
        <f ca="1">AVERAGE(OFFSET($R$3,0,0,'Données projet'!$E$9+1,1))-AVERAGE(OFFSET($H$3,0,0,'Données projet'!$E$9+1,1))</f>
        <v>149.01553333688895</v>
      </c>
      <c r="T92" s="62">
        <f t="shared" si="88"/>
        <v>180.75293059562205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2.5686597870874537E-8</v>
      </c>
      <c r="AC92" s="24">
        <f t="shared" si="57"/>
        <v>2.5686597870874537E-8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-3.4106051316484809E-13</v>
      </c>
      <c r="AJ92" s="14">
        <f>AI92*VLOOKUP('Données projet'!$B$10,Paramètres!$A$1:$I$89,3,0)*VLOOKUP('Données projet'!$B$10,Paramètres!$A$1:$I$89,5,0)</f>
        <v>-2.5006556825246659E-13</v>
      </c>
      <c r="AK92" s="14" t="e">
        <f t="shared" si="89"/>
        <v>#NUM!</v>
      </c>
      <c r="AL92" s="22" t="e">
        <f t="shared" si="58"/>
        <v>#NUM!</v>
      </c>
      <c r="AM92" s="62" t="e">
        <f t="shared" si="59"/>
        <v>#NUM!</v>
      </c>
      <c r="AN92" s="62">
        <f ca="1">AVERAGE(OFFSET($AM$3,0,0,'Données projet'!$E$10+1,1))-AVERAGE(OFFSET($H$3,0,0,'Données projet'!$E$10+1,1))</f>
        <v>296.15681058372093</v>
      </c>
      <c r="AO92" s="62">
        <f t="shared" si="90"/>
        <v>304.69148609083879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1.0625334536736297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1.0625334536736297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-1.1368683772161603E-13</v>
      </c>
      <c r="BE92" s="14">
        <f>BD92*VLOOKUP('Données projet'!$B$11,Paramètres!$A$1:$I$89,3,0)*VLOOKUP('Données projet'!$B$11,Paramètres!$A$1:$I$89,5,0)</f>
        <v>-6.2073013396002357E-14</v>
      </c>
      <c r="BF92" s="14" t="e">
        <f t="shared" si="91"/>
        <v>#NUM!</v>
      </c>
      <c r="BG92" s="22" t="e">
        <f t="shared" si="61"/>
        <v>#NUM!</v>
      </c>
      <c r="BH92" s="62" t="e">
        <f t="shared" si="62"/>
        <v>#NUM!</v>
      </c>
      <c r="BI92" s="62">
        <f ca="1">AVERAGE(OFFSET($BH$3,0,0,'Données projet'!$E$11+1,1))-AVERAGE(OFFSET($H$3,0,0,'Données projet'!$E$11+1,1))</f>
        <v>198.95219623447554</v>
      </c>
      <c r="BJ92" s="62">
        <f t="shared" si="92"/>
        <v>299.68918988634471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2.0763757969131156</v>
      </c>
      <c r="BQ92" s="23">
        <f>EXP(-LN(2)/25)*BQ91+(1-EXP(-LN(2)/25))/(LN(2)/25)*Calculateur!BL92*Calculateur!BN92*VLOOKUP('Données projet'!$B$11,Paramètres!$A$1:$I$89,3,0)*0.475*44/12</f>
        <v>1.2699231474440416</v>
      </c>
      <c r="BR92" s="23">
        <f>EXP(-LN(2)/2)*BR91+(1-EXP(-LN(2)/2))/(LN(2)/2)*BL92*BO92*VLOOKUP('Données projet'!$B$11,Paramètres!$A$1:$I$89,3,0)*0.475*44/12</f>
        <v>2.3270268874864169E-8</v>
      </c>
      <c r="BS92" s="24">
        <f t="shared" si="63"/>
        <v>3.3462989676274257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2">
        <f t="shared" si="86"/>
        <v>22.144030134787187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70">
        <f t="shared" si="56"/>
        <v>434.61628581808787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171</v>
      </c>
      <c r="L93" s="13">
        <f>VLOOKUP(A93,'Données projet'!$A$35:$I$55,9,0)</f>
        <v>1.6</v>
      </c>
      <c r="M93" s="13">
        <f t="array" ref="M93">INDEX(L:L,MIN(IF(ISNUMBER(L93:L289),ROW(L93:L289),"")))</f>
        <v>1.6</v>
      </c>
      <c r="N93" s="14">
        <f>IF('Données projet'!$A$36&gt;35,N92+M93-V92,IF(A93&lt;'Données projet'!$A$36,$K$205^A93,IF(A93='Données projet'!$A$36,'Données projet'!$B$36,N92+M93-V92)))</f>
        <v>171.00000000000017</v>
      </c>
      <c r="O93" s="14">
        <f>N93*VLOOKUP('Données projet'!$B$9,Paramètres!$A$1:$I$89,3,0)*VLOOKUP('Données projet'!$B$9,Paramètres!$A$1:$I$89,5,0)</f>
        <v>149.38560000000018</v>
      </c>
      <c r="P93" s="14">
        <f t="shared" si="87"/>
        <v>38.438927680599626</v>
      </c>
      <c r="Q93" s="22">
        <f t="shared" si="54"/>
        <v>327.12771904371129</v>
      </c>
      <c r="R93" s="62">
        <f t="shared" si="55"/>
        <v>620.46105237704455</v>
      </c>
      <c r="S93" s="62">
        <f ca="1">AVERAGE(OFFSET($R$3,0,0,'Données projet'!$E$9+1,1))-AVERAGE(OFFSET($H$3,0,0,'Données projet'!$E$9+1,1))</f>
        <v>149.01553333688895</v>
      </c>
      <c r="T93" s="62">
        <f t="shared" si="88"/>
        <v>180.75293059562205</v>
      </c>
      <c r="U93" s="16">
        <f>IF(ISNA(VLOOKUP(A93,'Données projet'!$A$35:$I$55,3,0)),0,VLOOKUP(A93,'Données projet'!$A$35:$I$55,3,0))</f>
        <v>15</v>
      </c>
      <c r="V93" s="16">
        <f>IF(ISNA(VLOOKUP(A93,'Données projet'!$A$35:$I$55,4,0)),0,VLOOKUP(A93,'Données projet'!$A$35:$I$55,4,0))</f>
        <v>171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1.8163167540107318E-8</v>
      </c>
      <c r="AC93" s="24">
        <f t="shared" si="57"/>
        <v>1.8163167540107318E-8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-3.4106051316484809E-13</v>
      </c>
      <c r="AJ93" s="14">
        <f>AI93*VLOOKUP('Données projet'!$B$10,Paramètres!$A$1:$I$89,3,0)*VLOOKUP('Données projet'!$B$10,Paramètres!$A$1:$I$89,5,0)</f>
        <v>-2.5006556825246659E-13</v>
      </c>
      <c r="AK93" s="14" t="e">
        <f t="shared" si="89"/>
        <v>#NUM!</v>
      </c>
      <c r="AL93" s="22" t="e">
        <f t="shared" si="58"/>
        <v>#NUM!</v>
      </c>
      <c r="AM93" s="62" t="e">
        <f t="shared" si="59"/>
        <v>#NUM!</v>
      </c>
      <c r="AN93" s="62">
        <f ca="1">AVERAGE(OFFSET($AM$3,0,0,'Données projet'!$E$10+1,1))-AVERAGE(OFFSET($H$3,0,0,'Données projet'!$E$10+1,1))</f>
        <v>296.15681058372093</v>
      </c>
      <c r="AO93" s="62">
        <f t="shared" si="90"/>
        <v>304.69148609083879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1.0334784205067185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1.0334784205067185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-1.1368683772161603E-13</v>
      </c>
      <c r="BE93" s="14">
        <f>BD93*VLOOKUP('Données projet'!$B$11,Paramètres!$A$1:$I$89,3,0)*VLOOKUP('Données projet'!$B$11,Paramètres!$A$1:$I$89,5,0)</f>
        <v>-6.2073013396002357E-14</v>
      </c>
      <c r="BF93" s="14" t="e">
        <f t="shared" si="91"/>
        <v>#NUM!</v>
      </c>
      <c r="BG93" s="22" t="e">
        <f t="shared" si="61"/>
        <v>#NUM!</v>
      </c>
      <c r="BH93" s="62" t="e">
        <f t="shared" si="62"/>
        <v>#NUM!</v>
      </c>
      <c r="BI93" s="62">
        <f ca="1">AVERAGE(OFFSET($BH$3,0,0,'Données projet'!$E$11+1,1))-AVERAGE(OFFSET($H$3,0,0,'Données projet'!$E$11+1,1))</f>
        <v>198.95219623447554</v>
      </c>
      <c r="BJ93" s="62">
        <f t="shared" si="92"/>
        <v>299.68918988634471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2.0356593339998326</v>
      </c>
      <c r="BQ93" s="23">
        <f>EXP(-LN(2)/25)*BQ92+(1-EXP(-LN(2)/25))/(LN(2)/25)*Calculateur!BL93*Calculateur!BN93*VLOOKUP('Données projet'!$B$11,Paramètres!$A$1:$I$89,3,0)*0.475*44/12</f>
        <v>1.2351970321948285</v>
      </c>
      <c r="BR93" s="23">
        <f>EXP(-LN(2)/2)*BR92+(1-EXP(-LN(2)/2))/(LN(2)/2)*BL93*BO93*VLOOKUP('Données projet'!$B$11,Paramètres!$A$1:$I$89,3,0)*0.475*44/12</f>
        <v>1.6454564921450705E-8</v>
      </c>
      <c r="BS93" s="24">
        <f t="shared" si="63"/>
        <v>3.2708563826492258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2">
        <f t="shared" si="86"/>
        <v>22.361295290994477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70">
        <f t="shared" si="56"/>
        <v>436.54337929848225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1.7053025658242404E-13</v>
      </c>
      <c r="O94" s="14">
        <f>N94*VLOOKUP('Données projet'!$B$9,Paramètres!$A$1:$I$89,3,0)*VLOOKUP('Données projet'!$B$9,Paramètres!$A$1:$I$89,5,0)</f>
        <v>1.4897523215040567E-13</v>
      </c>
      <c r="P94" s="14">
        <f t="shared" si="87"/>
        <v>2.136562777003313E-12</v>
      </c>
      <c r="Q94" s="22">
        <f t="shared" si="54"/>
        <v>3.9806453659427267E-12</v>
      </c>
      <c r="R94" s="62">
        <f t="shared" si="55"/>
        <v>293.33333333333729</v>
      </c>
      <c r="S94" s="62">
        <f ca="1">AVERAGE(OFFSET($R$3,0,0,'Données projet'!$E$9+1,1))-AVERAGE(OFFSET($H$3,0,0,'Données projet'!$E$9+1,1))</f>
        <v>149.01553333688895</v>
      </c>
      <c r="T94" s="62">
        <f t="shared" si="88"/>
        <v>180.75293059562205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1.2843298935437268E-8</v>
      </c>
      <c r="AC94" s="24">
        <f t="shared" si="57"/>
        <v>1.2843298935437268E-8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-3.4106051316484809E-13</v>
      </c>
      <c r="AJ94" s="14">
        <f>AI94*VLOOKUP('Données projet'!$B$10,Paramètres!$A$1:$I$89,3,0)*VLOOKUP('Données projet'!$B$10,Paramètres!$A$1:$I$89,5,0)</f>
        <v>-2.5006556825246659E-13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296.15681058372093</v>
      </c>
      <c r="AO94" s="62">
        <f t="shared" si="90"/>
        <v>304.69148609083879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1.0052178987496942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1.0052178987496942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-1.1368683772161603E-13</v>
      </c>
      <c r="BE94" s="14">
        <f>BD94*VLOOKUP('Données projet'!$B$11,Paramètres!$A$1:$I$89,3,0)*VLOOKUP('Données projet'!$B$11,Paramètres!$A$1:$I$89,5,0)</f>
        <v>-6.2073013396002357E-14</v>
      </c>
      <c r="BF94" s="14" t="e">
        <f t="shared" si="91"/>
        <v>#NUM!</v>
      </c>
      <c r="BG94" s="22" t="e">
        <f t="shared" si="61"/>
        <v>#NUM!</v>
      </c>
      <c r="BH94" s="62" t="e">
        <f t="shared" si="62"/>
        <v>#NUM!</v>
      </c>
      <c r="BI94" s="62">
        <f ca="1">AVERAGE(OFFSET($BH$3,0,0,'Données projet'!$E$11+1,1))-AVERAGE(OFFSET($H$3,0,0,'Données projet'!$E$11+1,1))</f>
        <v>198.95219623447554</v>
      </c>
      <c r="BJ94" s="62">
        <f t="shared" si="92"/>
        <v>299.68918988634471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1.9957412960896888</v>
      </c>
      <c r="BQ94" s="23">
        <f>EXP(-LN(2)/25)*BQ93+(1-EXP(-LN(2)/25))/(LN(2)/25)*Calculateur!BL94*Calculateur!BN94*VLOOKUP('Données projet'!$B$11,Paramètres!$A$1:$I$89,3,0)*0.475*44/12</f>
        <v>1.201420504393272</v>
      </c>
      <c r="BR94" s="23">
        <f>EXP(-LN(2)/2)*BR93+(1-EXP(-LN(2)/2))/(LN(2)/2)*BL94*BO94*VLOOKUP('Données projet'!$B$11,Paramètres!$A$1:$I$89,3,0)*0.475*44/12</f>
        <v>1.1635134437432084E-8</v>
      </c>
      <c r="BS94" s="24">
        <f t="shared" si="63"/>
        <v>3.1971618121180954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2">
        <f t="shared" si="86"/>
        <v>22.578282710556053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70">
        <f t="shared" si="56"/>
        <v>438.46998905421867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1.7053025658242404E-13</v>
      </c>
      <c r="O95" s="14">
        <f>N95*VLOOKUP('Données projet'!$B$9,Paramètres!$A$1:$I$89,3,0)*VLOOKUP('Données projet'!$B$9,Paramètres!$A$1:$I$89,5,0)</f>
        <v>1.4897523215040567E-13</v>
      </c>
      <c r="P95" s="14">
        <f t="shared" si="87"/>
        <v>2.136562777003313E-12</v>
      </c>
      <c r="Q95" s="22">
        <f t="shared" si="54"/>
        <v>3.9806453659427267E-12</v>
      </c>
      <c r="R95" s="62">
        <f t="shared" si="55"/>
        <v>293.33333333333729</v>
      </c>
      <c r="S95" s="62">
        <f ca="1">AVERAGE(OFFSET($R$3,0,0,'Données projet'!$E$9+1,1))-AVERAGE(OFFSET($H$3,0,0,'Données projet'!$E$9+1,1))</f>
        <v>149.01553333688895</v>
      </c>
      <c r="T95" s="62">
        <f t="shared" si="88"/>
        <v>180.75293059562205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9.0815837700536592E-9</v>
      </c>
      <c r="AC95" s="24">
        <f t="shared" si="57"/>
        <v>9.0815837700536592E-9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-3.4106051316484809E-13</v>
      </c>
      <c r="AJ95" s="14">
        <f>AI95*VLOOKUP('Données projet'!$B$10,Paramètres!$A$1:$I$89,3,0)*VLOOKUP('Données projet'!$B$10,Paramètres!$A$1:$I$89,5,0)</f>
        <v>-2.5006556825246659E-13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296.15681058372093</v>
      </c>
      <c r="AO95" s="62">
        <f t="shared" si="90"/>
        <v>304.69148609083879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0.97773016244627198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0.97773016244627198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-1.1368683772161603E-13</v>
      </c>
      <c r="BE95" s="14">
        <f>BD95*VLOOKUP('Données projet'!$B$11,Paramètres!$A$1:$I$89,3,0)*VLOOKUP('Données projet'!$B$11,Paramètres!$A$1:$I$89,5,0)</f>
        <v>-6.2073013396002357E-14</v>
      </c>
      <c r="BF95" s="14" t="e">
        <f t="shared" si="91"/>
        <v>#NUM!</v>
      </c>
      <c r="BG95" s="22" t="e">
        <f t="shared" si="61"/>
        <v>#NUM!</v>
      </c>
      <c r="BH95" s="62" t="e">
        <f t="shared" si="62"/>
        <v>#NUM!</v>
      </c>
      <c r="BI95" s="62">
        <f ca="1">AVERAGE(OFFSET($BH$3,0,0,'Données projet'!$E$11+1,1))-AVERAGE(OFFSET($H$3,0,0,'Données projet'!$E$11+1,1))</f>
        <v>198.95219623447554</v>
      </c>
      <c r="BJ95" s="62">
        <f t="shared" si="92"/>
        <v>299.68918988634471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1.956606026555364</v>
      </c>
      <c r="BQ95" s="23">
        <f>EXP(-LN(2)/25)*BQ94+(1-EXP(-LN(2)/25))/(LN(2)/25)*Calculateur!BL95*Calculateur!BN95*VLOOKUP('Données projet'!$B$11,Paramètres!$A$1:$I$89,3,0)*0.475*44/12</f>
        <v>1.1685675975206795</v>
      </c>
      <c r="BR95" s="23">
        <f>EXP(-LN(2)/2)*BR94+(1-EXP(-LN(2)/2))/(LN(2)/2)*BL95*BO95*VLOOKUP('Données projet'!$B$11,Paramètres!$A$1:$I$89,3,0)*0.475*44/12</f>
        <v>8.2272824607253526E-9</v>
      </c>
      <c r="BS95" s="24">
        <f t="shared" si="63"/>
        <v>3.1251736323033259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2">
        <f t="shared" si="86"/>
        <v>22.794995761747877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70">
        <f t="shared" si="56"/>
        <v>440.39612095171111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1.7053025658242404E-13</v>
      </c>
      <c r="O96" s="14">
        <f>N96*VLOOKUP('Données projet'!$B$9,Paramètres!$A$1:$I$89,3,0)*VLOOKUP('Données projet'!$B$9,Paramètres!$A$1:$I$89,5,0)</f>
        <v>1.4897523215040567E-13</v>
      </c>
      <c r="P96" s="14">
        <f t="shared" si="87"/>
        <v>2.136562777003313E-12</v>
      </c>
      <c r="Q96" s="22">
        <f t="shared" si="54"/>
        <v>3.9806453659427267E-12</v>
      </c>
      <c r="R96" s="62">
        <f t="shared" si="55"/>
        <v>293.33333333333729</v>
      </c>
      <c r="S96" s="62">
        <f ca="1">AVERAGE(OFFSET($R$3,0,0,'Données projet'!$E$9+1,1))-AVERAGE(OFFSET($H$3,0,0,'Données projet'!$E$9+1,1))</f>
        <v>149.01553333688895</v>
      </c>
      <c r="T96" s="62">
        <f t="shared" si="88"/>
        <v>180.75293059562205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6.4216494677186342E-9</v>
      </c>
      <c r="AC96" s="24">
        <f t="shared" si="57"/>
        <v>6.4216494677186342E-9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-3.4106051316484809E-13</v>
      </c>
      <c r="AJ96" s="14">
        <f>AI96*VLOOKUP('Données projet'!$B$10,Paramètres!$A$1:$I$89,3,0)*VLOOKUP('Données projet'!$B$10,Paramètres!$A$1:$I$89,5,0)</f>
        <v>-2.5006556825246659E-13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296.15681058372093</v>
      </c>
      <c r="AO96" s="62">
        <f t="shared" si="90"/>
        <v>304.69148609083879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0.9509940797375841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0.9509940797375841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-1.1368683772161603E-13</v>
      </c>
      <c r="BE96" s="14">
        <f>BD96*VLOOKUP('Données projet'!$B$11,Paramètres!$A$1:$I$89,3,0)*VLOOKUP('Données projet'!$B$11,Paramètres!$A$1:$I$89,5,0)</f>
        <v>-6.2073013396002357E-14</v>
      </c>
      <c r="BF96" s="14" t="e">
        <f t="shared" si="91"/>
        <v>#NUM!</v>
      </c>
      <c r="BG96" s="22" t="e">
        <f t="shared" si="61"/>
        <v>#NUM!</v>
      </c>
      <c r="BH96" s="62" t="e">
        <f t="shared" si="62"/>
        <v>#NUM!</v>
      </c>
      <c r="BI96" s="62">
        <f ca="1">AVERAGE(OFFSET($BH$3,0,0,'Données projet'!$E$11+1,1))-AVERAGE(OFFSET($H$3,0,0,'Données projet'!$E$11+1,1))</f>
        <v>198.95219623447554</v>
      </c>
      <c r="BJ96" s="62">
        <f t="shared" si="92"/>
        <v>299.68918988634471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1.91823817578645</v>
      </c>
      <c r="BQ96" s="23">
        <f>EXP(-LN(2)/25)*BQ95+(1-EXP(-LN(2)/25))/(LN(2)/25)*Calculateur!BL96*Calculateur!BN96*VLOOKUP('Données projet'!$B$11,Paramètres!$A$1:$I$89,3,0)*0.475*44/12</f>
        <v>1.1366130551141773</v>
      </c>
      <c r="BR96" s="23">
        <f>EXP(-LN(2)/2)*BR95+(1-EXP(-LN(2)/2))/(LN(2)/2)*BL96*BO96*VLOOKUP('Données projet'!$B$11,Paramètres!$A$1:$I$89,3,0)*0.475*44/12</f>
        <v>5.8175672187160422E-9</v>
      </c>
      <c r="BS96" s="24">
        <f t="shared" si="63"/>
        <v>3.0548512367181946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2">
        <f t="shared" si="86"/>
        <v>23.011437736237649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70">
        <f t="shared" si="56"/>
        <v>442.32178072394748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1.7053025658242404E-13</v>
      </c>
      <c r="O97" s="14">
        <f>N97*VLOOKUP('Données projet'!$B$9,Paramètres!$A$1:$I$89,3,0)*VLOOKUP('Données projet'!$B$9,Paramètres!$A$1:$I$89,5,0)</f>
        <v>1.4897523215040567E-13</v>
      </c>
      <c r="P97" s="14">
        <f t="shared" si="87"/>
        <v>2.136562777003313E-12</v>
      </c>
      <c r="Q97" s="22">
        <f t="shared" si="54"/>
        <v>3.9806453659427267E-12</v>
      </c>
      <c r="R97" s="62">
        <f t="shared" si="55"/>
        <v>293.33333333333729</v>
      </c>
      <c r="S97" s="62">
        <f ca="1">AVERAGE(OFFSET($R$3,0,0,'Données projet'!$E$9+1,1))-AVERAGE(OFFSET($H$3,0,0,'Données projet'!$E$9+1,1))</f>
        <v>149.01553333688895</v>
      </c>
      <c r="T97" s="62">
        <f t="shared" si="88"/>
        <v>180.75293059562205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4.5407918850268296E-9</v>
      </c>
      <c r="AC97" s="24">
        <f t="shared" si="57"/>
        <v>4.5407918850268296E-9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-3.4106051316484809E-13</v>
      </c>
      <c r="AJ97" s="14">
        <f>AI97*VLOOKUP('Données projet'!$B$10,Paramètres!$A$1:$I$89,3,0)*VLOOKUP('Données projet'!$B$10,Paramètres!$A$1:$I$89,5,0)</f>
        <v>-2.5006556825246659E-13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296.15681058372093</v>
      </c>
      <c r="AO97" s="62">
        <f t="shared" si="90"/>
        <v>304.69148609083879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0.92498909661655471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0.92498909661655471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-1.1368683772161603E-13</v>
      </c>
      <c r="BE97" s="14">
        <f>BD97*VLOOKUP('Données projet'!$B$11,Paramètres!$A$1:$I$89,3,0)*VLOOKUP('Données projet'!$B$11,Paramètres!$A$1:$I$89,5,0)</f>
        <v>-6.2073013396002357E-14</v>
      </c>
      <c r="BF97" s="14" t="e">
        <f t="shared" si="91"/>
        <v>#NUM!</v>
      </c>
      <c r="BG97" s="22" t="e">
        <f t="shared" si="61"/>
        <v>#NUM!</v>
      </c>
      <c r="BH97" s="62" t="e">
        <f t="shared" si="62"/>
        <v>#NUM!</v>
      </c>
      <c r="BI97" s="62">
        <f ca="1">AVERAGE(OFFSET($BH$3,0,0,'Données projet'!$E$11+1,1))-AVERAGE(OFFSET($H$3,0,0,'Données projet'!$E$11+1,1))</f>
        <v>198.95219623447554</v>
      </c>
      <c r="BJ97" s="62">
        <f t="shared" si="92"/>
        <v>299.68918988634471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1.8806226951690361</v>
      </c>
      <c r="BQ97" s="23">
        <f>EXP(-LN(2)/25)*BQ96+(1-EXP(-LN(2)/25))/(LN(2)/25)*Calculateur!BL97*Calculateur!BN97*VLOOKUP('Données projet'!$B$11,Paramètres!$A$1:$I$89,3,0)*0.475*44/12</f>
        <v>1.1055323113501974</v>
      </c>
      <c r="BR97" s="23">
        <f>EXP(-LN(2)/2)*BR96+(1-EXP(-LN(2)/2))/(LN(2)/2)*BL97*BO97*VLOOKUP('Données projet'!$B$11,Paramètres!$A$1:$I$89,3,0)*0.475*44/12</f>
        <v>4.1136412303626763E-9</v>
      </c>
      <c r="BS97" s="24">
        <f t="shared" si="63"/>
        <v>2.9861550106328747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2">
        <f t="shared" si="86"/>
        <v>23.227611851623202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70">
        <f t="shared" si="56"/>
        <v>444.24697397491065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1.7053025658242404E-13</v>
      </c>
      <c r="O98" s="14">
        <f>N98*VLOOKUP('Données projet'!$B$9,Paramètres!$A$1:$I$89,3,0)*VLOOKUP('Données projet'!$B$9,Paramètres!$A$1:$I$89,5,0)</f>
        <v>1.4897523215040567E-13</v>
      </c>
      <c r="P98" s="14">
        <f t="shared" si="87"/>
        <v>2.136562777003313E-12</v>
      </c>
      <c r="Q98" s="22">
        <f t="shared" si="54"/>
        <v>3.9806453659427267E-12</v>
      </c>
      <c r="R98" s="62">
        <f t="shared" si="55"/>
        <v>293.33333333333729</v>
      </c>
      <c r="S98" s="62">
        <f ca="1">AVERAGE(OFFSET($R$3,0,0,'Données projet'!$E$9+1,1))-AVERAGE(OFFSET($H$3,0,0,'Données projet'!$E$9+1,1))</f>
        <v>149.01553333688895</v>
      </c>
      <c r="T98" s="62">
        <f t="shared" si="88"/>
        <v>180.75293059562205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3.2108247338593171E-9</v>
      </c>
      <c r="AC98" s="24">
        <f t="shared" si="57"/>
        <v>3.2108247338593171E-9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-3.4106051316484809E-13</v>
      </c>
      <c r="AJ98" s="14">
        <f>AI98*VLOOKUP('Données projet'!$B$10,Paramètres!$A$1:$I$89,3,0)*VLOOKUP('Données projet'!$B$10,Paramètres!$A$1:$I$89,5,0)</f>
        <v>-2.5006556825246659E-13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296.15681058372093</v>
      </c>
      <c r="AO98" s="62">
        <f t="shared" si="90"/>
        <v>304.69148609083879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0.89969522112651257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0.89969522112651257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-1.1368683772161603E-13</v>
      </c>
      <c r="BE98" s="14">
        <f>BD98*VLOOKUP('Données projet'!$B$11,Paramètres!$A$1:$I$89,3,0)*VLOOKUP('Données projet'!$B$11,Paramètres!$A$1:$I$89,5,0)</f>
        <v>-6.2073013396002357E-14</v>
      </c>
      <c r="BF98" s="14" t="e">
        <f t="shared" si="91"/>
        <v>#NUM!</v>
      </c>
      <c r="BG98" s="22" t="e">
        <f t="shared" si="61"/>
        <v>#NUM!</v>
      </c>
      <c r="BH98" s="62" t="e">
        <f t="shared" si="62"/>
        <v>#NUM!</v>
      </c>
      <c r="BI98" s="62">
        <f ca="1">AVERAGE(OFFSET($BH$3,0,0,'Données projet'!$E$11+1,1))-AVERAGE(OFFSET($H$3,0,0,'Données projet'!$E$11+1,1))</f>
        <v>198.95219623447554</v>
      </c>
      <c r="BJ98" s="62">
        <f t="shared" si="92"/>
        <v>299.68918988634471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1.843744831183352</v>
      </c>
      <c r="BQ98" s="23">
        <f>EXP(-LN(2)/25)*BQ97+(1-EXP(-LN(2)/25))/(LN(2)/25)*Calculateur!BL98*Calculateur!BN98*VLOOKUP('Données projet'!$B$11,Paramètres!$A$1:$I$89,3,0)*0.475*44/12</f>
        <v>1.0753014721589087</v>
      </c>
      <c r="BR98" s="23">
        <f>EXP(-LN(2)/2)*BR97+(1-EXP(-LN(2)/2))/(LN(2)/2)*BL98*BO98*VLOOKUP('Données projet'!$B$11,Paramètres!$A$1:$I$89,3,0)*0.475*44/12</f>
        <v>2.9087836093580211E-9</v>
      </c>
      <c r="BS98" s="24">
        <f t="shared" si="63"/>
        <v>2.9190463062510439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2">
        <f t="shared" si="86"/>
        <v>23.443521253861071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70">
        <f t="shared" si="56"/>
        <v>446.17170618380828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1.7053025658242404E-13</v>
      </c>
      <c r="O99" s="14">
        <f>N99*VLOOKUP('Données projet'!$B$9,Paramètres!$A$1:$I$89,3,0)*VLOOKUP('Données projet'!$B$9,Paramètres!$A$1:$I$89,5,0)</f>
        <v>1.4897523215040567E-13</v>
      </c>
      <c r="P99" s="14">
        <f t="shared" si="87"/>
        <v>2.136562777003313E-12</v>
      </c>
      <c r="Q99" s="22">
        <f t="shared" ref="Q99:Q130" si="107">(O99+P99)*0.475*44/12</f>
        <v>3.9806453659427267E-12</v>
      </c>
      <c r="R99" s="62">
        <f t="shared" si="55"/>
        <v>293.33333333333729</v>
      </c>
      <c r="S99" s="62">
        <f ca="1">AVERAGE(OFFSET($R$3,0,0,'Données projet'!$E$9+1,1))-AVERAGE(OFFSET($H$3,0,0,'Données projet'!$E$9+1,1))</f>
        <v>149.01553333688895</v>
      </c>
      <c r="T99" s="62">
        <f t="shared" si="88"/>
        <v>180.75293059562205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2.2703959425134148E-9</v>
      </c>
      <c r="AC99" s="24">
        <f t="shared" si="57"/>
        <v>2.2703959425134148E-9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-3.4106051316484809E-13</v>
      </c>
      <c r="AJ99" s="14">
        <f>AI99*VLOOKUP('Données projet'!$B$10,Paramètres!$A$1:$I$89,3,0)*VLOOKUP('Données projet'!$B$10,Paramètres!$A$1:$I$89,5,0)</f>
        <v>-2.5006556825246659E-13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296.15681058372093</v>
      </c>
      <c r="AO99" s="62">
        <f t="shared" si="90"/>
        <v>304.69148609083879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0.87509300799189271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0.87509300799189271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-1.1368683772161603E-13</v>
      </c>
      <c r="BE99" s="14">
        <f>BD99*VLOOKUP('Données projet'!$B$11,Paramètres!$A$1:$I$89,3,0)*VLOOKUP('Données projet'!$B$11,Paramètres!$A$1:$I$89,5,0)</f>
        <v>-6.2073013396002357E-14</v>
      </c>
      <c r="BF99" s="14" t="e">
        <f t="shared" si="91"/>
        <v>#NUM!</v>
      </c>
      <c r="BG99" s="22" t="e">
        <f t="shared" si="61"/>
        <v>#NUM!</v>
      </c>
      <c r="BH99" s="62" t="e">
        <f t="shared" si="62"/>
        <v>#NUM!</v>
      </c>
      <c r="BI99" s="62">
        <f ca="1">AVERAGE(OFFSET($BH$3,0,0,'Données projet'!$E$11+1,1))-AVERAGE(OFFSET($H$3,0,0,'Données projet'!$E$11+1,1))</f>
        <v>198.95219623447554</v>
      </c>
      <c r="BJ99" s="62">
        <f t="shared" si="92"/>
        <v>299.68918988634471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1.8075901196171511</v>
      </c>
      <c r="BQ99" s="23">
        <f>EXP(-LN(2)/25)*BQ98+(1-EXP(-LN(2)/25))/(LN(2)/25)*Calculateur!BL99*Calculateur!BN99*VLOOKUP('Données projet'!$B$11,Paramètres!$A$1:$I$89,3,0)*0.475*44/12</f>
        <v>1.0458972968550766</v>
      </c>
      <c r="BR99" s="23">
        <f>EXP(-LN(2)/2)*BR98+(1-EXP(-LN(2)/2))/(LN(2)/2)*BL99*BO99*VLOOKUP('Données projet'!$B$11,Paramètres!$A$1:$I$89,3,0)*0.475*44/12</f>
        <v>2.0568206151813381E-9</v>
      </c>
      <c r="BS99" s="24">
        <f t="shared" si="63"/>
        <v>2.8534874185290482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2">
        <f t="shared" si="86"/>
        <v>23.659169019590845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70">
        <f t="shared" si="56"/>
        <v>448.09598270912102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1.7053025658242404E-13</v>
      </c>
      <c r="O100" s="14">
        <f>N100*VLOOKUP('Données projet'!$B$9,Paramètres!$A$1:$I$89,3,0)*VLOOKUP('Données projet'!$B$9,Paramètres!$A$1:$I$89,5,0)</f>
        <v>1.4897523215040567E-13</v>
      </c>
      <c r="P100" s="14">
        <f t="shared" si="87"/>
        <v>2.136562777003313E-12</v>
      </c>
      <c r="Q100" s="22">
        <f t="shared" si="107"/>
        <v>3.9806453659427267E-12</v>
      </c>
      <c r="R100" s="62">
        <f t="shared" si="55"/>
        <v>293.33333333333729</v>
      </c>
      <c r="S100" s="62">
        <f ca="1">AVERAGE(OFFSET($R$3,0,0,'Données projet'!$E$9+1,1))-AVERAGE(OFFSET($H$3,0,0,'Données projet'!$E$9+1,1))</f>
        <v>149.01553333688895</v>
      </c>
      <c r="T100" s="62">
        <f t="shared" si="88"/>
        <v>180.75293059562205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1.6054123669296585E-9</v>
      </c>
      <c r="AC100" s="24">
        <f t="shared" si="57"/>
        <v>1.6054123669296585E-9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-3.4106051316484809E-13</v>
      </c>
      <c r="AJ100" s="14">
        <f>AI100*VLOOKUP('Données projet'!$B$10,Paramètres!$A$1:$I$89,3,0)*VLOOKUP('Données projet'!$B$10,Paramètres!$A$1:$I$89,5,0)</f>
        <v>-2.5006556825246659E-13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296.15681058372093</v>
      </c>
      <c r="AO100" s="62">
        <f t="shared" si="90"/>
        <v>304.69148609083879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0.85116354366921321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0.85116354366921321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-1.1368683772161603E-13</v>
      </c>
      <c r="BE100" s="14">
        <f>BD100*VLOOKUP('Données projet'!$B$11,Paramètres!$A$1:$I$89,3,0)*VLOOKUP('Données projet'!$B$11,Paramètres!$A$1:$I$89,5,0)</f>
        <v>-6.2073013396002357E-14</v>
      </c>
      <c r="BF100" s="14" t="e">
        <f t="shared" si="91"/>
        <v>#NUM!</v>
      </c>
      <c r="BG100" s="22" t="e">
        <f t="shared" si="61"/>
        <v>#NUM!</v>
      </c>
      <c r="BH100" s="62" t="e">
        <f t="shared" si="62"/>
        <v>#NUM!</v>
      </c>
      <c r="BI100" s="62">
        <f ca="1">AVERAGE(OFFSET($BH$3,0,0,'Données projet'!$E$11+1,1))-AVERAGE(OFFSET($H$3,0,0,'Données projet'!$E$11+1,1))</f>
        <v>198.95219623447554</v>
      </c>
      <c r="BJ100" s="62">
        <f t="shared" si="92"/>
        <v>299.68918988634471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1.7721443798925669</v>
      </c>
      <c r="BQ100" s="23">
        <f>EXP(-LN(2)/25)*BQ99+(1-EXP(-LN(2)/25))/(LN(2)/25)*Calculateur!BL100*Calculateur!BN100*VLOOKUP('Données projet'!$B$11,Paramètres!$A$1:$I$89,3,0)*0.475*44/12</f>
        <v>1.0172971802712261</v>
      </c>
      <c r="BR100" s="23">
        <f>EXP(-LN(2)/2)*BR99+(1-EXP(-LN(2)/2))/(LN(2)/2)*BL100*BO100*VLOOKUP('Données projet'!$B$11,Paramètres!$A$1:$I$89,3,0)*0.475*44/12</f>
        <v>1.4543918046790106E-9</v>
      </c>
      <c r="BS100" s="24">
        <f t="shared" si="63"/>
        <v>2.7894415616181845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2">
        <f t="shared" si="86"/>
        <v>23.874558158360987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70">
        <f t="shared" si="56"/>
        <v>450.01980879247901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1.7053025658242404E-13</v>
      </c>
      <c r="O101" s="14">
        <f>N101*VLOOKUP('Données projet'!$B$9,Paramètres!$A$1:$I$89,3,0)*VLOOKUP('Données projet'!$B$9,Paramètres!$A$1:$I$89,5,0)</f>
        <v>1.4897523215040567E-13</v>
      </c>
      <c r="P101" s="14">
        <f t="shared" si="87"/>
        <v>2.136562777003313E-12</v>
      </c>
      <c r="Q101" s="22">
        <f t="shared" si="107"/>
        <v>3.9806453659427267E-12</v>
      </c>
      <c r="R101" s="62">
        <f t="shared" si="55"/>
        <v>293.33333333333729</v>
      </c>
      <c r="S101" s="62">
        <f ca="1">AVERAGE(OFFSET($R$3,0,0,'Données projet'!$E$9+1,1))-AVERAGE(OFFSET($H$3,0,0,'Données projet'!$E$9+1,1))</f>
        <v>149.01553333688895</v>
      </c>
      <c r="T101" s="62">
        <f t="shared" si="88"/>
        <v>180.75293059562205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1.1351979712567074E-9</v>
      </c>
      <c r="AC101" s="24">
        <f t="shared" si="57"/>
        <v>1.1351979712567074E-9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-3.4106051316484809E-13</v>
      </c>
      <c r="AJ101" s="14">
        <f>AI101*VLOOKUP('Données projet'!$B$10,Paramètres!$A$1:$I$89,3,0)*VLOOKUP('Données projet'!$B$10,Paramètres!$A$1:$I$89,5,0)</f>
        <v>-2.5006556825246659E-13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296.15681058372093</v>
      </c>
      <c r="AO101" s="62">
        <f t="shared" si="90"/>
        <v>304.69148609083879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0.82788843180683314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0.82788843180683314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-1.1368683772161603E-13</v>
      </c>
      <c r="BE101" s="14">
        <f>BD101*VLOOKUP('Données projet'!$B$11,Paramètres!$A$1:$I$89,3,0)*VLOOKUP('Données projet'!$B$11,Paramètres!$A$1:$I$89,5,0)</f>
        <v>-6.2073013396002357E-14</v>
      </c>
      <c r="BF101" s="14" t="e">
        <f t="shared" si="91"/>
        <v>#NUM!</v>
      </c>
      <c r="BG101" s="22" t="e">
        <f t="shared" si="61"/>
        <v>#NUM!</v>
      </c>
      <c r="BH101" s="62" t="e">
        <f t="shared" si="62"/>
        <v>#NUM!</v>
      </c>
      <c r="BI101" s="62">
        <f ca="1">AVERAGE(OFFSET($BH$3,0,0,'Données projet'!$E$11+1,1))-AVERAGE(OFFSET($H$3,0,0,'Données projet'!$E$11+1,1))</f>
        <v>198.95219623447554</v>
      </c>
      <c r="BJ101" s="62">
        <f t="shared" si="92"/>
        <v>299.68918988634471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1.7373937095042153</v>
      </c>
      <c r="BQ101" s="23">
        <f>EXP(-LN(2)/25)*BQ100+(1-EXP(-LN(2)/25))/(LN(2)/25)*Calculateur!BL101*Calculateur!BN101*VLOOKUP('Données projet'!$B$11,Paramètres!$A$1:$I$89,3,0)*0.475*44/12</f>
        <v>0.98947913537937571</v>
      </c>
      <c r="BR101" s="23">
        <f>EXP(-LN(2)/2)*BR100+(1-EXP(-LN(2)/2))/(LN(2)/2)*BL101*BO101*VLOOKUP('Données projet'!$B$11,Paramètres!$A$1:$I$89,3,0)*0.475*44/12</f>
        <v>1.0284103075906691E-9</v>
      </c>
      <c r="BS101" s="24">
        <f t="shared" si="63"/>
        <v>2.7268728459120011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2">
        <f t="shared" si="86"/>
        <v>24.089691614761293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70">
        <f t="shared" si="56"/>
        <v>451.94318956237618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1.7053025658242404E-13</v>
      </c>
      <c r="O102" s="14">
        <f>N102*VLOOKUP('Données projet'!$B$9,Paramètres!$A$1:$I$89,3,0)*VLOOKUP('Données projet'!$B$9,Paramètres!$A$1:$I$89,5,0)</f>
        <v>1.4897523215040567E-13</v>
      </c>
      <c r="P102" s="14">
        <f t="shared" si="87"/>
        <v>2.136562777003313E-12</v>
      </c>
      <c r="Q102" s="22">
        <f t="shared" si="107"/>
        <v>3.9806453659427267E-12</v>
      </c>
      <c r="R102" s="62">
        <f t="shared" si="55"/>
        <v>293.33333333333729</v>
      </c>
      <c r="S102" s="62">
        <f ca="1">AVERAGE(OFFSET($R$3,0,0,'Données projet'!$E$9+1,1))-AVERAGE(OFFSET($H$3,0,0,'Données projet'!$E$9+1,1))</f>
        <v>149.01553333688895</v>
      </c>
      <c r="T102" s="62">
        <f t="shared" si="88"/>
        <v>180.75293059562205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8.0270618346482927E-10</v>
      </c>
      <c r="AC102" s="24">
        <f t="shared" si="57"/>
        <v>8.0270618346482927E-10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-3.4106051316484809E-13</v>
      </c>
      <c r="AJ102" s="14">
        <f>AI102*VLOOKUP('Données projet'!$B$10,Paramètres!$A$1:$I$89,3,0)*VLOOKUP('Données projet'!$B$10,Paramètres!$A$1:$I$89,5,0)</f>
        <v>-2.5006556825246659E-13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296.15681058372093</v>
      </c>
      <c r="AO102" s="62">
        <f t="shared" si="90"/>
        <v>304.69148609083879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0.80524977910231477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0.80524977910231477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-1.1368683772161603E-13</v>
      </c>
      <c r="BE102" s="14">
        <f>BD102*VLOOKUP('Données projet'!$B$11,Paramètres!$A$1:$I$89,3,0)*VLOOKUP('Données projet'!$B$11,Paramètres!$A$1:$I$89,5,0)</f>
        <v>-6.2073013396002357E-14</v>
      </c>
      <c r="BF102" s="14" t="e">
        <f t="shared" si="91"/>
        <v>#NUM!</v>
      </c>
      <c r="BG102" s="22" t="e">
        <f t="shared" si="61"/>
        <v>#NUM!</v>
      </c>
      <c r="BH102" s="62" t="e">
        <f t="shared" si="62"/>
        <v>#NUM!</v>
      </c>
      <c r="BI102" s="62">
        <f ca="1">AVERAGE(OFFSET($BH$3,0,0,'Données projet'!$E$11+1,1))-AVERAGE(OFFSET($H$3,0,0,'Données projet'!$E$11+1,1))</f>
        <v>198.95219623447554</v>
      </c>
      <c r="BJ102" s="62">
        <f t="shared" si="92"/>
        <v>299.68918988634471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1.7033244785663633</v>
      </c>
      <c r="BQ102" s="23">
        <f>EXP(-LN(2)/25)*BQ101+(1-EXP(-LN(2)/25))/(LN(2)/25)*Calculateur!BL102*Calculateur!BN102*VLOOKUP('Données projet'!$B$11,Paramètres!$A$1:$I$89,3,0)*0.475*44/12</f>
        <v>0.96242177638798043</v>
      </c>
      <c r="BR102" s="23">
        <f>EXP(-LN(2)/2)*BR101+(1-EXP(-LN(2)/2))/(LN(2)/2)*BL102*BO102*VLOOKUP('Données projet'!$B$11,Paramètres!$A$1:$I$89,3,0)*0.475*44/12</f>
        <v>7.2719590233950528E-10</v>
      </c>
      <c r="BS102" s="24">
        <f t="shared" si="63"/>
        <v>2.6657462556815399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2">
        <f t="shared" si="86"/>
        <v>24.304572270466512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70">
        <f t="shared" si="56"/>
        <v>453.86613003772942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1.7053025658242404E-13</v>
      </c>
      <c r="O103" s="14">
        <f>N103*VLOOKUP('Données projet'!$B$9,Paramètres!$A$1:$I$89,3,0)*VLOOKUP('Données projet'!$B$9,Paramètres!$A$1:$I$89,5,0)</f>
        <v>1.4897523215040567E-13</v>
      </c>
      <c r="P103" s="14">
        <f t="shared" si="87"/>
        <v>2.136562777003313E-12</v>
      </c>
      <c r="Q103" s="22">
        <f t="shared" si="107"/>
        <v>3.9806453659427267E-12</v>
      </c>
      <c r="R103" s="62">
        <f t="shared" si="55"/>
        <v>293.33333333333729</v>
      </c>
      <c r="S103" s="62">
        <f ca="1">AVERAGE(OFFSET($R$3,0,0,'Données projet'!$E$9+1,1))-AVERAGE(OFFSET($H$3,0,0,'Données projet'!$E$9+1,1))</f>
        <v>149.01553333688895</v>
      </c>
      <c r="T103" s="62">
        <f t="shared" si="88"/>
        <v>180.75293059562205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5.675989856283537E-10</v>
      </c>
      <c r="AC103" s="24">
        <f t="shared" si="57"/>
        <v>5.675989856283537E-10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-3.4106051316484809E-13</v>
      </c>
      <c r="AJ103" s="14">
        <f>AI103*VLOOKUP('Données projet'!$B$10,Paramètres!$A$1:$I$89,3,0)*VLOOKUP('Données projet'!$B$10,Paramètres!$A$1:$I$89,5,0)</f>
        <v>-2.5006556825246659E-13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296.15681058372093</v>
      </c>
      <c r="AO103" s="62">
        <f t="shared" si="90"/>
        <v>304.69148609083879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0.78323018154651647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0.78323018154651647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-1.1368683772161603E-13</v>
      </c>
      <c r="BE103" s="14">
        <f>BD103*VLOOKUP('Données projet'!$B$11,Paramètres!$A$1:$I$89,3,0)*VLOOKUP('Données projet'!$B$11,Paramètres!$A$1:$I$89,5,0)</f>
        <v>-6.2073013396002357E-14</v>
      </c>
      <c r="BF103" s="14" t="e">
        <f t="shared" si="91"/>
        <v>#NUM!</v>
      </c>
      <c r="BG103" s="22" t="e">
        <f t="shared" si="61"/>
        <v>#NUM!</v>
      </c>
      <c r="BH103" s="62" t="e">
        <f t="shared" si="62"/>
        <v>#NUM!</v>
      </c>
      <c r="BI103" s="62">
        <f ca="1">AVERAGE(OFFSET($BH$3,0,0,'Données projet'!$E$11+1,1))-AVERAGE(OFFSET($H$3,0,0,'Données projet'!$E$11+1,1))</f>
        <v>198.95219623447554</v>
      </c>
      <c r="BJ103" s="62">
        <f t="shared" si="92"/>
        <v>299.68918988634471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1.6699233244670235</v>
      </c>
      <c r="BQ103" s="23">
        <f>EXP(-LN(2)/25)*BQ102+(1-EXP(-LN(2)/25))/(LN(2)/25)*Calculateur!BL103*Calculateur!BN103*VLOOKUP('Données projet'!$B$11,Paramètres!$A$1:$I$89,3,0)*0.475*44/12</f>
        <v>0.93610430230108954</v>
      </c>
      <c r="BR103" s="23">
        <f>EXP(-LN(2)/2)*BR102+(1-EXP(-LN(2)/2))/(LN(2)/2)*BL103*BO103*VLOOKUP('Données projet'!$B$11,Paramètres!$A$1:$I$89,3,0)*0.475*44/12</f>
        <v>5.1420515379533453E-10</v>
      </c>
      <c r="BS103" s="24">
        <f t="shared" si="63"/>
        <v>2.6060276272823182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2">
        <f t="shared" si="86"/>
        <v>24.519202946196138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70">
        <f t="shared" si="56"/>
        <v>455.78863513129187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1.7053025658242404E-13</v>
      </c>
      <c r="O104" s="14">
        <f>N104*VLOOKUP('Données projet'!$B$9,Paramètres!$A$1:$I$89,3,0)*VLOOKUP('Données projet'!$B$9,Paramètres!$A$1:$I$89,5,0)</f>
        <v>1.4897523215040567E-13</v>
      </c>
      <c r="P104" s="14">
        <f t="shared" si="87"/>
        <v>2.136562777003313E-12</v>
      </c>
      <c r="Q104" s="22">
        <f t="shared" si="107"/>
        <v>3.9806453659427267E-12</v>
      </c>
      <c r="R104" s="62">
        <f t="shared" si="55"/>
        <v>293.33333333333729</v>
      </c>
      <c r="S104" s="62">
        <f ca="1">AVERAGE(OFFSET($R$3,0,0,'Données projet'!$E$9+1,1))-AVERAGE(OFFSET($H$3,0,0,'Données projet'!$E$9+1,1))</f>
        <v>149.01553333688895</v>
      </c>
      <c r="T104" s="62">
        <f t="shared" si="88"/>
        <v>180.75293059562205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4.0135309173241464E-10</v>
      </c>
      <c r="AC104" s="24">
        <f t="shared" si="57"/>
        <v>4.0135309173241464E-10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-3.4106051316484809E-13</v>
      </c>
      <c r="AJ104" s="14">
        <f>AI104*VLOOKUP('Données projet'!$B$10,Paramètres!$A$1:$I$89,3,0)*VLOOKUP('Données projet'!$B$10,Paramètres!$A$1:$I$89,5,0)</f>
        <v>-2.5006556825246659E-13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296.15681058372093</v>
      </c>
      <c r="AO104" s="62">
        <f t="shared" si="90"/>
        <v>304.69148609083879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0.76181271104384185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0.76181271104384185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-1.1368683772161603E-13</v>
      </c>
      <c r="BE104" s="14">
        <f>BD104*VLOOKUP('Données projet'!$B$11,Paramètres!$A$1:$I$89,3,0)*VLOOKUP('Données projet'!$B$11,Paramètres!$A$1:$I$89,5,0)</f>
        <v>-6.2073013396002357E-14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198.95219623447554</v>
      </c>
      <c r="BJ104" s="62">
        <f t="shared" si="92"/>
        <v>299.68918988634471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1.6371771466268794</v>
      </c>
      <c r="BQ104" s="23">
        <f>EXP(-LN(2)/25)*BQ103+(1-EXP(-LN(2)/25))/(LN(2)/25)*Calculateur!BL104*Calculateur!BN104*VLOOKUP('Données projet'!$B$11,Paramètres!$A$1:$I$89,3,0)*0.475*44/12</f>
        <v>0.91050648092708053</v>
      </c>
      <c r="BR104" s="23">
        <f>EXP(-LN(2)/2)*BR103+(1-EXP(-LN(2)/2))/(LN(2)/2)*BL104*BO104*VLOOKUP('Données projet'!$B$11,Paramètres!$A$1:$I$89,3,0)*0.475*44/12</f>
        <v>3.6359795116975264E-10</v>
      </c>
      <c r="BS104" s="24">
        <f t="shared" si="63"/>
        <v>2.5476836279175581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2">
        <f t="shared" si="86"/>
        <v>24.733586403594217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70">
        <f t="shared" si="56"/>
        <v>457.71070965292688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1.7053025658242404E-13</v>
      </c>
      <c r="O105" s="14">
        <f>N105*VLOOKUP('Données projet'!$B$9,Paramètres!$A$1:$I$89,3,0)*VLOOKUP('Données projet'!$B$9,Paramètres!$A$1:$I$89,5,0)</f>
        <v>1.4897523215040567E-13</v>
      </c>
      <c r="P105" s="14">
        <f t="shared" si="87"/>
        <v>2.136562777003313E-12</v>
      </c>
      <c r="Q105" s="22">
        <f t="shared" si="107"/>
        <v>3.9806453659427267E-12</v>
      </c>
      <c r="R105" s="62">
        <f t="shared" si="55"/>
        <v>293.33333333333729</v>
      </c>
      <c r="S105" s="62">
        <f ca="1">AVERAGE(OFFSET($R$3,0,0,'Données projet'!$E$9+1,1))-AVERAGE(OFFSET($H$3,0,0,'Données projet'!$E$9+1,1))</f>
        <v>149.01553333688895</v>
      </c>
      <c r="T105" s="62">
        <f t="shared" si="88"/>
        <v>180.75293059562205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2.8379949281417685E-10</v>
      </c>
      <c r="AC105" s="24">
        <f t="shared" si="57"/>
        <v>2.8379949281417685E-10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-3.4106051316484809E-13</v>
      </c>
      <c r="AJ105" s="14">
        <f>AI105*VLOOKUP('Données projet'!$B$10,Paramètres!$A$1:$I$89,3,0)*VLOOKUP('Données projet'!$B$10,Paramètres!$A$1:$I$89,5,0)</f>
        <v>-2.5006556825246659E-13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296.15681058372093</v>
      </c>
      <c r="AO105" s="62">
        <f t="shared" si="90"/>
        <v>304.69148609083879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0.74098090239835868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0.74098090239835868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-1.1368683772161603E-13</v>
      </c>
      <c r="BE105" s="14">
        <f>BD105*VLOOKUP('Données projet'!$B$11,Paramètres!$A$1:$I$89,3,0)*VLOOKUP('Données projet'!$B$11,Paramètres!$A$1:$I$89,5,0)</f>
        <v>-6.2073013396002357E-14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198.95219623447554</v>
      </c>
      <c r="BJ105" s="62">
        <f t="shared" si="92"/>
        <v>299.68918988634471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1.6050731013609842</v>
      </c>
      <c r="BQ105" s="23">
        <f>EXP(-LN(2)/25)*BQ104+(1-EXP(-LN(2)/25))/(LN(2)/25)*Calculateur!BL105*Calculateur!BN105*VLOOKUP('Données projet'!$B$11,Paramètres!$A$1:$I$89,3,0)*0.475*44/12</f>
        <v>0.88560863332467465</v>
      </c>
      <c r="BR105" s="23">
        <f>EXP(-LN(2)/2)*BR104+(1-EXP(-LN(2)/2))/(LN(2)/2)*BL105*BO105*VLOOKUP('Données projet'!$B$11,Paramètres!$A$1:$I$89,3,0)*0.475*44/12</f>
        <v>2.5710257689766727E-10</v>
      </c>
      <c r="BS105" s="24">
        <f t="shared" si="63"/>
        <v>2.4906817349427617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2">
        <f t="shared" si="86"/>
        <v>24.947725347033305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70">
        <f t="shared" si="56"/>
        <v>459.63235831274994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1.7053025658242404E-13</v>
      </c>
      <c r="O106" s="14">
        <f>N106*VLOOKUP('Données projet'!$B$9,Paramètres!$A$1:$I$89,3,0)*VLOOKUP('Données projet'!$B$9,Paramètres!$A$1:$I$89,5,0)</f>
        <v>1.4897523215040567E-13</v>
      </c>
      <c r="P106" s="14">
        <f t="shared" si="87"/>
        <v>2.136562777003313E-12</v>
      </c>
      <c r="Q106" s="22">
        <f t="shared" si="107"/>
        <v>3.9806453659427267E-12</v>
      </c>
      <c r="R106" s="62">
        <f t="shared" si="55"/>
        <v>293.33333333333729</v>
      </c>
      <c r="S106" s="62">
        <f ca="1">AVERAGE(OFFSET($R$3,0,0,'Données projet'!$E$9+1,1))-AVERAGE(OFFSET($H$3,0,0,'Données projet'!$E$9+1,1))</f>
        <v>149.01553333688895</v>
      </c>
      <c r="T106" s="62">
        <f t="shared" si="88"/>
        <v>180.75293059562205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2.0067654586620732E-10</v>
      </c>
      <c r="AC106" s="24">
        <f t="shared" si="57"/>
        <v>2.0067654586620732E-10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-3.4106051316484809E-13</v>
      </c>
      <c r="AJ106" s="14">
        <f>AI106*VLOOKUP('Données projet'!$B$10,Paramètres!$A$1:$I$89,3,0)*VLOOKUP('Données projet'!$B$10,Paramètres!$A$1:$I$89,5,0)</f>
        <v>-2.5006556825246659E-13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296.15681058372093</v>
      </c>
      <c r="AO106" s="62">
        <f t="shared" si="90"/>
        <v>304.69148609083879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0.72071874065578345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0.72071874065578345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-1.1368683772161603E-13</v>
      </c>
      <c r="BE106" s="14">
        <f>BD106*VLOOKUP('Données projet'!$B$11,Paramètres!$A$1:$I$89,3,0)*VLOOKUP('Données projet'!$B$11,Paramètres!$A$1:$I$89,5,0)</f>
        <v>-6.2073013396002357E-14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198.95219623447554</v>
      </c>
      <c r="BJ106" s="62">
        <f t="shared" si="92"/>
        <v>299.68918988634471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1.5735985968412192</v>
      </c>
      <c r="BQ106" s="23">
        <f>EXP(-LN(2)/25)*BQ105+(1-EXP(-LN(2)/25))/(LN(2)/25)*Calculateur!BL106*Calculateur!BN106*VLOOKUP('Données projet'!$B$11,Paramètres!$A$1:$I$89,3,0)*0.475*44/12</f>
        <v>0.86139161867427749</v>
      </c>
      <c r="BR106" s="23">
        <f>EXP(-LN(2)/2)*BR105+(1-EXP(-LN(2)/2))/(LN(2)/2)*BL106*BO106*VLOOKUP('Données projet'!$B$11,Paramètres!$A$1:$I$89,3,0)*0.475*44/12</f>
        <v>1.8179897558487632E-10</v>
      </c>
      <c r="BS106" s="24">
        <f t="shared" si="63"/>
        <v>2.4349902156972956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2">
        <f t="shared" si="86"/>
        <v>25.161622425346469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70">
        <f t="shared" si="56"/>
        <v>461.55358572414536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1.7053025658242404E-13</v>
      </c>
      <c r="O107" s="14">
        <f>N107*VLOOKUP('Données projet'!$B$9,Paramètres!$A$1:$I$89,3,0)*VLOOKUP('Données projet'!$B$9,Paramètres!$A$1:$I$89,5,0)</f>
        <v>1.4897523215040567E-13</v>
      </c>
      <c r="P107" s="14">
        <f t="shared" si="87"/>
        <v>2.136562777003313E-12</v>
      </c>
      <c r="Q107" s="22">
        <f t="shared" si="107"/>
        <v>3.9806453659427267E-12</v>
      </c>
      <c r="R107" s="62">
        <f t="shared" si="55"/>
        <v>293.33333333333729</v>
      </c>
      <c r="S107" s="62">
        <f ca="1">AVERAGE(OFFSET($R$3,0,0,'Données projet'!$E$9+1,1))-AVERAGE(OFFSET($H$3,0,0,'Données projet'!$E$9+1,1))</f>
        <v>149.01553333688895</v>
      </c>
      <c r="T107" s="62">
        <f t="shared" si="88"/>
        <v>180.75293059562205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1.4189974640708843E-10</v>
      </c>
      <c r="AC107" s="24">
        <f t="shared" si="57"/>
        <v>1.4189974640708843E-10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-3.4106051316484809E-13</v>
      </c>
      <c r="AJ107" s="14">
        <f>AI107*VLOOKUP('Données projet'!$B$10,Paramètres!$A$1:$I$89,3,0)*VLOOKUP('Données projet'!$B$10,Paramètres!$A$1:$I$89,5,0)</f>
        <v>-2.5006556825246659E-13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296.15681058372093</v>
      </c>
      <c r="AO107" s="62">
        <f t="shared" si="90"/>
        <v>304.69148609083879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0.70101064879159969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0.70101064879159969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-1.1368683772161603E-13</v>
      </c>
      <c r="BE107" s="14">
        <f>BD107*VLOOKUP('Données projet'!$B$11,Paramètres!$A$1:$I$89,3,0)*VLOOKUP('Données projet'!$B$11,Paramètres!$A$1:$I$89,5,0)</f>
        <v>-6.2073013396002357E-14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198.95219623447554</v>
      </c>
      <c r="BJ107" s="62">
        <f t="shared" si="92"/>
        <v>299.68918988634471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1.5427412881575344</v>
      </c>
      <c r="BQ107" s="23">
        <f>EXP(-LN(2)/25)*BQ106+(1-EXP(-LN(2)/25))/(LN(2)/25)*Calculateur!BL107*Calculateur!BN107*VLOOKUP('Données projet'!$B$11,Paramètres!$A$1:$I$89,3,0)*0.475*44/12</f>
        <v>0.83783681956301292</v>
      </c>
      <c r="BR107" s="23">
        <f>EXP(-LN(2)/2)*BR106+(1-EXP(-LN(2)/2))/(LN(2)/2)*BL107*BO107*VLOOKUP('Données projet'!$B$11,Paramètres!$A$1:$I$89,3,0)*0.475*44/12</f>
        <v>1.2855128844883363E-10</v>
      </c>
      <c r="BS107" s="24">
        <f t="shared" si="63"/>
        <v>2.3805781078490988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2">
        <f t="shared" si="86"/>
        <v>25.375280233490724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70">
        <f t="shared" si="56"/>
        <v>463.47439640666329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1.7053025658242404E-13</v>
      </c>
      <c r="O108" s="14">
        <f>N108*VLOOKUP('Données projet'!$B$9,Paramètres!$A$1:$I$89,3,0)*VLOOKUP('Données projet'!$B$9,Paramètres!$A$1:$I$89,5,0)</f>
        <v>1.4897523215040567E-13</v>
      </c>
      <c r="P108" s="14">
        <f t="shared" si="87"/>
        <v>2.136562777003313E-12</v>
      </c>
      <c r="Q108" s="22">
        <f t="shared" si="107"/>
        <v>3.9806453659427267E-12</v>
      </c>
      <c r="R108" s="62">
        <f t="shared" si="55"/>
        <v>293.33333333333729</v>
      </c>
      <c r="S108" s="62">
        <f ca="1">AVERAGE(OFFSET($R$3,0,0,'Données projet'!$E$9+1,1))-AVERAGE(OFFSET($H$3,0,0,'Données projet'!$E$9+1,1))</f>
        <v>149.01553333688895</v>
      </c>
      <c r="T108" s="62">
        <f t="shared" si="88"/>
        <v>180.75293059562205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1.0033827293310366E-10</v>
      </c>
      <c r="AC108" s="24">
        <f t="shared" si="57"/>
        <v>1.0033827293310366E-10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-3.4106051316484809E-13</v>
      </c>
      <c r="AJ108" s="14">
        <f>AI108*VLOOKUP('Données projet'!$B$10,Paramètres!$A$1:$I$89,3,0)*VLOOKUP('Données projet'!$B$10,Paramètres!$A$1:$I$89,5,0)</f>
        <v>-2.5006556825246659E-13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296.15681058372093</v>
      </c>
      <c r="AO108" s="62">
        <f t="shared" si="90"/>
        <v>304.69148609083879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0.68184147573584553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0.68184147573584553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-1.1368683772161603E-13</v>
      </c>
      <c r="BE108" s="14">
        <f>BD108*VLOOKUP('Données projet'!$B$11,Paramètres!$A$1:$I$89,3,0)*VLOOKUP('Données projet'!$B$11,Paramètres!$A$1:$I$89,5,0)</f>
        <v>-6.2073013396002357E-14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198.95219623447554</v>
      </c>
      <c r="BJ108" s="62">
        <f t="shared" si="92"/>
        <v>299.68918988634471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1.5124890724760369</v>
      </c>
      <c r="BQ108" s="23">
        <f>EXP(-LN(2)/25)*BQ107+(1-EXP(-LN(2)/25))/(LN(2)/25)*Calculateur!BL108*Calculateur!BN108*VLOOKUP('Données projet'!$B$11,Paramètres!$A$1:$I$89,3,0)*0.475*44/12</f>
        <v>0.8149261276721389</v>
      </c>
      <c r="BR108" s="23">
        <f>EXP(-LN(2)/2)*BR107+(1-EXP(-LN(2)/2))/(LN(2)/2)*BL108*BO108*VLOOKUP('Données projet'!$B$11,Paramètres!$A$1:$I$89,3,0)*0.475*44/12</f>
        <v>9.089948779243816E-11</v>
      </c>
      <c r="BS108" s="24">
        <f t="shared" si="63"/>
        <v>2.3274152002390749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2">
        <f t="shared" si="86"/>
        <v>25.588701314145272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70">
        <f t="shared" si="56"/>
        <v>465.39479478880332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1.7053025658242404E-13</v>
      </c>
      <c r="O109" s="14">
        <f>N109*VLOOKUP('Données projet'!$B$9,Paramètres!$A$1:$I$89,3,0)*VLOOKUP('Données projet'!$B$9,Paramètres!$A$1:$I$89,5,0)</f>
        <v>1.4897523215040567E-13</v>
      </c>
      <c r="P109" s="14">
        <f t="shared" si="87"/>
        <v>2.136562777003313E-12</v>
      </c>
      <c r="Q109" s="22">
        <f t="shared" si="107"/>
        <v>3.9806453659427267E-12</v>
      </c>
      <c r="R109" s="62">
        <f t="shared" si="55"/>
        <v>293.33333333333729</v>
      </c>
      <c r="S109" s="62">
        <f ca="1">AVERAGE(OFFSET($R$3,0,0,'Données projet'!$E$9+1,1))-AVERAGE(OFFSET($H$3,0,0,'Données projet'!$E$9+1,1))</f>
        <v>149.01553333688895</v>
      </c>
      <c r="T109" s="62">
        <f t="shared" si="88"/>
        <v>180.75293059562205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7.0949873203544213E-11</v>
      </c>
      <c r="AC109" s="24">
        <f t="shared" si="57"/>
        <v>7.0949873203544213E-11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-3.4106051316484809E-13</v>
      </c>
      <c r="AJ109" s="14">
        <f>AI109*VLOOKUP('Données projet'!$B$10,Paramètres!$A$1:$I$89,3,0)*VLOOKUP('Données projet'!$B$10,Paramètres!$A$1:$I$89,5,0)</f>
        <v>-2.5006556825246659E-13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296.15681058372093</v>
      </c>
      <c r="AO109" s="62">
        <f t="shared" si="90"/>
        <v>304.69148609083879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0.66319648472536397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0.66319648472536397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-1.1368683772161603E-13</v>
      </c>
      <c r="BE109" s="14">
        <f>BD109*VLOOKUP('Données projet'!$B$11,Paramètres!$A$1:$I$89,3,0)*VLOOKUP('Données projet'!$B$11,Paramètres!$A$1:$I$89,5,0)</f>
        <v>-6.2073013396002357E-14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198.95219623447554</v>
      </c>
      <c r="BJ109" s="62">
        <f t="shared" si="92"/>
        <v>299.68918988634471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1.4828300842920241</v>
      </c>
      <c r="BQ109" s="23">
        <f>EXP(-LN(2)/25)*BQ108+(1-EXP(-LN(2)/25))/(LN(2)/25)*Calculateur!BL109*Calculateur!BN109*VLOOKUP('Données projet'!$B$11,Paramètres!$A$1:$I$89,3,0)*0.475*44/12</f>
        <v>0.7926419298558417</v>
      </c>
      <c r="BR109" s="23">
        <f>EXP(-LN(2)/2)*BR108+(1-EXP(-LN(2)/2))/(LN(2)/2)*BL109*BO109*VLOOKUP('Données projet'!$B$11,Paramètres!$A$1:$I$89,3,0)*0.475*44/12</f>
        <v>6.4275644224416817E-11</v>
      </c>
      <c r="BS109" s="24">
        <f t="shared" si="63"/>
        <v>2.2754720142121414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2">
        <f t="shared" si="86"/>
        <v>25.801888159247749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70">
        <f t="shared" si="56"/>
        <v>467.3147852106901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1.7053025658242404E-13</v>
      </c>
      <c r="O110" s="14">
        <f>N110*VLOOKUP('Données projet'!$B$9,Paramètres!$A$1:$I$89,3,0)*VLOOKUP('Données projet'!$B$9,Paramètres!$A$1:$I$89,5,0)</f>
        <v>1.4897523215040567E-13</v>
      </c>
      <c r="P110" s="14">
        <f t="shared" si="87"/>
        <v>2.136562777003313E-12</v>
      </c>
      <c r="Q110" s="22">
        <f t="shared" si="107"/>
        <v>3.9806453659427267E-12</v>
      </c>
      <c r="R110" s="62">
        <f t="shared" si="55"/>
        <v>293.33333333333729</v>
      </c>
      <c r="S110" s="62">
        <f ca="1">AVERAGE(OFFSET($R$3,0,0,'Données projet'!$E$9+1,1))-AVERAGE(OFFSET($H$3,0,0,'Données projet'!$E$9+1,1))</f>
        <v>149.01553333688895</v>
      </c>
      <c r="T110" s="62">
        <f t="shared" si="88"/>
        <v>180.75293059562205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5.016913646655183E-11</v>
      </c>
      <c r="AC110" s="24">
        <f t="shared" si="57"/>
        <v>5.016913646655183E-11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-3.4106051316484809E-13</v>
      </c>
      <c r="AJ110" s="14">
        <f>AI110*VLOOKUP('Données projet'!$B$10,Paramètres!$A$1:$I$89,3,0)*VLOOKUP('Données projet'!$B$10,Paramètres!$A$1:$I$89,5,0)</f>
        <v>-2.5006556825246659E-13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296.15681058372093</v>
      </c>
      <c r="AO110" s="62">
        <f t="shared" si="90"/>
        <v>304.69148609083879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0.64506134197456155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0.64506134197456155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-1.1368683772161603E-13</v>
      </c>
      <c r="BE110" s="14">
        <f>BD110*VLOOKUP('Données projet'!$B$11,Paramètres!$A$1:$I$89,3,0)*VLOOKUP('Données projet'!$B$11,Paramètres!$A$1:$I$89,5,0)</f>
        <v>-6.2073013396002357E-14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198.95219623447554</v>
      </c>
      <c r="BJ110" s="62">
        <f t="shared" si="92"/>
        <v>299.68918988634471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1.4537526907761031</v>
      </c>
      <c r="BQ110" s="23">
        <f>EXP(-LN(2)/25)*BQ109+(1-EXP(-LN(2)/25))/(LN(2)/25)*Calculateur!BL110*Calculateur!BN110*VLOOKUP('Données projet'!$B$11,Paramètres!$A$1:$I$89,3,0)*0.475*44/12</f>
        <v>0.77096709460070623</v>
      </c>
      <c r="BR110" s="23">
        <f>EXP(-LN(2)/2)*BR109+(1-EXP(-LN(2)/2))/(LN(2)/2)*BL110*BO110*VLOOKUP('Données projet'!$B$11,Paramètres!$A$1:$I$89,3,0)*0.475*44/12</f>
        <v>4.544974389621908E-11</v>
      </c>
      <c r="BS110" s="24">
        <f t="shared" si="63"/>
        <v>2.2247197854222591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2">
        <f t="shared" si="86"/>
        <v>26.014843211471252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70">
        <f t="shared" si="56"/>
        <v>469.23437192664602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1.7053025658242404E-13</v>
      </c>
      <c r="O111" s="14">
        <f>N111*VLOOKUP('Données projet'!$B$9,Paramètres!$A$1:$I$89,3,0)*VLOOKUP('Données projet'!$B$9,Paramètres!$A$1:$I$89,5,0)</f>
        <v>1.4897523215040567E-13</v>
      </c>
      <c r="P111" s="14">
        <f t="shared" si="87"/>
        <v>2.136562777003313E-12</v>
      </c>
      <c r="Q111" s="22">
        <f t="shared" si="107"/>
        <v>3.9806453659427267E-12</v>
      </c>
      <c r="R111" s="62">
        <f t="shared" si="55"/>
        <v>293.33333333333729</v>
      </c>
      <c r="S111" s="62">
        <f ca="1">AVERAGE(OFFSET($R$3,0,0,'Données projet'!$E$9+1,1))-AVERAGE(OFFSET($H$3,0,0,'Données projet'!$E$9+1,1))</f>
        <v>149.01553333688895</v>
      </c>
      <c r="T111" s="62">
        <f t="shared" si="88"/>
        <v>180.75293059562205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3.5474936601772106E-11</v>
      </c>
      <c r="AC111" s="24">
        <f t="shared" si="57"/>
        <v>3.5474936601772106E-11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-3.4106051316484809E-13</v>
      </c>
      <c r="AJ111" s="14">
        <f>AI111*VLOOKUP('Données projet'!$B$10,Paramètres!$A$1:$I$89,3,0)*VLOOKUP('Données projet'!$B$10,Paramètres!$A$1:$I$89,5,0)</f>
        <v>-2.5006556825246659E-13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296.15681058372093</v>
      </c>
      <c r="AO111" s="62">
        <f t="shared" si="90"/>
        <v>304.69148609083879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0.62742210565596546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0.62742210565596546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-1.1368683772161603E-13</v>
      </c>
      <c r="BE111" s="14">
        <f>BD111*VLOOKUP('Données projet'!$B$11,Paramètres!$A$1:$I$89,3,0)*VLOOKUP('Données projet'!$B$11,Paramètres!$A$1:$I$89,5,0)</f>
        <v>-6.2073013396002357E-14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198.95219623447554</v>
      </c>
      <c r="BJ111" s="62">
        <f t="shared" si="92"/>
        <v>299.68918988634471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1.4252454872115705</v>
      </c>
      <c r="BQ111" s="23">
        <f>EXP(-LN(2)/25)*BQ110+(1-EXP(-LN(2)/25))/(LN(2)/25)*Calculateur!BL111*Calculateur!BN111*VLOOKUP('Données projet'!$B$11,Paramètres!$A$1:$I$89,3,0)*0.475*44/12</f>
        <v>0.74988495885545248</v>
      </c>
      <c r="BR111" s="23">
        <f>EXP(-LN(2)/2)*BR110+(1-EXP(-LN(2)/2))/(LN(2)/2)*BL111*BO111*VLOOKUP('Données projet'!$B$11,Paramètres!$A$1:$I$89,3,0)*0.475*44/12</f>
        <v>3.2137822112208408E-11</v>
      </c>
      <c r="BS111" s="24">
        <f t="shared" si="63"/>
        <v>2.175130446099161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2">
        <f t="shared" si="86"/>
        <v>26.227568865645399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70">
        <f t="shared" si="56"/>
        <v>471.15355910766601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1.7053025658242404E-13</v>
      </c>
      <c r="O112" s="14">
        <f>N112*VLOOKUP('Données projet'!$B$9,Paramètres!$A$1:$I$89,3,0)*VLOOKUP('Données projet'!$B$9,Paramètres!$A$1:$I$89,5,0)</f>
        <v>1.4897523215040567E-13</v>
      </c>
      <c r="P112" s="14">
        <f t="shared" si="87"/>
        <v>2.136562777003313E-12</v>
      </c>
      <c r="Q112" s="22">
        <f t="shared" si="107"/>
        <v>3.9806453659427267E-12</v>
      </c>
      <c r="R112" s="62">
        <f t="shared" si="55"/>
        <v>293.33333333333729</v>
      </c>
      <c r="S112" s="62">
        <f ca="1">AVERAGE(OFFSET($R$3,0,0,'Données projet'!$E$9+1,1))-AVERAGE(OFFSET($H$3,0,0,'Données projet'!$E$9+1,1))</f>
        <v>149.01553333688895</v>
      </c>
      <c r="T112" s="62">
        <f t="shared" si="88"/>
        <v>180.75293059562205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2.5084568233275915E-11</v>
      </c>
      <c r="AC112" s="24">
        <f t="shared" si="57"/>
        <v>2.5084568233275915E-11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-3.4106051316484809E-13</v>
      </c>
      <c r="AJ112" s="14">
        <f>AI112*VLOOKUP('Données projet'!$B$10,Paramètres!$A$1:$I$89,3,0)*VLOOKUP('Données projet'!$B$10,Paramètres!$A$1:$I$89,5,0)</f>
        <v>-2.5006556825246659E-13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296.15681058372093</v>
      </c>
      <c r="AO112" s="62">
        <f t="shared" si="90"/>
        <v>304.69148609083879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0.61026521518210852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0.61026521518210852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-1.1368683772161603E-13</v>
      </c>
      <c r="BE112" s="14">
        <f>BD112*VLOOKUP('Données projet'!$B$11,Paramètres!$A$1:$I$89,3,0)*VLOOKUP('Données projet'!$B$11,Paramètres!$A$1:$I$89,5,0)</f>
        <v>-6.2073013396002357E-14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198.95219623447554</v>
      </c>
      <c r="BJ112" s="62">
        <f t="shared" si="92"/>
        <v>299.68918988634471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1.3972972925212612</v>
      </c>
      <c r="BQ112" s="23">
        <f>EXP(-LN(2)/25)*BQ111+(1-EXP(-LN(2)/25))/(LN(2)/25)*Calculateur!BL112*Calculateur!BN112*VLOOKUP('Données projet'!$B$11,Paramètres!$A$1:$I$89,3,0)*0.475*44/12</f>
        <v>0.72937931522081401</v>
      </c>
      <c r="BR112" s="23">
        <f>EXP(-LN(2)/2)*BR111+(1-EXP(-LN(2)/2))/(LN(2)/2)*BL112*BO112*VLOOKUP('Données projet'!$B$11,Paramètres!$A$1:$I$89,3,0)*0.475*44/12</f>
        <v>2.272487194810954E-11</v>
      </c>
      <c r="BS112" s="24">
        <f t="shared" si="63"/>
        <v>2.1266766077648001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2">
        <f t="shared" si="86"/>
        <v>26.440067470123306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70">
        <f t="shared" si="56"/>
        <v>473.0723508437984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1.7053025658242404E-13</v>
      </c>
      <c r="O113" s="14">
        <f>N113*VLOOKUP('Données projet'!$B$9,Paramètres!$A$1:$I$89,3,0)*VLOOKUP('Données projet'!$B$9,Paramètres!$A$1:$I$89,5,0)</f>
        <v>1.4897523215040567E-13</v>
      </c>
      <c r="P113" s="14">
        <f t="shared" si="87"/>
        <v>2.136562777003313E-12</v>
      </c>
      <c r="Q113" s="22">
        <f t="shared" si="107"/>
        <v>3.9806453659427267E-12</v>
      </c>
      <c r="R113" s="62">
        <f t="shared" si="55"/>
        <v>293.33333333333729</v>
      </c>
      <c r="S113" s="62">
        <f ca="1">AVERAGE(OFFSET($R$3,0,0,'Données projet'!$E$9+1,1))-AVERAGE(OFFSET($H$3,0,0,'Données projet'!$E$9+1,1))</f>
        <v>149.01553333688895</v>
      </c>
      <c r="T113" s="62">
        <f t="shared" si="88"/>
        <v>180.75293059562205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1.7737468300886053E-11</v>
      </c>
      <c r="AC113" s="24">
        <f t="shared" si="57"/>
        <v>1.7737468300886053E-11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-3.4106051316484809E-13</v>
      </c>
      <c r="AJ113" s="14">
        <f>AI113*VLOOKUP('Données projet'!$B$10,Paramètres!$A$1:$I$89,3,0)*VLOOKUP('Données projet'!$B$10,Paramètres!$A$1:$I$89,5,0)</f>
        <v>-2.5006556825246659E-13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296.15681058372093</v>
      </c>
      <c r="AO113" s="62">
        <f t="shared" si="90"/>
        <v>304.69148609083879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0.59357748078050088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0.59357748078050088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-1.1368683772161603E-13</v>
      </c>
      <c r="BE113" s="14">
        <f>BD113*VLOOKUP('Données projet'!$B$11,Paramètres!$A$1:$I$89,3,0)*VLOOKUP('Données projet'!$B$11,Paramètres!$A$1:$I$89,5,0)</f>
        <v>-6.2073013396002357E-14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198.95219623447554</v>
      </c>
      <c r="BJ113" s="62">
        <f t="shared" si="92"/>
        <v>299.68918988634471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1.3698971448821133</v>
      </c>
      <c r="BQ113" s="23">
        <f>EXP(-LN(2)/25)*BQ112+(1-EXP(-LN(2)/25))/(LN(2)/25)*Calculateur!BL113*Calculateur!BN113*VLOOKUP('Données projet'!$B$11,Paramètres!$A$1:$I$89,3,0)*0.475*44/12</f>
        <v>0.70943439948970966</v>
      </c>
      <c r="BR113" s="23">
        <f>EXP(-LN(2)/2)*BR112+(1-EXP(-LN(2)/2))/(LN(2)/2)*BL113*BO113*VLOOKUP('Données projet'!$B$11,Paramètres!$A$1:$I$89,3,0)*0.475*44/12</f>
        <v>1.6068911056104204E-11</v>
      </c>
      <c r="BS113" s="24">
        <f t="shared" si="63"/>
        <v>2.0793315443878919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2">
        <f t="shared" si="86"/>
        <v>26.65234132809799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70">
        <f t="shared" si="56"/>
        <v>474.99075114643767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1.7053025658242404E-13</v>
      </c>
      <c r="O114" s="14">
        <f>N114*VLOOKUP('Données projet'!$B$9,Paramètres!$A$1:$I$89,3,0)*VLOOKUP('Données projet'!$B$9,Paramètres!$A$1:$I$89,5,0)</f>
        <v>1.4897523215040567E-13</v>
      </c>
      <c r="P114" s="14">
        <f t="shared" si="87"/>
        <v>2.136562777003313E-12</v>
      </c>
      <c r="Q114" s="22">
        <f t="shared" si="107"/>
        <v>3.9806453659427267E-12</v>
      </c>
      <c r="R114" s="62">
        <f t="shared" si="55"/>
        <v>293.33333333333729</v>
      </c>
      <c r="S114" s="62">
        <f ca="1">AVERAGE(OFFSET($R$3,0,0,'Données projet'!$E$9+1,1))-AVERAGE(OFFSET($H$3,0,0,'Données projet'!$E$9+1,1))</f>
        <v>149.01553333688895</v>
      </c>
      <c r="T114" s="62">
        <f t="shared" si="88"/>
        <v>180.75293059562205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1.2542284116637957E-11</v>
      </c>
      <c r="AC114" s="24">
        <f t="shared" si="57"/>
        <v>1.2542284116637957E-11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-3.4106051316484809E-13</v>
      </c>
      <c r="AJ114" s="14">
        <f>AI114*VLOOKUP('Données projet'!$B$10,Paramètres!$A$1:$I$89,3,0)*VLOOKUP('Données projet'!$B$10,Paramètres!$A$1:$I$89,5,0)</f>
        <v>-2.5006556825246659E-13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296.15681058372093</v>
      </c>
      <c r="AO114" s="62">
        <f t="shared" si="90"/>
        <v>304.69148609083879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0.57734607335367505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0.57734607335367505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-1.1368683772161603E-13</v>
      </c>
      <c r="BE114" s="14">
        <f>BD114*VLOOKUP('Données projet'!$B$11,Paramètres!$A$1:$I$89,3,0)*VLOOKUP('Données projet'!$B$11,Paramètres!$A$1:$I$89,5,0)</f>
        <v>-6.2073013396002357E-14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198.95219623447554</v>
      </c>
      <c r="BJ114" s="62">
        <f t="shared" si="92"/>
        <v>299.68918988634471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1.3430342974257292</v>
      </c>
      <c r="BQ114" s="23">
        <f>EXP(-LN(2)/25)*BQ113+(1-EXP(-LN(2)/25))/(LN(2)/25)*Calculateur!BL114*Calculateur!BN114*VLOOKUP('Données projet'!$B$11,Paramètres!$A$1:$I$89,3,0)*0.475*44/12</f>
        <v>0.69003487852812995</v>
      </c>
      <c r="BR114" s="23">
        <f>EXP(-LN(2)/2)*BR113+(1-EXP(-LN(2)/2))/(LN(2)/2)*BL114*BO114*VLOOKUP('Données projet'!$B$11,Paramètres!$A$1:$I$89,3,0)*0.475*44/12</f>
        <v>1.136243597405477E-11</v>
      </c>
      <c r="BS114" s="24">
        <f t="shared" si="63"/>
        <v>2.0330691759652217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2">
        <f t="shared" si="86"/>
        <v>26.864392698869374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70">
        <f t="shared" si="56"/>
        <v>476.90876395053112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1.7053025658242404E-13</v>
      </c>
      <c r="O115" s="14">
        <f>N115*VLOOKUP('Données projet'!$B$9,Paramètres!$A$1:$I$89,3,0)*VLOOKUP('Données projet'!$B$9,Paramètres!$A$1:$I$89,5,0)</f>
        <v>1.4897523215040567E-13</v>
      </c>
      <c r="P115" s="14">
        <f t="shared" si="87"/>
        <v>2.136562777003313E-12</v>
      </c>
      <c r="Q115" s="22">
        <f t="shared" si="107"/>
        <v>3.9806453659427267E-12</v>
      </c>
      <c r="R115" s="62">
        <f t="shared" si="55"/>
        <v>293.33333333333729</v>
      </c>
      <c r="S115" s="62">
        <f ca="1">AVERAGE(OFFSET($R$3,0,0,'Données projet'!$E$9+1,1))-AVERAGE(OFFSET($H$3,0,0,'Données projet'!$E$9+1,1))</f>
        <v>149.01553333688895</v>
      </c>
      <c r="T115" s="62">
        <f t="shared" si="88"/>
        <v>180.75293059562205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8.8687341504430266E-12</v>
      </c>
      <c r="AC115" s="24">
        <f t="shared" si="57"/>
        <v>8.8687341504430266E-12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-3.4106051316484809E-13</v>
      </c>
      <c r="AJ115" s="14">
        <f>AI115*VLOOKUP('Données projet'!$B$10,Paramètres!$A$1:$I$89,3,0)*VLOOKUP('Données projet'!$B$10,Paramètres!$A$1:$I$89,5,0)</f>
        <v>-2.5006556825246659E-13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296.15681058372093</v>
      </c>
      <c r="AO115" s="62">
        <f t="shared" si="90"/>
        <v>304.69148609083879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0.5615585146165083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0.5615585146165083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-1.1368683772161603E-13</v>
      </c>
      <c r="BE115" s="14">
        <f>BD115*VLOOKUP('Données projet'!$B$11,Paramètres!$A$1:$I$89,3,0)*VLOOKUP('Données projet'!$B$11,Paramètres!$A$1:$I$89,5,0)</f>
        <v>-6.2073013396002357E-14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198.95219623447554</v>
      </c>
      <c r="BJ115" s="62">
        <f t="shared" si="92"/>
        <v>299.68918988634471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1.3166982140232457</v>
      </c>
      <c r="BQ115" s="23">
        <f>EXP(-LN(2)/25)*BQ114+(1-EXP(-LN(2)/25))/(LN(2)/25)*Calculateur!BL115*Calculateur!BN115*VLOOKUP('Données projet'!$B$11,Paramètres!$A$1:$I$89,3,0)*0.475*44/12</f>
        <v>0.67116583848742106</v>
      </c>
      <c r="BR115" s="23">
        <f>EXP(-LN(2)/2)*BR114+(1-EXP(-LN(2)/2))/(LN(2)/2)*BL115*BO115*VLOOKUP('Données projet'!$B$11,Paramètres!$A$1:$I$89,3,0)*0.475*44/12</f>
        <v>8.0344555280521021E-12</v>
      </c>
      <c r="BS115" s="24">
        <f t="shared" si="63"/>
        <v>1.9878640525187012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2">
        <f t="shared" si="86"/>
        <v>27.076223799065254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70">
        <f t="shared" si="56"/>
        <v>478.82639311670562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1.7053025658242404E-13</v>
      </c>
      <c r="O116" s="14">
        <f>N116*VLOOKUP('Données projet'!$B$9,Paramètres!$A$1:$I$89,3,0)*VLOOKUP('Données projet'!$B$9,Paramètres!$A$1:$I$89,5,0)</f>
        <v>1.4897523215040567E-13</v>
      </c>
      <c r="P116" s="14">
        <f t="shared" si="87"/>
        <v>2.136562777003313E-12</v>
      </c>
      <c r="Q116" s="22">
        <f t="shared" si="107"/>
        <v>3.9806453659427267E-12</v>
      </c>
      <c r="R116" s="62">
        <f t="shared" si="55"/>
        <v>293.33333333333729</v>
      </c>
      <c r="S116" s="62">
        <f ca="1">AVERAGE(OFFSET($R$3,0,0,'Données projet'!$E$9+1,1))-AVERAGE(OFFSET($H$3,0,0,'Données projet'!$E$9+1,1))</f>
        <v>149.01553333688895</v>
      </c>
      <c r="T116" s="62">
        <f t="shared" si="88"/>
        <v>180.75293059562205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6.2711420583189787E-12</v>
      </c>
      <c r="AC116" s="24">
        <f t="shared" si="57"/>
        <v>6.2711420583189787E-12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-3.4106051316484809E-13</v>
      </c>
      <c r="AJ116" s="14">
        <f>AI116*VLOOKUP('Données projet'!$B$10,Paramètres!$A$1:$I$89,3,0)*VLOOKUP('Données projet'!$B$10,Paramètres!$A$1:$I$89,5,0)</f>
        <v>-2.5006556825246659E-13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296.15681058372093</v>
      </c>
      <c r="AO116" s="62">
        <f t="shared" si="90"/>
        <v>304.69148609083879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0.54620266750324109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0.54620266750324109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-1.1368683772161603E-13</v>
      </c>
      <c r="BE116" s="14">
        <f>BD116*VLOOKUP('Données projet'!$B$11,Paramètres!$A$1:$I$89,3,0)*VLOOKUP('Données projet'!$B$11,Paramètres!$A$1:$I$89,5,0)</f>
        <v>-6.2073013396002357E-14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198.95219623447554</v>
      </c>
      <c r="BJ116" s="62">
        <f t="shared" si="92"/>
        <v>299.68918988634471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1.2908785651528603</v>
      </c>
      <c r="BQ116" s="23">
        <f>EXP(-LN(2)/25)*BQ115+(1-EXP(-LN(2)/25))/(LN(2)/25)*Calculateur!BL116*Calculateur!BN116*VLOOKUP('Données projet'!$B$11,Paramètres!$A$1:$I$89,3,0)*0.475*44/12</f>
        <v>0.65281277333890508</v>
      </c>
      <c r="BR116" s="23">
        <f>EXP(-LN(2)/2)*BR115+(1-EXP(-LN(2)/2))/(LN(2)/2)*BL116*BO116*VLOOKUP('Données projet'!$B$11,Paramètres!$A$1:$I$89,3,0)*0.475*44/12</f>
        <v>5.681217987027385E-12</v>
      </c>
      <c r="BS116" s="24">
        <f t="shared" si="63"/>
        <v>1.9436913384974466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2">
        <f t="shared" si="86"/>
        <v>27.287836803817498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70">
        <f t="shared" si="56"/>
        <v>480.74364243331581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1.7053025658242404E-13</v>
      </c>
      <c r="O117" s="14">
        <f>N117*VLOOKUP('Données projet'!$B$9,Paramètres!$A$1:$I$89,3,0)*VLOOKUP('Données projet'!$B$9,Paramètres!$A$1:$I$89,5,0)</f>
        <v>1.4897523215040567E-13</v>
      </c>
      <c r="P117" s="14">
        <f t="shared" si="87"/>
        <v>2.136562777003313E-12</v>
      </c>
      <c r="Q117" s="22">
        <f t="shared" si="107"/>
        <v>3.9806453659427267E-12</v>
      </c>
      <c r="R117" s="62">
        <f t="shared" si="55"/>
        <v>293.33333333333729</v>
      </c>
      <c r="S117" s="62">
        <f ca="1">AVERAGE(OFFSET($R$3,0,0,'Données projet'!$E$9+1,1))-AVERAGE(OFFSET($H$3,0,0,'Données projet'!$E$9+1,1))</f>
        <v>149.01553333688895</v>
      </c>
      <c r="T117" s="62">
        <f t="shared" si="88"/>
        <v>180.75293059562205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4.4343670752215133E-12</v>
      </c>
      <c r="AC117" s="24">
        <f t="shared" si="57"/>
        <v>4.4343670752215133E-12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-3.4106051316484809E-13</v>
      </c>
      <c r="AJ117" s="14">
        <f>AI117*VLOOKUP('Données projet'!$B$10,Paramètres!$A$1:$I$89,3,0)*VLOOKUP('Données projet'!$B$10,Paramètres!$A$1:$I$89,5,0)</f>
        <v>-2.5006556825246659E-13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296.15681058372093</v>
      </c>
      <c r="AO117" s="62">
        <f t="shared" si="90"/>
        <v>304.69148609083879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0.53126672683681508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0.53126672683681508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-1.1368683772161603E-13</v>
      </c>
      <c r="BE117" s="14">
        <f>BD117*VLOOKUP('Données projet'!$B$11,Paramètres!$A$1:$I$89,3,0)*VLOOKUP('Données projet'!$B$11,Paramètres!$A$1:$I$89,5,0)</f>
        <v>-6.2073013396002357E-14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198.95219623447554</v>
      </c>
      <c r="BJ117" s="62">
        <f t="shared" si="92"/>
        <v>299.68918988634471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1.2655652238483923</v>
      </c>
      <c r="BQ117" s="23">
        <f>EXP(-LN(2)/25)*BQ116+(1-EXP(-LN(2)/25))/(LN(2)/25)*Calculateur!BL117*Calculateur!BN117*VLOOKUP('Données projet'!$B$11,Paramètres!$A$1:$I$89,3,0)*0.475*44/12</f>
        <v>0.634961573722021</v>
      </c>
      <c r="BR117" s="23">
        <f>EXP(-LN(2)/2)*BR116+(1-EXP(-LN(2)/2))/(LN(2)/2)*BL117*BO117*VLOOKUP('Données projet'!$B$11,Paramètres!$A$1:$I$89,3,0)*0.475*44/12</f>
        <v>4.0172277640260511E-12</v>
      </c>
      <c r="BS117" s="24">
        <f t="shared" si="63"/>
        <v>1.9005267975744307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2">
        <f t="shared" si="86"/>
        <v>27.499233847895908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70">
        <f t="shared" si="56"/>
        <v>482.66051561841903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1.7053025658242404E-13</v>
      </c>
      <c r="O118" s="14">
        <f>N118*VLOOKUP('Données projet'!$B$9,Paramètres!$A$1:$I$89,3,0)*VLOOKUP('Données projet'!$B$9,Paramètres!$A$1:$I$89,5,0)</f>
        <v>1.4897523215040567E-13</v>
      </c>
      <c r="P118" s="14">
        <f t="shared" si="87"/>
        <v>2.136562777003313E-12</v>
      </c>
      <c r="Q118" s="22">
        <f t="shared" si="107"/>
        <v>3.9806453659427267E-12</v>
      </c>
      <c r="R118" s="62">
        <f t="shared" si="55"/>
        <v>293.33333333333729</v>
      </c>
      <c r="S118" s="62">
        <f ca="1">AVERAGE(OFFSET($R$3,0,0,'Données projet'!$E$9+1,1))-AVERAGE(OFFSET($H$3,0,0,'Données projet'!$E$9+1,1))</f>
        <v>149.01553333688895</v>
      </c>
      <c r="T118" s="62">
        <f t="shared" si="88"/>
        <v>180.75293059562205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3.1355710291594893E-12</v>
      </c>
      <c r="AC118" s="24">
        <f t="shared" si="57"/>
        <v>3.1355710291594893E-12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-3.4106051316484809E-13</v>
      </c>
      <c r="AJ118" s="14">
        <f>AI118*VLOOKUP('Données projet'!$B$10,Paramètres!$A$1:$I$89,3,0)*VLOOKUP('Données projet'!$B$10,Paramètres!$A$1:$I$89,5,0)</f>
        <v>-2.5006556825246659E-13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296.15681058372093</v>
      </c>
      <c r="AO118" s="62">
        <f t="shared" si="90"/>
        <v>304.69148609083879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0.51673921025335945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0.51673921025335945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-1.1368683772161603E-13</v>
      </c>
      <c r="BE118" s="14">
        <f>BD118*VLOOKUP('Données projet'!$B$11,Paramètres!$A$1:$I$89,3,0)*VLOOKUP('Données projet'!$B$11,Paramètres!$A$1:$I$89,5,0)</f>
        <v>-6.2073013396002357E-14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198.95219623447554</v>
      </c>
      <c r="BJ118" s="62">
        <f t="shared" si="92"/>
        <v>299.68918988634471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1.2407482617272914</v>
      </c>
      <c r="BQ118" s="23">
        <f>EXP(-LN(2)/25)*BQ117+(1-EXP(-LN(2)/25))/(LN(2)/25)*Calculateur!BL118*Calculateur!BN118*VLOOKUP('Données projet'!$B$11,Paramètres!$A$1:$I$89,3,0)*0.475*44/12</f>
        <v>0.61759851609741445</v>
      </c>
      <c r="BR118" s="23">
        <f>EXP(-LN(2)/2)*BR117+(1-EXP(-LN(2)/2))/(LN(2)/2)*BL118*BO118*VLOOKUP('Données projet'!$B$11,Paramètres!$A$1:$I$89,3,0)*0.475*44/12</f>
        <v>2.8406089935136925E-12</v>
      </c>
      <c r="BS118" s="24">
        <f t="shared" si="63"/>
        <v>1.8583467778275464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2">
        <f t="shared" si="86"/>
        <v>27.710417026801501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70">
        <f t="shared" si="56"/>
        <v>484.57701632167959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1.7053025658242404E-13</v>
      </c>
      <c r="O119" s="14">
        <f>N119*VLOOKUP('Données projet'!$B$9,Paramètres!$A$1:$I$89,3,0)*VLOOKUP('Données projet'!$B$9,Paramètres!$A$1:$I$89,5,0)</f>
        <v>1.4897523215040567E-13</v>
      </c>
      <c r="P119" s="14">
        <f t="shared" si="87"/>
        <v>2.136562777003313E-12</v>
      </c>
      <c r="Q119" s="22">
        <f t="shared" si="107"/>
        <v>3.9806453659427267E-12</v>
      </c>
      <c r="R119" s="62">
        <f t="shared" si="55"/>
        <v>293.33333333333729</v>
      </c>
      <c r="S119" s="62">
        <f ca="1">AVERAGE(OFFSET($R$3,0,0,'Données projet'!$E$9+1,1))-AVERAGE(OFFSET($H$3,0,0,'Données projet'!$E$9+1,1))</f>
        <v>149.01553333688895</v>
      </c>
      <c r="T119" s="62">
        <f t="shared" si="88"/>
        <v>180.75293059562205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2.2171835376107566E-12</v>
      </c>
      <c r="AC119" s="24">
        <f t="shared" si="57"/>
        <v>2.2171835376107566E-12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-3.4106051316484809E-13</v>
      </c>
      <c r="AJ119" s="14">
        <f>AI119*VLOOKUP('Données projet'!$B$10,Paramètres!$A$1:$I$89,3,0)*VLOOKUP('Données projet'!$B$10,Paramètres!$A$1:$I$89,5,0)</f>
        <v>-2.5006556825246659E-13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296.15681058372093</v>
      </c>
      <c r="AO119" s="62">
        <f t="shared" si="90"/>
        <v>304.69148609083879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0.50260894937484724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0.50260894937484724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-1.1368683772161603E-13</v>
      </c>
      <c r="BE119" s="14">
        <f>BD119*VLOOKUP('Données projet'!$B$11,Paramètres!$A$1:$I$89,3,0)*VLOOKUP('Données projet'!$B$11,Paramètres!$A$1:$I$89,5,0)</f>
        <v>-6.2073013396002357E-14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198.95219623447554</v>
      </c>
      <c r="BJ119" s="62">
        <f t="shared" si="92"/>
        <v>299.68918988634471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1.2164179450965329</v>
      </c>
      <c r="BQ119" s="23">
        <f>EXP(-LN(2)/25)*BQ118+(1-EXP(-LN(2)/25))/(LN(2)/25)*Calculateur!BL119*Calculateur!BN119*VLOOKUP('Données projet'!$B$11,Paramètres!$A$1:$I$89,3,0)*0.475*44/12</f>
        <v>0.60071025219663621</v>
      </c>
      <c r="BR119" s="23">
        <f>EXP(-LN(2)/2)*BR118+(1-EXP(-LN(2)/2))/(LN(2)/2)*BL119*BO119*VLOOKUP('Données projet'!$B$11,Paramètres!$A$1:$I$89,3,0)*0.475*44/12</f>
        <v>2.0086138820130255E-12</v>
      </c>
      <c r="BS119" s="24">
        <f t="shared" si="63"/>
        <v>1.8171281972951778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2">
        <f t="shared" si="86"/>
        <v>27.921388397821048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70">
        <f t="shared" si="56"/>
        <v>486.49314812620531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1.7053025658242404E-13</v>
      </c>
      <c r="O120" s="14">
        <f>N120*VLOOKUP('Données projet'!$B$9,Paramètres!$A$1:$I$89,3,0)*VLOOKUP('Données projet'!$B$9,Paramètres!$A$1:$I$89,5,0)</f>
        <v>1.4897523215040567E-13</v>
      </c>
      <c r="P120" s="14">
        <f t="shared" si="87"/>
        <v>2.136562777003313E-12</v>
      </c>
      <c r="Q120" s="22">
        <f t="shared" si="107"/>
        <v>3.9806453659427267E-12</v>
      </c>
      <c r="R120" s="62">
        <f t="shared" si="55"/>
        <v>293.33333333333729</v>
      </c>
      <c r="S120" s="62">
        <f ca="1">AVERAGE(OFFSET($R$3,0,0,'Données projet'!$E$9+1,1))-AVERAGE(OFFSET($H$3,0,0,'Données projet'!$E$9+1,1))</f>
        <v>149.01553333688895</v>
      </c>
      <c r="T120" s="62">
        <f t="shared" si="88"/>
        <v>180.75293059562205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1.5677855145797447E-12</v>
      </c>
      <c r="AC120" s="24">
        <f t="shared" si="57"/>
        <v>1.5677855145797447E-12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-3.4106051316484809E-13</v>
      </c>
      <c r="AJ120" s="14">
        <f>AI120*VLOOKUP('Données projet'!$B$10,Paramètres!$A$1:$I$89,3,0)*VLOOKUP('Données projet'!$B$10,Paramètres!$A$1:$I$89,5,0)</f>
        <v>-2.5006556825246659E-13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296.15681058372093</v>
      </c>
      <c r="AO120" s="62">
        <f t="shared" si="90"/>
        <v>304.69148609083879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0.4888650812231361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0.4888650812231361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-1.1368683772161603E-13</v>
      </c>
      <c r="BE120" s="14">
        <f>BD120*VLOOKUP('Données projet'!$B$11,Paramètres!$A$1:$I$89,3,0)*VLOOKUP('Données projet'!$B$11,Paramètres!$A$1:$I$89,5,0)</f>
        <v>-6.2073013396002357E-14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198.95219623447554</v>
      </c>
      <c r="BJ120" s="62">
        <f t="shared" si="92"/>
        <v>299.68918988634471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1.1925647311348757</v>
      </c>
      <c r="BQ120" s="23">
        <f>EXP(-LN(2)/25)*BQ119+(1-EXP(-LN(2)/25))/(LN(2)/25)*Calculateur!BL120*Calculateur!BN120*VLOOKUP('Données projet'!$B$11,Paramètres!$A$1:$I$89,3,0)*0.475*44/12</f>
        <v>0.58428379876033998</v>
      </c>
      <c r="BR120" s="23">
        <f>EXP(-LN(2)/2)*BR119+(1-EXP(-LN(2)/2))/(LN(2)/2)*BL120*BO120*VLOOKUP('Données projet'!$B$11,Paramètres!$A$1:$I$89,3,0)*0.475*44/12</f>
        <v>1.4203044967568462E-12</v>
      </c>
      <c r="BS120" s="24">
        <f t="shared" si="63"/>
        <v>1.7768485298966359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2">
        <f t="shared" si="86"/>
        <v>28.132149981044396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70">
        <f t="shared" si="56"/>
        <v>488.40891455031931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1.7053025658242404E-13</v>
      </c>
      <c r="O121" s="14">
        <f>N121*VLOOKUP('Données projet'!$B$9,Paramètres!$A$1:$I$89,3,0)*VLOOKUP('Données projet'!$B$9,Paramètres!$A$1:$I$89,5,0)</f>
        <v>1.4897523215040567E-13</v>
      </c>
      <c r="P121" s="14">
        <f t="shared" si="87"/>
        <v>2.136562777003313E-12</v>
      </c>
      <c r="Q121" s="22">
        <f t="shared" si="107"/>
        <v>3.9806453659427267E-12</v>
      </c>
      <c r="R121" s="62">
        <f t="shared" si="55"/>
        <v>293.33333333333729</v>
      </c>
      <c r="S121" s="62">
        <f ca="1">AVERAGE(OFFSET($R$3,0,0,'Données projet'!$E$9+1,1))-AVERAGE(OFFSET($H$3,0,0,'Données projet'!$E$9+1,1))</f>
        <v>149.01553333688895</v>
      </c>
      <c r="T121" s="62">
        <f t="shared" si="88"/>
        <v>180.75293059562205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1.1085917688053783E-12</v>
      </c>
      <c r="AC121" s="24">
        <f t="shared" si="57"/>
        <v>1.1085917688053783E-12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-3.4106051316484809E-13</v>
      </c>
      <c r="AJ121" s="14">
        <f>AI121*VLOOKUP('Données projet'!$B$10,Paramètres!$A$1:$I$89,3,0)*VLOOKUP('Données projet'!$B$10,Paramètres!$A$1:$I$89,5,0)</f>
        <v>-2.5006556825246659E-13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296.15681058372093</v>
      </c>
      <c r="AO121" s="62">
        <f t="shared" si="90"/>
        <v>304.69148609083879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0.47549703986879216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0.47549703986879216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-1.1368683772161603E-13</v>
      </c>
      <c r="BE121" s="14">
        <f>BD121*VLOOKUP('Données projet'!$B$11,Paramètres!$A$1:$I$89,3,0)*VLOOKUP('Données projet'!$B$11,Paramètres!$A$1:$I$89,5,0)</f>
        <v>-6.2073013396002357E-14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198.95219623447554</v>
      </c>
      <c r="BJ121" s="62">
        <f t="shared" si="92"/>
        <v>299.68918988634471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1.1691792641499827</v>
      </c>
      <c r="BQ121" s="23">
        <f>EXP(-LN(2)/25)*BQ120+(1-EXP(-LN(2)/25))/(LN(2)/25)*Calculateur!BL121*Calculateur!BN121*VLOOKUP('Données projet'!$B$11,Paramètres!$A$1:$I$89,3,0)*0.475*44/12</f>
        <v>0.56830652755708888</v>
      </c>
      <c r="BR121" s="23">
        <f>EXP(-LN(2)/2)*BR120+(1-EXP(-LN(2)/2))/(LN(2)/2)*BL121*BO121*VLOOKUP('Données projet'!$B$11,Paramètres!$A$1:$I$89,3,0)*0.475*44/12</f>
        <v>1.0043069410065128E-12</v>
      </c>
      <c r="BS121" s="24">
        <f t="shared" si="63"/>
        <v>1.7374857917080759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2">
        <f t="shared" si="86"/>
        <v>28.342703760346538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70">
        <f t="shared" si="56"/>
        <v>490.32431904927057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1.7053025658242404E-13</v>
      </c>
      <c r="O122" s="14">
        <f>N122*VLOOKUP('Données projet'!$B$9,Paramètres!$A$1:$I$89,3,0)*VLOOKUP('Données projet'!$B$9,Paramètres!$A$1:$I$89,5,0)</f>
        <v>1.4897523215040567E-13</v>
      </c>
      <c r="P122" s="14">
        <f t="shared" si="87"/>
        <v>2.136562777003313E-12</v>
      </c>
      <c r="Q122" s="22">
        <f t="shared" si="107"/>
        <v>3.9806453659427267E-12</v>
      </c>
      <c r="R122" s="62">
        <f t="shared" si="55"/>
        <v>293.33333333333729</v>
      </c>
      <c r="S122" s="62">
        <f ca="1">AVERAGE(OFFSET($R$3,0,0,'Données projet'!$E$9+1,1))-AVERAGE(OFFSET($H$3,0,0,'Données projet'!$E$9+1,1))</f>
        <v>149.01553333688895</v>
      </c>
      <c r="T122" s="62">
        <f t="shared" si="88"/>
        <v>180.75293059562205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7.8389275728987234E-13</v>
      </c>
      <c r="AC122" s="24">
        <f t="shared" si="57"/>
        <v>7.8389275728987234E-13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-3.4106051316484809E-13</v>
      </c>
      <c r="AJ122" s="14">
        <f>AI122*VLOOKUP('Données projet'!$B$10,Paramètres!$A$1:$I$89,3,0)*VLOOKUP('Données projet'!$B$10,Paramètres!$A$1:$I$89,5,0)</f>
        <v>-2.5006556825246659E-13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296.15681058372093</v>
      </c>
      <c r="AO122" s="62">
        <f t="shared" si="90"/>
        <v>304.69148609083879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0.46249454830827746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0.46249454830827746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-1.1368683772161603E-13</v>
      </c>
      <c r="BE122" s="14">
        <f>BD122*VLOOKUP('Données projet'!$B$11,Paramètres!$A$1:$I$89,3,0)*VLOOKUP('Données projet'!$B$11,Paramètres!$A$1:$I$89,5,0)</f>
        <v>-6.2073013396002357E-14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198.95219623447554</v>
      </c>
      <c r="BJ122" s="62">
        <f t="shared" si="92"/>
        <v>299.68918988634471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1.146252371908937</v>
      </c>
      <c r="BQ122" s="23">
        <f>EXP(-LN(2)/25)*BQ121+(1-EXP(-LN(2)/25))/(LN(2)/25)*Calculateur!BL122*Calculateur!BN122*VLOOKUP('Données projet'!$B$11,Paramètres!$A$1:$I$89,3,0)*0.475*44/12</f>
        <v>0.5527661556750989</v>
      </c>
      <c r="BR122" s="23">
        <f>EXP(-LN(2)/2)*BR121+(1-EXP(-LN(2)/2))/(LN(2)/2)*BL122*BO122*VLOOKUP('Données projet'!$B$11,Paramètres!$A$1:$I$89,3,0)*0.475*44/12</f>
        <v>7.1015224837842312E-13</v>
      </c>
      <c r="BS122" s="24">
        <f t="shared" si="63"/>
        <v>1.699018527584746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2">
        <f t="shared" si="86"/>
        <v>28.553051684335379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70">
        <f t="shared" si="56"/>
        <v>492.23936501688451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1.7053025658242404E-13</v>
      </c>
      <c r="O123" s="14">
        <f>N123*VLOOKUP('Données projet'!$B$9,Paramètres!$A$1:$I$89,3,0)*VLOOKUP('Données projet'!$B$9,Paramètres!$A$1:$I$89,5,0)</f>
        <v>1.4897523215040567E-13</v>
      </c>
      <c r="P123" s="14">
        <f t="shared" si="87"/>
        <v>2.136562777003313E-12</v>
      </c>
      <c r="Q123" s="22">
        <f t="shared" si="107"/>
        <v>3.9806453659427267E-12</v>
      </c>
      <c r="R123" s="62">
        <f t="shared" si="55"/>
        <v>293.33333333333729</v>
      </c>
      <c r="S123" s="62">
        <f ca="1">AVERAGE(OFFSET($R$3,0,0,'Données projet'!$E$9+1,1))-AVERAGE(OFFSET($H$3,0,0,'Données projet'!$E$9+1,1))</f>
        <v>149.01553333688895</v>
      </c>
      <c r="T123" s="62">
        <f t="shared" si="88"/>
        <v>180.75293059562205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5.5429588440268916E-13</v>
      </c>
      <c r="AC123" s="24">
        <f t="shared" si="57"/>
        <v>5.5429588440268916E-13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-3.4106051316484809E-13</v>
      </c>
      <c r="AJ123" s="14">
        <f>AI123*VLOOKUP('Données projet'!$B$10,Paramètres!$A$1:$I$89,3,0)*VLOOKUP('Données projet'!$B$10,Paramètres!$A$1:$I$89,5,0)</f>
        <v>-2.5006556825246659E-13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296.15681058372093</v>
      </c>
      <c r="AO123" s="62">
        <f t="shared" si="90"/>
        <v>304.69148609083879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0.44984761056325639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0.44984761056325639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-1.1368683772161603E-13</v>
      </c>
      <c r="BE123" s="14">
        <f>BD123*VLOOKUP('Données projet'!$B$11,Paramètres!$A$1:$I$89,3,0)*VLOOKUP('Données projet'!$B$11,Paramètres!$A$1:$I$89,5,0)</f>
        <v>-6.2073013396002357E-14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198.95219623447554</v>
      </c>
      <c r="BJ123" s="62">
        <f t="shared" si="92"/>
        <v>299.68918988634471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1.1237750620407148</v>
      </c>
      <c r="BQ123" s="23">
        <f>EXP(-LN(2)/25)*BQ122+(1-EXP(-LN(2)/25))/(LN(2)/25)*Calculateur!BL123*Calculateur!BN123*VLOOKUP('Données projet'!$B$11,Paramètres!$A$1:$I$89,3,0)*0.475*44/12</f>
        <v>0.53765073607945457</v>
      </c>
      <c r="BR123" s="23">
        <f>EXP(-LN(2)/2)*BR122+(1-EXP(-LN(2)/2))/(LN(2)/2)*BL123*BO123*VLOOKUP('Données projet'!$B$11,Paramètres!$A$1:$I$89,3,0)*0.475*44/12</f>
        <v>5.0215347050325638E-13</v>
      </c>
      <c r="BS123" s="24">
        <f t="shared" si="63"/>
        <v>1.6614257981206715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2">
        <f t="shared" si="86"/>
        <v>28.763195667267546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70">
        <f t="shared" si="56"/>
        <v>494.15405578715797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1.7053025658242404E-13</v>
      </c>
      <c r="O124" s="14">
        <f>N124*VLOOKUP('Données projet'!$B$9,Paramètres!$A$1:$I$89,3,0)*VLOOKUP('Données projet'!$B$9,Paramètres!$A$1:$I$89,5,0)</f>
        <v>1.4897523215040567E-13</v>
      </c>
      <c r="P124" s="14">
        <f t="shared" si="87"/>
        <v>2.136562777003313E-12</v>
      </c>
      <c r="Q124" s="22">
        <f t="shared" si="107"/>
        <v>3.9806453659427267E-12</v>
      </c>
      <c r="R124" s="62">
        <f t="shared" si="55"/>
        <v>293.33333333333729</v>
      </c>
      <c r="S124" s="62">
        <f ca="1">AVERAGE(OFFSET($R$3,0,0,'Données projet'!$E$9+1,1))-AVERAGE(OFFSET($H$3,0,0,'Données projet'!$E$9+1,1))</f>
        <v>149.01553333688895</v>
      </c>
      <c r="T124" s="62">
        <f t="shared" si="88"/>
        <v>180.75293059562205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3.9194637864493617E-13</v>
      </c>
      <c r="AC124" s="24">
        <f t="shared" si="57"/>
        <v>3.9194637864493617E-13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-3.4106051316484809E-13</v>
      </c>
      <c r="AJ124" s="14">
        <f>AI124*VLOOKUP('Données projet'!$B$10,Paramètres!$A$1:$I$89,3,0)*VLOOKUP('Données projet'!$B$10,Paramètres!$A$1:$I$89,5,0)</f>
        <v>-2.5006556825246659E-13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296.15681058372093</v>
      </c>
      <c r="AO124" s="62">
        <f t="shared" si="90"/>
        <v>304.69148609083879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0.43754650399594647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0.43754650399594647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-1.1368683772161603E-13</v>
      </c>
      <c r="BE124" s="14">
        <f>BD124*VLOOKUP('Données projet'!$B$11,Paramètres!$A$1:$I$89,3,0)*VLOOKUP('Données projet'!$B$11,Paramètres!$A$1:$I$89,5,0)</f>
        <v>-6.2073013396002357E-14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198.95219623447554</v>
      </c>
      <c r="BJ124" s="62">
        <f t="shared" si="92"/>
        <v>299.68918988634471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1.101738518509203</v>
      </c>
      <c r="BQ124" s="23">
        <f>EXP(-LN(2)/25)*BQ123+(1-EXP(-LN(2)/25))/(LN(2)/25)*Calculateur!BL124*Calculateur!BN124*VLOOKUP('Données projet'!$B$11,Paramètres!$A$1:$I$89,3,0)*0.475*44/12</f>
        <v>0.52294864842753852</v>
      </c>
      <c r="BR124" s="23">
        <f>EXP(-LN(2)/2)*BR123+(1-EXP(-LN(2)/2))/(LN(2)/2)*BL124*BO124*VLOOKUP('Données projet'!$B$11,Paramètres!$A$1:$I$89,3,0)*0.475*44/12</f>
        <v>3.5507612418921156E-13</v>
      </c>
      <c r="BS124" s="24">
        <f t="shared" si="63"/>
        <v>1.6246871669370966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2">
        <f t="shared" si="86"/>
        <v>28.973137589932421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70">
        <f t="shared" si="56"/>
        <v>496.06839463579934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1.7053025658242404E-13</v>
      </c>
      <c r="O125" s="14">
        <f>N125*VLOOKUP('Données projet'!$B$9,Paramètres!$A$1:$I$89,3,0)*VLOOKUP('Données projet'!$B$9,Paramètres!$A$1:$I$89,5,0)</f>
        <v>1.4897523215040567E-13</v>
      </c>
      <c r="P125" s="14">
        <f t="shared" si="87"/>
        <v>2.136562777003313E-12</v>
      </c>
      <c r="Q125" s="22">
        <f t="shared" si="107"/>
        <v>3.9806453659427267E-12</v>
      </c>
      <c r="R125" s="62">
        <f t="shared" si="55"/>
        <v>293.33333333333729</v>
      </c>
      <c r="S125" s="62">
        <f ca="1">AVERAGE(OFFSET($R$3,0,0,'Données projet'!$E$9+1,1))-AVERAGE(OFFSET($H$3,0,0,'Données projet'!$E$9+1,1))</f>
        <v>149.01553333688895</v>
      </c>
      <c r="T125" s="62">
        <f t="shared" si="88"/>
        <v>180.75293059562205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2.7714794220134458E-13</v>
      </c>
      <c r="AC125" s="24">
        <f t="shared" si="57"/>
        <v>2.7714794220134458E-13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-3.4106051316484809E-13</v>
      </c>
      <c r="AJ125" s="14">
        <f>AI125*VLOOKUP('Données projet'!$B$10,Paramètres!$A$1:$I$89,3,0)*VLOOKUP('Données projet'!$B$10,Paramètres!$A$1:$I$89,5,0)</f>
        <v>-2.5006556825246659E-13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296.15681058372093</v>
      </c>
      <c r="AO125" s="62">
        <f t="shared" si="90"/>
        <v>304.69148609083879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0.42558177183460671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0.42558177183460671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-1.1368683772161603E-13</v>
      </c>
      <c r="BE125" s="14">
        <f>BD125*VLOOKUP('Données projet'!$B$11,Paramètres!$A$1:$I$89,3,0)*VLOOKUP('Données projet'!$B$11,Paramètres!$A$1:$I$89,5,0)</f>
        <v>-6.2073013396002357E-14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198.95219623447554</v>
      </c>
      <c r="BJ125" s="62">
        <f t="shared" si="92"/>
        <v>299.68918988634471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1.08013409815538</v>
      </c>
      <c r="BQ125" s="23">
        <f>EXP(-LN(2)/25)*BQ124+(1-EXP(-LN(2)/25))/(LN(2)/25)*Calculateur!BL125*Calculateur!BN125*VLOOKUP('Données projet'!$B$11,Paramètres!$A$1:$I$89,3,0)*0.475*44/12</f>
        <v>0.50864859013561325</v>
      </c>
      <c r="BR125" s="23">
        <f>EXP(-LN(2)/2)*BR124+(1-EXP(-LN(2)/2))/(LN(2)/2)*BL125*BO125*VLOOKUP('Données projet'!$B$11,Paramètres!$A$1:$I$89,3,0)*0.475*44/12</f>
        <v>2.5107673525162819E-13</v>
      </c>
      <c r="BS125" s="24">
        <f t="shared" si="63"/>
        <v>1.5887826882912444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2">
        <f t="shared" si="86"/>
        <v>29.182879300506769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70">
        <f t="shared" si="56"/>
        <v>497.98238478171629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1.7053025658242404E-13</v>
      </c>
      <c r="O126" s="14">
        <f>N126*VLOOKUP('Données projet'!$B$9,Paramètres!$A$1:$I$89,3,0)*VLOOKUP('Données projet'!$B$9,Paramètres!$A$1:$I$89,5,0)</f>
        <v>1.4897523215040567E-13</v>
      </c>
      <c r="P126" s="14">
        <f t="shared" si="87"/>
        <v>2.136562777003313E-12</v>
      </c>
      <c r="Q126" s="22">
        <f t="shared" si="107"/>
        <v>3.9806453659427267E-12</v>
      </c>
      <c r="R126" s="62">
        <f t="shared" si="55"/>
        <v>293.33333333333729</v>
      </c>
      <c r="S126" s="62">
        <f ca="1">AVERAGE(OFFSET($R$3,0,0,'Données projet'!$E$9+1,1))-AVERAGE(OFFSET($H$3,0,0,'Données projet'!$E$9+1,1))</f>
        <v>149.01553333688895</v>
      </c>
      <c r="T126" s="62">
        <f t="shared" si="88"/>
        <v>180.75293059562205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1.9597318932246808E-13</v>
      </c>
      <c r="AC126" s="24">
        <f t="shared" si="57"/>
        <v>1.9597318932246808E-13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-3.4106051316484809E-13</v>
      </c>
      <c r="AJ126" s="14">
        <f>AI126*VLOOKUP('Données projet'!$B$10,Paramètres!$A$1:$I$89,3,0)*VLOOKUP('Données projet'!$B$10,Paramètres!$A$1:$I$89,5,0)</f>
        <v>-2.5006556825246659E-13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296.15681058372093</v>
      </c>
      <c r="AO126" s="62">
        <f t="shared" si="90"/>
        <v>304.69148609083879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0.41394421590341668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0.41394421590341668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-1.1368683772161603E-13</v>
      </c>
      <c r="BE126" s="14">
        <f>BD126*VLOOKUP('Données projet'!$B$11,Paramètres!$A$1:$I$89,3,0)*VLOOKUP('Données projet'!$B$11,Paramètres!$A$1:$I$89,5,0)</f>
        <v>-6.2073013396002357E-14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198.95219623447554</v>
      </c>
      <c r="BJ126" s="62">
        <f t="shared" si="92"/>
        <v>299.68918988634471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1.0589533273073002</v>
      </c>
      <c r="BQ126" s="23">
        <f>EXP(-LN(2)/25)*BQ125+(1-EXP(-LN(2)/25))/(LN(2)/25)*Calculateur!BL126*Calculateur!BN126*VLOOKUP('Données projet'!$B$11,Paramètres!$A$1:$I$89,3,0)*0.475*44/12</f>
        <v>0.49473956768968808</v>
      </c>
      <c r="BR126" s="23">
        <f>EXP(-LN(2)/2)*BR125+(1-EXP(-LN(2)/2))/(LN(2)/2)*BL126*BO126*VLOOKUP('Données projet'!$B$11,Paramètres!$A$1:$I$89,3,0)*0.475*44/12</f>
        <v>1.7753806209460578E-13</v>
      </c>
      <c r="BS126" s="24">
        <f t="shared" si="63"/>
        <v>1.553692894997166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2">
        <f t="shared" si="86"/>
        <v>29.392422615380852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70">
        <f t="shared" si="56"/>
        <v>499.89602938845536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1.7053025658242404E-13</v>
      </c>
      <c r="O127" s="14">
        <f>N127*VLOOKUP('Données projet'!$B$9,Paramètres!$A$1:$I$89,3,0)*VLOOKUP('Données projet'!$B$9,Paramètres!$A$1:$I$89,5,0)</f>
        <v>1.4897523215040567E-13</v>
      </c>
      <c r="P127" s="14">
        <f t="shared" si="87"/>
        <v>2.136562777003313E-12</v>
      </c>
      <c r="Q127" s="22">
        <f t="shared" si="107"/>
        <v>3.9806453659427267E-12</v>
      </c>
      <c r="R127" s="62">
        <f t="shared" si="55"/>
        <v>293.33333333333729</v>
      </c>
      <c r="S127" s="62">
        <f ca="1">AVERAGE(OFFSET($R$3,0,0,'Données projet'!$E$9+1,1))-AVERAGE(OFFSET($H$3,0,0,'Données projet'!$E$9+1,1))</f>
        <v>149.01553333688895</v>
      </c>
      <c r="T127" s="62">
        <f t="shared" si="88"/>
        <v>180.75293059562205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1.3857397110067229E-13</v>
      </c>
      <c r="AC127" s="24">
        <f t="shared" si="57"/>
        <v>1.3857397110067229E-13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-3.4106051316484809E-13</v>
      </c>
      <c r="AJ127" s="14">
        <f>AI127*VLOOKUP('Données projet'!$B$10,Paramètres!$A$1:$I$89,3,0)*VLOOKUP('Données projet'!$B$10,Paramètres!$A$1:$I$89,5,0)</f>
        <v>-2.5006556825246659E-13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296.15681058372093</v>
      </c>
      <c r="AO127" s="62">
        <f t="shared" si="90"/>
        <v>304.69148609083879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0.40262488955115749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0.40262488955115749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-1.1368683772161603E-13</v>
      </c>
      <c r="BE127" s="14">
        <f>BD127*VLOOKUP('Données projet'!$B$11,Paramètres!$A$1:$I$89,3,0)*VLOOKUP('Données projet'!$B$11,Paramètres!$A$1:$I$89,5,0)</f>
        <v>-6.2073013396002357E-14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198.95219623447554</v>
      </c>
      <c r="BJ127" s="62">
        <f t="shared" si="92"/>
        <v>299.68918988634471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1.0381878984565567</v>
      </c>
      <c r="BQ127" s="23">
        <f>EXP(-LN(2)/25)*BQ126+(1-EXP(-LN(2)/25))/(LN(2)/25)*Calculateur!BL127*Calculateur!BN127*VLOOKUP('Données projet'!$B$11,Paramètres!$A$1:$I$89,3,0)*0.475*44/12</f>
        <v>0.48121088819399044</v>
      </c>
      <c r="BR127" s="23">
        <f>EXP(-LN(2)/2)*BR126+(1-EXP(-LN(2)/2))/(LN(2)/2)*BL127*BO127*VLOOKUP('Données projet'!$B$11,Paramètres!$A$1:$I$89,3,0)*0.475*44/12</f>
        <v>1.255383676258141E-13</v>
      </c>
      <c r="BS127" s="24">
        <f t="shared" si="63"/>
        <v>1.5193987866506726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2">
        <f t="shared" si="86"/>
        <v>29.601769319956595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70">
        <f t="shared" si="56"/>
        <v>501.80933156559138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1.7053025658242404E-13</v>
      </c>
      <c r="O128" s="14">
        <f>N128*VLOOKUP('Données projet'!$B$9,Paramètres!$A$1:$I$89,3,0)*VLOOKUP('Données projet'!$B$9,Paramètres!$A$1:$I$89,5,0)</f>
        <v>1.4897523215040567E-13</v>
      </c>
      <c r="P128" s="14">
        <f t="shared" si="87"/>
        <v>2.136562777003313E-12</v>
      </c>
      <c r="Q128" s="22">
        <f t="shared" si="107"/>
        <v>3.9806453659427267E-12</v>
      </c>
      <c r="R128" s="62">
        <f t="shared" si="55"/>
        <v>293.33333333333729</v>
      </c>
      <c r="S128" s="62">
        <f ca="1">AVERAGE(OFFSET($R$3,0,0,'Données projet'!$E$9+1,1))-AVERAGE(OFFSET($H$3,0,0,'Données projet'!$E$9+1,1))</f>
        <v>149.01553333688895</v>
      </c>
      <c r="T128" s="62">
        <f t="shared" si="88"/>
        <v>180.75293059562205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9.7986594661234042E-14</v>
      </c>
      <c r="AC128" s="24">
        <f t="shared" si="57"/>
        <v>9.7986594661234042E-14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-3.4106051316484809E-13</v>
      </c>
      <c r="AJ128" s="14">
        <f>AI128*VLOOKUP('Données projet'!$B$10,Paramètres!$A$1:$I$89,3,0)*VLOOKUP('Données projet'!$B$10,Paramètres!$A$1:$I$89,5,0)</f>
        <v>-2.5006556825246659E-13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296.15681058372093</v>
      </c>
      <c r="AO128" s="62">
        <f t="shared" si="90"/>
        <v>304.69148609083879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0.39161509077325835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0.39161509077325835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-1.1368683772161603E-13</v>
      </c>
      <c r="BE128" s="14">
        <f>BD128*VLOOKUP('Données projet'!$B$11,Paramètres!$A$1:$I$89,3,0)*VLOOKUP('Données projet'!$B$11,Paramètres!$A$1:$I$89,5,0)</f>
        <v>-6.2073013396002357E-14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198.95219623447554</v>
      </c>
      <c r="BJ128" s="62">
        <f t="shared" si="92"/>
        <v>299.68918988634471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1.0178296669999152</v>
      </c>
      <c r="BQ128" s="23">
        <f>EXP(-LN(2)/25)*BQ127+(1-EXP(-LN(2)/25))/(LN(2)/25)*Calculateur!BL128*Calculateur!BN128*VLOOKUP('Données projet'!$B$11,Paramètres!$A$1:$I$89,3,0)*0.475*44/12</f>
        <v>0.46805215115054499</v>
      </c>
      <c r="BR128" s="23">
        <f>EXP(-LN(2)/2)*BR127+(1-EXP(-LN(2)/2))/(LN(2)/2)*BL128*BO128*VLOOKUP('Données projet'!$B$11,Paramètres!$A$1:$I$89,3,0)*0.475*44/12</f>
        <v>8.876903104730289E-14</v>
      </c>
      <c r="BS128" s="24">
        <f t="shared" si="63"/>
        <v>1.4858818181505491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2">
        <f t="shared" si="86"/>
        <v>29.810921169420254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70">
        <f t="shared" si="56"/>
        <v>503.72229437007394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1.7053025658242404E-13</v>
      </c>
      <c r="O129" s="14">
        <f>N129*VLOOKUP('Données projet'!$B$9,Paramètres!$A$1:$I$89,3,0)*VLOOKUP('Données projet'!$B$9,Paramètres!$A$1:$I$89,5,0)</f>
        <v>1.4897523215040567E-13</v>
      </c>
      <c r="P129" s="14">
        <f t="shared" si="87"/>
        <v>2.136562777003313E-12</v>
      </c>
      <c r="Q129" s="22">
        <f t="shared" si="107"/>
        <v>3.9806453659427267E-12</v>
      </c>
      <c r="R129" s="62">
        <f t="shared" si="55"/>
        <v>293.33333333333729</v>
      </c>
      <c r="S129" s="62">
        <f ca="1">AVERAGE(OFFSET($R$3,0,0,'Données projet'!$E$9+1,1))-AVERAGE(OFFSET($H$3,0,0,'Données projet'!$E$9+1,1))</f>
        <v>149.01553333688895</v>
      </c>
      <c r="T129" s="62">
        <f t="shared" si="88"/>
        <v>180.75293059562205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6.9286985550336145E-14</v>
      </c>
      <c r="AC129" s="24">
        <f t="shared" si="57"/>
        <v>6.9286985550336145E-14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-3.4106051316484809E-13</v>
      </c>
      <c r="AJ129" s="14">
        <f>AI129*VLOOKUP('Données projet'!$B$10,Paramètres!$A$1:$I$89,3,0)*VLOOKUP('Données projet'!$B$10,Paramètres!$A$1:$I$89,5,0)</f>
        <v>-2.5006556825246659E-13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296.15681058372093</v>
      </c>
      <c r="AO129" s="62">
        <f t="shared" si="90"/>
        <v>304.69148609083879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0.38090635552192104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0.38090635552192104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-1.1368683772161603E-13</v>
      </c>
      <c r="BE129" s="14">
        <f>BD129*VLOOKUP('Données projet'!$B$11,Paramètres!$A$1:$I$89,3,0)*VLOOKUP('Données projet'!$B$11,Paramètres!$A$1:$I$89,5,0)</f>
        <v>-6.2073013396002357E-14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198.95219623447554</v>
      </c>
      <c r="BJ129" s="62">
        <f t="shared" si="92"/>
        <v>299.68918988634471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0.99787064804484338</v>
      </c>
      <c r="BQ129" s="23">
        <f>EXP(-LN(2)/25)*BQ128+(1-EXP(-LN(2)/25))/(LN(2)/25)*Calculateur!BL129*Calculateur!BN129*VLOOKUP('Données projet'!$B$11,Paramètres!$A$1:$I$89,3,0)*0.475*44/12</f>
        <v>0.45525324046354043</v>
      </c>
      <c r="BR129" s="23">
        <f>EXP(-LN(2)/2)*BR128+(1-EXP(-LN(2)/2))/(LN(2)/2)*BL129*BO129*VLOOKUP('Données projet'!$B$11,Paramètres!$A$1:$I$89,3,0)*0.475*44/12</f>
        <v>6.2769183812907048E-14</v>
      </c>
      <c r="BS129" s="24">
        <f t="shared" si="63"/>
        <v>1.4531238885084468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2">
        <f t="shared" si="86"/>
        <v>30.019879889489037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70">
        <f t="shared" si="56"/>
        <v>505.63492080752712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1.7053025658242404E-13</v>
      </c>
      <c r="O130" s="14">
        <f>N130*VLOOKUP('Données projet'!$B$9,Paramètres!$A$1:$I$89,3,0)*VLOOKUP('Données projet'!$B$9,Paramètres!$A$1:$I$89,5,0)</f>
        <v>1.4897523215040567E-13</v>
      </c>
      <c r="P130" s="14">
        <f t="shared" si="87"/>
        <v>2.136562777003313E-12</v>
      </c>
      <c r="Q130" s="22">
        <f t="shared" si="107"/>
        <v>3.9806453659427267E-12</v>
      </c>
      <c r="R130" s="62">
        <f t="shared" si="55"/>
        <v>293.33333333333729</v>
      </c>
      <c r="S130" s="62">
        <f ca="1">AVERAGE(OFFSET($R$3,0,0,'Données projet'!$E$9+1,1))-AVERAGE(OFFSET($H$3,0,0,'Données projet'!$E$9+1,1))</f>
        <v>149.01553333688895</v>
      </c>
      <c r="T130" s="62">
        <f t="shared" si="88"/>
        <v>180.75293059562205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4.8993297330617021E-14</v>
      </c>
      <c r="AC130" s="24">
        <f t="shared" si="57"/>
        <v>4.8993297330617021E-14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-3.4106051316484809E-13</v>
      </c>
      <c r="AJ130" s="14">
        <f>AI130*VLOOKUP('Données projet'!$B$10,Paramètres!$A$1:$I$89,3,0)*VLOOKUP('Données projet'!$B$10,Paramètres!$A$1:$I$89,5,0)</f>
        <v>-2.5006556825246659E-13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296.15681058372093</v>
      </c>
      <c r="AO130" s="62">
        <f t="shared" si="90"/>
        <v>304.69148609083879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0.37049045119917945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0.37049045119917945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-1.1368683772161603E-13</v>
      </c>
      <c r="BE130" s="14">
        <f>BD130*VLOOKUP('Données projet'!$B$11,Paramètres!$A$1:$I$89,3,0)*VLOOKUP('Données projet'!$B$11,Paramètres!$A$1:$I$89,5,0)</f>
        <v>-6.2073013396002357E-14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198.95219623447554</v>
      </c>
      <c r="BJ130" s="62">
        <f t="shared" si="92"/>
        <v>299.68918988634471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0.97830301327768099</v>
      </c>
      <c r="BQ130" s="23">
        <f>EXP(-LN(2)/25)*BQ129+(1-EXP(-LN(2)/25))/(LN(2)/25)*Calculateur!BL130*Calculateur!BN130*VLOOKUP('Données projet'!$B$11,Paramètres!$A$1:$I$89,3,0)*0.475*44/12</f>
        <v>0.44280431666233749</v>
      </c>
      <c r="BR130" s="23">
        <f>EXP(-LN(2)/2)*BR129+(1-EXP(-LN(2)/2))/(LN(2)/2)*BL130*BO130*VLOOKUP('Données projet'!$B$11,Paramètres!$A$1:$I$89,3,0)*0.475*44/12</f>
        <v>4.4384515523651445E-14</v>
      </c>
      <c r="BS130" s="24">
        <f t="shared" si="63"/>
        <v>1.4211073299400629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2">
        <f t="shared" si="86"/>
        <v>30.228647177134249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70">
        <f t="shared" si="56"/>
        <v>507.5472138335092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1.7053025658242404E-13</v>
      </c>
      <c r="O131" s="14">
        <f>N131*VLOOKUP('Données projet'!$B$9,Paramètres!$A$1:$I$89,3,0)*VLOOKUP('Données projet'!$B$9,Paramètres!$A$1:$I$89,5,0)</f>
        <v>1.4897523215040567E-13</v>
      </c>
      <c r="P131" s="14">
        <f t="shared" si="87"/>
        <v>2.136562777003313E-12</v>
      </c>
      <c r="Q131" s="22">
        <f t="shared" ref="Q131:Q153" si="108">(O131+P131)*0.475*44/12</f>
        <v>3.9806453659427267E-12</v>
      </c>
      <c r="R131" s="62">
        <f t="shared" ref="R131:R194" si="109">Q131+(I131+J131)*44/12</f>
        <v>293.33333333333729</v>
      </c>
      <c r="S131" s="62">
        <f ca="1">AVERAGE(OFFSET($R$3,0,0,'Données projet'!$E$9+1,1))-AVERAGE(OFFSET($H$3,0,0,'Données projet'!$E$9+1,1))</f>
        <v>149.01553333688895</v>
      </c>
      <c r="T131" s="62">
        <f t="shared" si="88"/>
        <v>180.75293059562205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3.4643492775168073E-14</v>
      </c>
      <c r="AC131" s="24">
        <f t="shared" si="57"/>
        <v>3.4643492775168073E-14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-3.4106051316484809E-13</v>
      </c>
      <c r="AJ131" s="14">
        <f>AI131*VLOOKUP('Données projet'!$B$10,Paramètres!$A$1:$I$89,3,0)*VLOOKUP('Données projet'!$B$10,Paramètres!$A$1:$I$89,5,0)</f>
        <v>-2.5006556825246659E-13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296.15681058372093</v>
      </c>
      <c r="AO131" s="62">
        <f t="shared" si="90"/>
        <v>304.69148609083879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0.36035937032789184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0.36035937032789184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-1.1368683772161603E-13</v>
      </c>
      <c r="BE131" s="14">
        <f>BD131*VLOOKUP('Données projet'!$B$11,Paramètres!$A$1:$I$89,3,0)*VLOOKUP('Données projet'!$B$11,Paramètres!$A$1:$I$89,5,0)</f>
        <v>-6.2073013396002357E-14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198.95219623447554</v>
      </c>
      <c r="BJ131" s="62">
        <f t="shared" si="92"/>
        <v>299.68918988634471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0.95911908789322398</v>
      </c>
      <c r="BQ131" s="23">
        <f>EXP(-LN(2)/25)*BQ130+(1-EXP(-LN(2)/25))/(LN(2)/25)*Calculateur!BL131*Calculateur!BN131*VLOOKUP('Données projet'!$B$11,Paramètres!$A$1:$I$89,3,0)*0.475*44/12</f>
        <v>0.43069580933713891</v>
      </c>
      <c r="BR131" s="23">
        <f>EXP(-LN(2)/2)*BR130+(1-EXP(-LN(2)/2))/(LN(2)/2)*BL131*BO131*VLOOKUP('Données projet'!$B$11,Paramètres!$A$1:$I$89,3,0)*0.475*44/12</f>
        <v>3.1384591906453524E-14</v>
      </c>
      <c r="BS131" s="24">
        <f t="shared" si="63"/>
        <v>1.3898148972303941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2">
        <f t="shared" si="86"/>
        <v>30.437224701280673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70">
        <f t="shared" ref="H132:H195" si="110">(B132+E132+F132)*44/12+(C132+D132)*0.475*44/12</f>
        <v>509.45917635473086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1.7053025658242404E-13</v>
      </c>
      <c r="O132" s="14">
        <f>N132*VLOOKUP('Données projet'!$B$9,Paramètres!$A$1:$I$89,3,0)*VLOOKUP('Données projet'!$B$9,Paramètres!$A$1:$I$89,5,0)</f>
        <v>1.4897523215040567E-13</v>
      </c>
      <c r="P132" s="14">
        <f t="shared" si="87"/>
        <v>2.136562777003313E-12</v>
      </c>
      <c r="Q132" s="22">
        <f t="shared" si="108"/>
        <v>3.9806453659427267E-12</v>
      </c>
      <c r="R132" s="62">
        <f t="shared" si="109"/>
        <v>293.33333333333729</v>
      </c>
      <c r="S132" s="62">
        <f ca="1">AVERAGE(OFFSET($R$3,0,0,'Données projet'!$E$9+1,1))-AVERAGE(OFFSET($H$3,0,0,'Données projet'!$E$9+1,1))</f>
        <v>149.01553333688895</v>
      </c>
      <c r="T132" s="62">
        <f t="shared" si="88"/>
        <v>180.75293059562205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2.4496648665308511E-14</v>
      </c>
      <c r="AC132" s="24">
        <f t="shared" ref="AC132:AC153" si="111">SUM(Z132:AB132)</f>
        <v>2.4496648665308511E-14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-3.4106051316484809E-13</v>
      </c>
      <c r="AJ132" s="14">
        <f>AI132*VLOOKUP('Données projet'!$B$10,Paramètres!$A$1:$I$89,3,0)*VLOOKUP('Données projet'!$B$10,Paramètres!$A$1:$I$89,5,0)</f>
        <v>-2.5006556825246659E-13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296.15681058372093</v>
      </c>
      <c r="AO132" s="62">
        <f t="shared" si="90"/>
        <v>304.69148609083879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0.35050532439579996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0.35050532439579996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-1.1368683772161603E-13</v>
      </c>
      <c r="BE132" s="14">
        <f>BD132*VLOOKUP('Données projet'!$B$11,Paramètres!$A$1:$I$89,3,0)*VLOOKUP('Données projet'!$B$11,Paramètres!$A$1:$I$89,5,0)</f>
        <v>-6.2073013396002357E-14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198.95219623447554</v>
      </c>
      <c r="BJ132" s="62">
        <f t="shared" si="92"/>
        <v>299.68918988634471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0.94031134758451707</v>
      </c>
      <c r="BQ132" s="23">
        <f>EXP(-LN(2)/25)*BQ131+(1-EXP(-LN(2)/25))/(LN(2)/25)*Calculateur!BL132*Calculateur!BN132*VLOOKUP('Données projet'!$B$11,Paramètres!$A$1:$I$89,3,0)*0.475*44/12</f>
        <v>0.41891840978150663</v>
      </c>
      <c r="BR132" s="23">
        <f>EXP(-LN(2)/2)*BR131+(1-EXP(-LN(2)/2))/(LN(2)/2)*BL132*BO132*VLOOKUP('Données projet'!$B$11,Paramètres!$A$1:$I$89,3,0)*0.475*44/12</f>
        <v>2.2192257761825723E-14</v>
      </c>
      <c r="BS132" s="24">
        <f t="shared" ref="BS132:BS153" si="117">SUM(BP132:BR132)</f>
        <v>1.3592297573660459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2">
        <f t="shared" ref="D133:D196" si="140">IFERROR(EXP(-1.0587+0.8836*LN(C133)+0.284),0)</f>
        <v>30.645614103483904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70">
        <f t="shared" si="110"/>
        <v>511.37081123023484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1.7053025658242404E-13</v>
      </c>
      <c r="O133" s="14">
        <f>N133*VLOOKUP('Données projet'!$B$9,Paramètres!$A$1:$I$89,3,0)*VLOOKUP('Données projet'!$B$9,Paramètres!$A$1:$I$89,5,0)</f>
        <v>1.4897523215040567E-13</v>
      </c>
      <c r="P133" s="14">
        <f t="shared" ref="P133:P196" si="141">EXP(-1.0587+0.8836*LN(O133)+0.284)</f>
        <v>2.136562777003313E-12</v>
      </c>
      <c r="Q133" s="22">
        <f t="shared" si="108"/>
        <v>3.9806453659427267E-12</v>
      </c>
      <c r="R133" s="62">
        <f t="shared" si="109"/>
        <v>293.33333333333729</v>
      </c>
      <c r="S133" s="62">
        <f ca="1">AVERAGE(OFFSET($R$3,0,0,'Données projet'!$E$9+1,1))-AVERAGE(OFFSET($H$3,0,0,'Données projet'!$E$9+1,1))</f>
        <v>149.01553333688895</v>
      </c>
      <c r="T133" s="62">
        <f t="shared" ref="T133:T196" si="142">$T$3</f>
        <v>180.75293059562205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1.7321746387584036E-14</v>
      </c>
      <c r="AC133" s="24">
        <f t="shared" si="111"/>
        <v>1.7321746387584036E-14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-3.4106051316484809E-13</v>
      </c>
      <c r="AJ133" s="14">
        <f>AI133*VLOOKUP('Données projet'!$B$10,Paramètres!$A$1:$I$89,3,0)*VLOOKUP('Données projet'!$B$10,Paramètres!$A$1:$I$89,5,0)</f>
        <v>-2.5006556825246659E-13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296.15681058372093</v>
      </c>
      <c r="AO133" s="62">
        <f t="shared" ref="AO133:AO196" si="144">$AO$3</f>
        <v>304.69148609083879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0.34092073786792287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0.34092073786792287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-1.1368683772161603E-13</v>
      </c>
      <c r="BE133" s="14">
        <f>BD133*VLOOKUP('Données projet'!$B$11,Paramètres!$A$1:$I$89,3,0)*VLOOKUP('Données projet'!$B$11,Paramètres!$A$1:$I$89,5,0)</f>
        <v>-6.2073013396002357E-14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198.95219623447554</v>
      </c>
      <c r="BJ133" s="62">
        <f t="shared" ref="BJ133:BJ196" si="146">$BJ$3</f>
        <v>299.68918988634471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0.92187241559167499</v>
      </c>
      <c r="BQ133" s="23">
        <f>EXP(-LN(2)/25)*BQ132+(1-EXP(-LN(2)/25))/(LN(2)/25)*Calculateur!BL133*Calculateur!BN133*VLOOKUP('Données projet'!$B$11,Paramètres!$A$1:$I$89,3,0)*0.475*44/12</f>
        <v>0.40746306383606962</v>
      </c>
      <c r="BR133" s="23">
        <f>EXP(-LN(2)/2)*BR132+(1-EXP(-LN(2)/2))/(LN(2)/2)*BL133*BO133*VLOOKUP('Données projet'!$B$11,Paramètres!$A$1:$I$89,3,0)*0.475*44/12</f>
        <v>1.5692295953226762E-14</v>
      </c>
      <c r="BS133" s="24">
        <f t="shared" si="117"/>
        <v>1.3293354794277603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2">
        <f t="shared" si="140"/>
        <v>30.853816998586289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70">
        <f t="shared" si="110"/>
        <v>513.28212127253823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1.7053025658242404E-13</v>
      </c>
      <c r="O134" s="14">
        <f>N134*VLOOKUP('Données projet'!$B$9,Paramètres!$A$1:$I$89,3,0)*VLOOKUP('Données projet'!$B$9,Paramètres!$A$1:$I$89,5,0)</f>
        <v>1.4897523215040567E-13</v>
      </c>
      <c r="P134" s="14">
        <f t="shared" si="141"/>
        <v>2.136562777003313E-12</v>
      </c>
      <c r="Q134" s="22">
        <f t="shared" si="108"/>
        <v>3.9806453659427267E-12</v>
      </c>
      <c r="R134" s="62">
        <f t="shared" si="109"/>
        <v>293.33333333333729</v>
      </c>
      <c r="S134" s="62">
        <f ca="1">AVERAGE(OFFSET($R$3,0,0,'Données projet'!$E$9+1,1))-AVERAGE(OFFSET($H$3,0,0,'Données projet'!$E$9+1,1))</f>
        <v>149.01553333688895</v>
      </c>
      <c r="T134" s="62">
        <f t="shared" si="142"/>
        <v>180.75293059562205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1.2248324332654255E-14</v>
      </c>
      <c r="AC134" s="24">
        <f t="shared" si="111"/>
        <v>1.2248324332654255E-14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-3.4106051316484809E-13</v>
      </c>
      <c r="AJ134" s="14">
        <f>AI134*VLOOKUP('Données projet'!$B$10,Paramètres!$A$1:$I$89,3,0)*VLOOKUP('Données projet'!$B$10,Paramètres!$A$1:$I$89,5,0)</f>
        <v>-2.5006556825246659E-13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296.15681058372093</v>
      </c>
      <c r="AO134" s="62">
        <f t="shared" si="144"/>
        <v>304.69148609083879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0.33159824236268209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0.33159824236268209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-1.1368683772161603E-13</v>
      </c>
      <c r="BE134" s="14">
        <f>BD134*VLOOKUP('Données projet'!$B$11,Paramètres!$A$1:$I$89,3,0)*VLOOKUP('Données projet'!$B$11,Paramètres!$A$1:$I$89,5,0)</f>
        <v>-6.2073013396002357E-14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198.95219623447554</v>
      </c>
      <c r="BJ134" s="62">
        <f t="shared" si="146"/>
        <v>299.68918988634471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0.90379505980857455</v>
      </c>
      <c r="BQ134" s="23">
        <f>EXP(-LN(2)/25)*BQ133+(1-EXP(-LN(2)/25))/(LN(2)/25)*Calculateur!BL134*Calculateur!BN134*VLOOKUP('Données projet'!$B$11,Paramètres!$A$1:$I$89,3,0)*0.475*44/12</f>
        <v>0.39632096492792102</v>
      </c>
      <c r="BR134" s="23">
        <f>EXP(-LN(2)/2)*BR133+(1-EXP(-LN(2)/2))/(LN(2)/2)*BL134*BO134*VLOOKUP('Données projet'!$B$11,Paramètres!$A$1:$I$89,3,0)*0.475*44/12</f>
        <v>1.1096128880912861E-14</v>
      </c>
      <c r="BS134" s="24">
        <f t="shared" si="117"/>
        <v>1.3001160247365067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2">
        <f t="shared" si="140"/>
        <v>31.061834975351932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70">
        <f t="shared" si="110"/>
        <v>515.19310924873832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1.7053025658242404E-13</v>
      </c>
      <c r="O135" s="14">
        <f>N135*VLOOKUP('Données projet'!$B$9,Paramètres!$A$1:$I$89,3,0)*VLOOKUP('Données projet'!$B$9,Paramètres!$A$1:$I$89,5,0)</f>
        <v>1.4897523215040567E-13</v>
      </c>
      <c r="P135" s="14">
        <f t="shared" si="141"/>
        <v>2.136562777003313E-12</v>
      </c>
      <c r="Q135" s="22">
        <f t="shared" si="108"/>
        <v>3.9806453659427267E-12</v>
      </c>
      <c r="R135" s="62">
        <f t="shared" si="109"/>
        <v>293.33333333333729</v>
      </c>
      <c r="S135" s="62">
        <f ca="1">AVERAGE(OFFSET($R$3,0,0,'Données projet'!$E$9+1,1))-AVERAGE(OFFSET($H$3,0,0,'Données projet'!$E$9+1,1))</f>
        <v>149.01553333688895</v>
      </c>
      <c r="T135" s="62">
        <f t="shared" si="142"/>
        <v>180.75293059562205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8.6608731937920182E-15</v>
      </c>
      <c r="AC135" s="24">
        <f t="shared" si="111"/>
        <v>8.6608731937920182E-15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-3.4106051316484809E-13</v>
      </c>
      <c r="AJ135" s="14">
        <f>AI135*VLOOKUP('Données projet'!$B$10,Paramètres!$A$1:$I$89,3,0)*VLOOKUP('Données projet'!$B$10,Paramètres!$A$1:$I$89,5,0)</f>
        <v>-2.5006556825246659E-13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296.15681058372093</v>
      </c>
      <c r="AO135" s="62">
        <f t="shared" si="144"/>
        <v>304.69148609083879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0.32253067098728089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0.32253067098728089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-1.1368683772161603E-13</v>
      </c>
      <c r="BE135" s="14">
        <f>BD135*VLOOKUP('Données projet'!$B$11,Paramètres!$A$1:$I$89,3,0)*VLOOKUP('Données projet'!$B$11,Paramètres!$A$1:$I$89,5,0)</f>
        <v>-6.2073013396002357E-14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198.95219623447554</v>
      </c>
      <c r="BJ135" s="62">
        <f t="shared" si="146"/>
        <v>299.68918988634471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0.88607218994628245</v>
      </c>
      <c r="BQ135" s="23">
        <f>EXP(-LN(2)/25)*BQ134+(1-EXP(-LN(2)/25))/(LN(2)/25)*Calculateur!BL135*Calculateur!BN135*VLOOKUP('Données projet'!$B$11,Paramètres!$A$1:$I$89,3,0)*0.475*44/12</f>
        <v>0.38548354730035328</v>
      </c>
      <c r="BR135" s="23">
        <f>EXP(-LN(2)/2)*BR134+(1-EXP(-LN(2)/2))/(LN(2)/2)*BL135*BO135*VLOOKUP('Données projet'!$B$11,Paramètres!$A$1:$I$89,3,0)*0.475*44/12</f>
        <v>7.846147976613381E-15</v>
      </c>
      <c r="BS135" s="24">
        <f t="shared" si="117"/>
        <v>1.2715557372466435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2">
        <f t="shared" si="140"/>
        <v>31.26966959708238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70">
        <f t="shared" si="110"/>
        <v>517.10377788158553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1.7053025658242404E-13</v>
      </c>
      <c r="O136" s="14">
        <f>N136*VLOOKUP('Données projet'!$B$9,Paramètres!$A$1:$I$89,3,0)*VLOOKUP('Données projet'!$B$9,Paramètres!$A$1:$I$89,5,0)</f>
        <v>1.4897523215040567E-13</v>
      </c>
      <c r="P136" s="14">
        <f t="shared" si="141"/>
        <v>2.136562777003313E-12</v>
      </c>
      <c r="Q136" s="22">
        <f t="shared" si="108"/>
        <v>3.9806453659427267E-12</v>
      </c>
      <c r="R136" s="62">
        <f t="shared" si="109"/>
        <v>293.33333333333729</v>
      </c>
      <c r="S136" s="62">
        <f ca="1">AVERAGE(OFFSET($R$3,0,0,'Données projet'!$E$9+1,1))-AVERAGE(OFFSET($H$3,0,0,'Données projet'!$E$9+1,1))</f>
        <v>149.01553333688895</v>
      </c>
      <c r="T136" s="62">
        <f t="shared" si="142"/>
        <v>180.75293059562205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6.1241621663271276E-15</v>
      </c>
      <c r="AC136" s="24">
        <f t="shared" si="111"/>
        <v>6.1241621663271276E-15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-3.4106051316484809E-13</v>
      </c>
      <c r="AJ136" s="14">
        <f>AI136*VLOOKUP('Données projet'!$B$10,Paramètres!$A$1:$I$89,3,0)*VLOOKUP('Données projet'!$B$10,Paramètres!$A$1:$I$89,5,0)</f>
        <v>-2.5006556825246659E-13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296.15681058372093</v>
      </c>
      <c r="AO136" s="62">
        <f t="shared" si="144"/>
        <v>304.69148609083879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0.31371105282798284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0.31371105282798284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-1.1368683772161603E-13</v>
      </c>
      <c r="BE136" s="14">
        <f>BD136*VLOOKUP('Données projet'!$B$11,Paramètres!$A$1:$I$89,3,0)*VLOOKUP('Données projet'!$B$11,Paramètres!$A$1:$I$89,5,0)</f>
        <v>-6.2073013396002357E-14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198.95219623447554</v>
      </c>
      <c r="BJ136" s="62">
        <f t="shared" si="146"/>
        <v>299.68918988634471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0.86869685475210667</v>
      </c>
      <c r="BQ136" s="23">
        <f>EXP(-LN(2)/25)*BQ135+(1-EXP(-LN(2)/25))/(LN(2)/25)*Calculateur!BL136*Calculateur!BN136*VLOOKUP('Données projet'!$B$11,Paramètres!$A$1:$I$89,3,0)*0.475*44/12</f>
        <v>0.37494247942772641</v>
      </c>
      <c r="BR136" s="23">
        <f>EXP(-LN(2)/2)*BR135+(1-EXP(-LN(2)/2))/(LN(2)/2)*BL136*BO136*VLOOKUP('Données projet'!$B$11,Paramètres!$A$1:$I$89,3,0)*0.475*44/12</f>
        <v>5.5480644404564306E-15</v>
      </c>
      <c r="BS136" s="24">
        <f t="shared" si="117"/>
        <v>1.2436393341798386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2">
        <f t="shared" si="140"/>
        <v>31.477322402212781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70">
        <f t="shared" si="110"/>
        <v>519.01412985052093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1.7053025658242404E-13</v>
      </c>
      <c r="O137" s="14">
        <f>N137*VLOOKUP('Données projet'!$B$9,Paramètres!$A$1:$I$89,3,0)*VLOOKUP('Données projet'!$B$9,Paramètres!$A$1:$I$89,5,0)</f>
        <v>1.4897523215040567E-13</v>
      </c>
      <c r="P137" s="14">
        <f t="shared" si="141"/>
        <v>2.136562777003313E-12</v>
      </c>
      <c r="Q137" s="22">
        <f t="shared" si="108"/>
        <v>3.9806453659427267E-12</v>
      </c>
      <c r="R137" s="62">
        <f t="shared" si="109"/>
        <v>293.33333333333729</v>
      </c>
      <c r="S137" s="62">
        <f ca="1">AVERAGE(OFFSET($R$3,0,0,'Données projet'!$E$9+1,1))-AVERAGE(OFFSET($H$3,0,0,'Données projet'!$E$9+1,1))</f>
        <v>149.01553333688895</v>
      </c>
      <c r="T137" s="62">
        <f t="shared" si="142"/>
        <v>180.75293059562205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4.3304365968960091E-15</v>
      </c>
      <c r="AC137" s="24">
        <f t="shared" si="111"/>
        <v>4.3304365968960091E-15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-3.4106051316484809E-13</v>
      </c>
      <c r="AJ137" s="14">
        <f>AI137*VLOOKUP('Données projet'!$B$10,Paramètres!$A$1:$I$89,3,0)*VLOOKUP('Données projet'!$B$10,Paramètres!$A$1:$I$89,5,0)</f>
        <v>-2.5006556825246659E-13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296.15681058372093</v>
      </c>
      <c r="AO137" s="62">
        <f t="shared" si="144"/>
        <v>304.69148609083879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0.30513260759105437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0.30513260759105437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-1.1368683772161603E-13</v>
      </c>
      <c r="BE137" s="14">
        <f>BD137*VLOOKUP('Données projet'!$B$11,Paramètres!$A$1:$I$89,3,0)*VLOOKUP('Données projet'!$B$11,Paramètres!$A$1:$I$89,5,0)</f>
        <v>-6.2073013396002357E-14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198.95219623447554</v>
      </c>
      <c r="BJ137" s="62">
        <f t="shared" si="146"/>
        <v>299.68918988634471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0.85166223928318063</v>
      </c>
      <c r="BQ137" s="23">
        <f>EXP(-LN(2)/25)*BQ136+(1-EXP(-LN(2)/25))/(LN(2)/25)*Calculateur!BL137*Calculateur!BN137*VLOOKUP('Données projet'!$B$11,Paramètres!$A$1:$I$89,3,0)*0.475*44/12</f>
        <v>0.36468965761040717</v>
      </c>
      <c r="BR137" s="23">
        <f>EXP(-LN(2)/2)*BR136+(1-EXP(-LN(2)/2))/(LN(2)/2)*BL137*BO137*VLOOKUP('Données projet'!$B$11,Paramètres!$A$1:$I$89,3,0)*0.475*44/12</f>
        <v>3.9230739883066905E-15</v>
      </c>
      <c r="BS137" s="24">
        <f t="shared" si="117"/>
        <v>1.2163518968935918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2">
        <f t="shared" si="140"/>
        <v>31.68479490489014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70">
        <f t="shared" si="110"/>
        <v>520.9241677926841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1.7053025658242404E-13</v>
      </c>
      <c r="O138" s="14">
        <f>N138*VLOOKUP('Données projet'!$B$9,Paramètres!$A$1:$I$89,3,0)*VLOOKUP('Données projet'!$B$9,Paramètres!$A$1:$I$89,5,0)</f>
        <v>1.4897523215040567E-13</v>
      </c>
      <c r="P138" s="14">
        <f t="shared" si="141"/>
        <v>2.136562777003313E-12</v>
      </c>
      <c r="Q138" s="22">
        <f t="shared" si="108"/>
        <v>3.9806453659427267E-12</v>
      </c>
      <c r="R138" s="62">
        <f t="shared" si="109"/>
        <v>293.33333333333729</v>
      </c>
      <c r="S138" s="62">
        <f ca="1">AVERAGE(OFFSET($R$3,0,0,'Données projet'!$E$9+1,1))-AVERAGE(OFFSET($H$3,0,0,'Données projet'!$E$9+1,1))</f>
        <v>149.01553333688895</v>
      </c>
      <c r="T138" s="62">
        <f t="shared" si="142"/>
        <v>180.75293059562205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3.0620810831635638E-15</v>
      </c>
      <c r="AC138" s="24">
        <f t="shared" si="111"/>
        <v>3.0620810831635638E-15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-3.4106051316484809E-13</v>
      </c>
      <c r="AJ138" s="14">
        <f>AI138*VLOOKUP('Données projet'!$B$10,Paramètres!$A$1:$I$89,3,0)*VLOOKUP('Données projet'!$B$10,Paramètres!$A$1:$I$89,5,0)</f>
        <v>-2.5006556825246659E-13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296.15681058372093</v>
      </c>
      <c r="AO138" s="62">
        <f t="shared" si="144"/>
        <v>304.69148609083879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0.29678874039025055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0.29678874039025055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-1.1368683772161603E-13</v>
      </c>
      <c r="BE138" s="14">
        <f>BD138*VLOOKUP('Données projet'!$B$11,Paramètres!$A$1:$I$89,3,0)*VLOOKUP('Données projet'!$B$11,Paramètres!$A$1:$I$89,5,0)</f>
        <v>-6.2073013396002357E-14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198.95219623447554</v>
      </c>
      <c r="BJ138" s="62">
        <f t="shared" si="146"/>
        <v>299.68918988634471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0.83496166223351076</v>
      </c>
      <c r="BQ138" s="23">
        <f>EXP(-LN(2)/25)*BQ137+(1-EXP(-LN(2)/25))/(LN(2)/25)*Calculateur!BL138*Calculateur!BN138*VLOOKUP('Données projet'!$B$11,Paramètres!$A$1:$I$89,3,0)*0.475*44/12</f>
        <v>0.35471719974485499</v>
      </c>
      <c r="BR138" s="23">
        <f>EXP(-LN(2)/2)*BR137+(1-EXP(-LN(2)/2))/(LN(2)/2)*BL138*BO138*VLOOKUP('Données projet'!$B$11,Paramètres!$A$1:$I$89,3,0)*0.475*44/12</f>
        <v>2.7740322202282153E-15</v>
      </c>
      <c r="BS138" s="24">
        <f t="shared" si="117"/>
        <v>1.1896788619783685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2">
        <f t="shared" si="140"/>
        <v>31.892088595533707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70">
        <f t="shared" si="110"/>
        <v>522.83389430388831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1.7053025658242404E-13</v>
      </c>
      <c r="O139" s="14">
        <f>N139*VLOOKUP('Données projet'!$B$9,Paramètres!$A$1:$I$89,3,0)*VLOOKUP('Données projet'!$B$9,Paramètres!$A$1:$I$89,5,0)</f>
        <v>1.4897523215040567E-13</v>
      </c>
      <c r="P139" s="14">
        <f t="shared" si="141"/>
        <v>2.136562777003313E-12</v>
      </c>
      <c r="Q139" s="22">
        <f t="shared" si="108"/>
        <v>3.9806453659427267E-12</v>
      </c>
      <c r="R139" s="62">
        <f t="shared" si="109"/>
        <v>293.33333333333729</v>
      </c>
      <c r="S139" s="62">
        <f ca="1">AVERAGE(OFFSET($R$3,0,0,'Données projet'!$E$9+1,1))-AVERAGE(OFFSET($H$3,0,0,'Données projet'!$E$9+1,1))</f>
        <v>149.01553333688895</v>
      </c>
      <c r="T139" s="62">
        <f t="shared" si="142"/>
        <v>180.75293059562205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2.1652182984480045E-15</v>
      </c>
      <c r="AC139" s="24">
        <f t="shared" si="111"/>
        <v>2.1652182984480045E-15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-3.4106051316484809E-13</v>
      </c>
      <c r="AJ139" s="14">
        <f>AI139*VLOOKUP('Données projet'!$B$10,Paramètres!$A$1:$I$89,3,0)*VLOOKUP('Données projet'!$B$10,Paramètres!$A$1:$I$89,5,0)</f>
        <v>-2.5006556825246659E-13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296.15681058372093</v>
      </c>
      <c r="AO139" s="62">
        <f t="shared" si="144"/>
        <v>304.69148609083879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0.28867303667683764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0.28867303667683764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-1.1368683772161603E-13</v>
      </c>
      <c r="BE139" s="14">
        <f>BD139*VLOOKUP('Données projet'!$B$11,Paramètres!$A$1:$I$89,3,0)*VLOOKUP('Données projet'!$B$11,Paramètres!$A$1:$I$89,5,0)</f>
        <v>-6.2073013396002357E-14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198.95219623447554</v>
      </c>
      <c r="BJ139" s="62">
        <f t="shared" si="146"/>
        <v>299.68918988634471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0.81858857331343871</v>
      </c>
      <c r="BQ139" s="23">
        <f>EXP(-LN(2)/25)*BQ138+(1-EXP(-LN(2)/25))/(LN(2)/25)*Calculateur!BL139*Calculateur!BN139*VLOOKUP('Données projet'!$B$11,Paramètres!$A$1:$I$89,3,0)*0.475*44/12</f>
        <v>0.34501743926406514</v>
      </c>
      <c r="BR139" s="23">
        <f>EXP(-LN(2)/2)*BR138+(1-EXP(-LN(2)/2))/(LN(2)/2)*BL139*BO139*VLOOKUP('Données projet'!$B$11,Paramètres!$A$1:$I$89,3,0)*0.475*44/12</f>
        <v>1.9615369941533452E-15</v>
      </c>
      <c r="BS139" s="24">
        <f t="shared" si="117"/>
        <v>1.1636060125775058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2">
        <f t="shared" si="140"/>
        <v>32.09920494137846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70">
        <f t="shared" si="110"/>
        <v>524.74331193956789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1.7053025658242404E-13</v>
      </c>
      <c r="O140" s="14">
        <f>N140*VLOOKUP('Données projet'!$B$9,Paramètres!$A$1:$I$89,3,0)*VLOOKUP('Données projet'!$B$9,Paramètres!$A$1:$I$89,5,0)</f>
        <v>1.4897523215040567E-13</v>
      </c>
      <c r="P140" s="14">
        <f t="shared" si="141"/>
        <v>2.136562777003313E-12</v>
      </c>
      <c r="Q140" s="22">
        <f t="shared" si="108"/>
        <v>3.9806453659427267E-12</v>
      </c>
      <c r="R140" s="62">
        <f t="shared" si="109"/>
        <v>293.33333333333729</v>
      </c>
      <c r="S140" s="62">
        <f ca="1">AVERAGE(OFFSET($R$3,0,0,'Données projet'!$E$9+1,1))-AVERAGE(OFFSET($H$3,0,0,'Données projet'!$E$9+1,1))</f>
        <v>149.01553333688895</v>
      </c>
      <c r="T140" s="62">
        <f t="shared" si="142"/>
        <v>180.75293059562205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1.5310405415817819E-15</v>
      </c>
      <c r="AC140" s="24">
        <f t="shared" si="111"/>
        <v>1.5310405415817819E-15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-3.4106051316484809E-13</v>
      </c>
      <c r="AJ140" s="14">
        <f>AI140*VLOOKUP('Données projet'!$B$10,Paramètres!$A$1:$I$89,3,0)*VLOOKUP('Données projet'!$B$10,Paramètres!$A$1:$I$89,5,0)</f>
        <v>-2.5006556825246659E-13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296.15681058372093</v>
      </c>
      <c r="AO140" s="62">
        <f t="shared" si="144"/>
        <v>304.69148609083879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0.28077925730825426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0.28077925730825426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-1.1368683772161603E-13</v>
      </c>
      <c r="BE140" s="14">
        <f>BD140*VLOOKUP('Données projet'!$B$11,Paramètres!$A$1:$I$89,3,0)*VLOOKUP('Données projet'!$B$11,Paramètres!$A$1:$I$89,5,0)</f>
        <v>-6.2073013396002357E-14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198.95219623447554</v>
      </c>
      <c r="BJ140" s="62">
        <f t="shared" si="146"/>
        <v>299.68918988634471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0.80253655068049112</v>
      </c>
      <c r="BQ140" s="23">
        <f>EXP(-LN(2)/25)*BQ139+(1-EXP(-LN(2)/25))/(LN(2)/25)*Calculateur!BL140*Calculateur!BN140*VLOOKUP('Données projet'!$B$11,Paramètres!$A$1:$I$89,3,0)*0.475*44/12</f>
        <v>0.3355829192437107</v>
      </c>
      <c r="BR140" s="23">
        <f>EXP(-LN(2)/2)*BR139+(1-EXP(-LN(2)/2))/(LN(2)/2)*BL140*BO140*VLOOKUP('Données projet'!$B$11,Paramètres!$A$1:$I$89,3,0)*0.475*44/12</f>
        <v>1.3870161101141077E-15</v>
      </c>
      <c r="BS140" s="24">
        <f t="shared" si="117"/>
        <v>1.1381194699242032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2">
        <f t="shared" si="140"/>
        <v>32.306145387002346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70">
        <f t="shared" si="110"/>
        <v>526.65242321569622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1.7053025658242404E-13</v>
      </c>
      <c r="O141" s="14">
        <f>N141*VLOOKUP('Données projet'!$B$9,Paramètres!$A$1:$I$89,3,0)*VLOOKUP('Données projet'!$B$9,Paramètres!$A$1:$I$89,5,0)</f>
        <v>1.4897523215040567E-13</v>
      </c>
      <c r="P141" s="14">
        <f t="shared" si="141"/>
        <v>2.136562777003313E-12</v>
      </c>
      <c r="Q141" s="22">
        <f t="shared" si="108"/>
        <v>3.9806453659427267E-12</v>
      </c>
      <c r="R141" s="62">
        <f t="shared" si="109"/>
        <v>293.33333333333729</v>
      </c>
      <c r="S141" s="62">
        <f ca="1">AVERAGE(OFFSET($R$3,0,0,'Données projet'!$E$9+1,1))-AVERAGE(OFFSET($H$3,0,0,'Données projet'!$E$9+1,1))</f>
        <v>149.01553333688895</v>
      </c>
      <c r="T141" s="62">
        <f t="shared" si="142"/>
        <v>180.75293059562205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1.0826091492240023E-15</v>
      </c>
      <c r="AC141" s="24">
        <f t="shared" si="111"/>
        <v>1.0826091492240023E-15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-3.4106051316484809E-13</v>
      </c>
      <c r="AJ141" s="14">
        <f>AI141*VLOOKUP('Données projet'!$B$10,Paramètres!$A$1:$I$89,3,0)*VLOOKUP('Données projet'!$B$10,Paramètres!$A$1:$I$89,5,0)</f>
        <v>-2.5006556825246659E-13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296.15681058372093</v>
      </c>
      <c r="AO141" s="62">
        <f t="shared" si="144"/>
        <v>304.69148609083879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0.27310133375162066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0.27310133375162066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-1.1368683772161603E-13</v>
      </c>
      <c r="BE141" s="14">
        <f>BD141*VLOOKUP('Données projet'!$B$11,Paramètres!$A$1:$I$89,3,0)*VLOOKUP('Données projet'!$B$11,Paramètres!$A$1:$I$89,5,0)</f>
        <v>-6.2073013396002357E-14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198.95219623447554</v>
      </c>
      <c r="BJ141" s="62">
        <f t="shared" si="146"/>
        <v>299.68918988634471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0.78679929842060858</v>
      </c>
      <c r="BQ141" s="23">
        <f>EXP(-LN(2)/25)*BQ140+(1-EXP(-LN(2)/25))/(LN(2)/25)*Calculateur!BL141*Calculateur!BN141*VLOOKUP('Données projet'!$B$11,Paramètres!$A$1:$I$89,3,0)*0.475*44/12</f>
        <v>0.32640638666945271</v>
      </c>
      <c r="BR141" s="23">
        <f>EXP(-LN(2)/2)*BR140+(1-EXP(-LN(2)/2))/(LN(2)/2)*BL141*BO141*VLOOKUP('Données projet'!$B$11,Paramètres!$A$1:$I$89,3,0)*0.475*44/12</f>
        <v>9.8076849707667262E-16</v>
      </c>
      <c r="BS141" s="24">
        <f t="shared" si="117"/>
        <v>1.1132056850900622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2">
        <f t="shared" si="140"/>
        <v>32.512911354837613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70">
        <f t="shared" si="110"/>
        <v>528.56123060967593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1.7053025658242404E-13</v>
      </c>
      <c r="O142" s="14">
        <f>N142*VLOOKUP('Données projet'!$B$9,Paramètres!$A$1:$I$89,3,0)*VLOOKUP('Données projet'!$B$9,Paramètres!$A$1:$I$89,5,0)</f>
        <v>1.4897523215040567E-13</v>
      </c>
      <c r="P142" s="14">
        <f t="shared" si="141"/>
        <v>2.136562777003313E-12</v>
      </c>
      <c r="Q142" s="22">
        <f t="shared" si="108"/>
        <v>3.9806453659427267E-12</v>
      </c>
      <c r="R142" s="62">
        <f t="shared" si="109"/>
        <v>293.33333333333729</v>
      </c>
      <c r="S142" s="62">
        <f ca="1">AVERAGE(OFFSET($R$3,0,0,'Données projet'!$E$9+1,1))-AVERAGE(OFFSET($H$3,0,0,'Données projet'!$E$9+1,1))</f>
        <v>149.01553333688895</v>
      </c>
      <c r="T142" s="62">
        <f t="shared" si="142"/>
        <v>180.75293059562205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7.6552027079089095E-16</v>
      </c>
      <c r="AC142" s="24">
        <f t="shared" si="111"/>
        <v>7.6552027079089095E-16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-3.4106051316484809E-13</v>
      </c>
      <c r="AJ142" s="14">
        <f>AI142*VLOOKUP('Données projet'!$B$10,Paramètres!$A$1:$I$89,3,0)*VLOOKUP('Données projet'!$B$10,Paramètres!$A$1:$I$89,5,0)</f>
        <v>-2.5006556825246659E-13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296.15681058372093</v>
      </c>
      <c r="AO142" s="62">
        <f t="shared" si="144"/>
        <v>304.69148609083879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0.26563336341840765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0.26563336341840765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-1.1368683772161603E-13</v>
      </c>
      <c r="BE142" s="14">
        <f>BD142*VLOOKUP('Données projet'!$B$11,Paramètres!$A$1:$I$89,3,0)*VLOOKUP('Données projet'!$B$11,Paramètres!$A$1:$I$89,5,0)</f>
        <v>-6.2073013396002357E-14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198.95219623447554</v>
      </c>
      <c r="BJ142" s="62">
        <f t="shared" si="146"/>
        <v>299.68918988634471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0.77137064407876632</v>
      </c>
      <c r="BQ142" s="23">
        <f>EXP(-LN(2)/25)*BQ141+(1-EXP(-LN(2)/25))/(LN(2)/25)*Calculateur!BL142*Calculateur!BN142*VLOOKUP('Données projet'!$B$11,Paramètres!$A$1:$I$89,3,0)*0.475*44/12</f>
        <v>0.31748078686101067</v>
      </c>
      <c r="BR142" s="23">
        <f>EXP(-LN(2)/2)*BR141+(1-EXP(-LN(2)/2))/(LN(2)/2)*BL142*BO142*VLOOKUP('Données projet'!$B$11,Paramètres!$A$1:$I$89,3,0)*0.475*44/12</f>
        <v>6.9350805505705383E-16</v>
      </c>
      <c r="BS142" s="24">
        <f t="shared" si="117"/>
        <v>1.0888514309397777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2">
        <f t="shared" si="140"/>
        <v>32.719504245667331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70">
        <f t="shared" si="110"/>
        <v>530.4697365612044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1.7053025658242404E-13</v>
      </c>
      <c r="O143" s="14">
        <f>N143*VLOOKUP('Données projet'!$B$9,Paramètres!$A$1:$I$89,3,0)*VLOOKUP('Données projet'!$B$9,Paramètres!$A$1:$I$89,5,0)</f>
        <v>1.4897523215040567E-13</v>
      </c>
      <c r="P143" s="14">
        <f t="shared" si="141"/>
        <v>2.136562777003313E-12</v>
      </c>
      <c r="Q143" s="22">
        <f t="shared" si="108"/>
        <v>3.9806453659427267E-12</v>
      </c>
      <c r="R143" s="62">
        <f t="shared" si="109"/>
        <v>293.33333333333729</v>
      </c>
      <c r="S143" s="62">
        <f ca="1">AVERAGE(OFFSET($R$3,0,0,'Données projet'!$E$9+1,1))-AVERAGE(OFFSET($H$3,0,0,'Données projet'!$E$9+1,1))</f>
        <v>149.01553333688895</v>
      </c>
      <c r="T143" s="62">
        <f t="shared" si="142"/>
        <v>180.75293059562205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5.4130457461200113E-16</v>
      </c>
      <c r="AC143" s="24">
        <f t="shared" si="111"/>
        <v>5.4130457461200113E-16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-3.4106051316484809E-13</v>
      </c>
      <c r="AJ143" s="14">
        <f>AI143*VLOOKUP('Données projet'!$B$10,Paramètres!$A$1:$I$89,3,0)*VLOOKUP('Données projet'!$B$10,Paramètres!$A$1:$I$89,5,0)</f>
        <v>-2.5006556825246659E-13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296.15681058372093</v>
      </c>
      <c r="AO143" s="62">
        <f t="shared" si="144"/>
        <v>304.69148609083879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0.25836960512667984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0.25836960512667984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-1.1368683772161603E-13</v>
      </c>
      <c r="BE143" s="14">
        <f>BD143*VLOOKUP('Données projet'!$B$11,Paramètres!$A$1:$I$89,3,0)*VLOOKUP('Données projet'!$B$11,Paramètres!$A$1:$I$89,5,0)</f>
        <v>-6.2073013396002357E-14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198.95219623447554</v>
      </c>
      <c r="BJ143" s="62">
        <f t="shared" si="146"/>
        <v>299.68918988634471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0.75624453623801757</v>
      </c>
      <c r="BQ143" s="23">
        <f>EXP(-LN(2)/25)*BQ142+(1-EXP(-LN(2)/25))/(LN(2)/25)*Calculateur!BL143*Calculateur!BN143*VLOOKUP('Données projet'!$B$11,Paramètres!$A$1:$I$89,3,0)*0.475*44/12</f>
        <v>0.30879925804870734</v>
      </c>
      <c r="BR143" s="23">
        <f>EXP(-LN(2)/2)*BR142+(1-EXP(-LN(2)/2))/(LN(2)/2)*BL143*BO143*VLOOKUP('Données projet'!$B$11,Paramètres!$A$1:$I$89,3,0)*0.475*44/12</f>
        <v>4.9038424853833631E-16</v>
      </c>
      <c r="BS143" s="24">
        <f t="shared" si="117"/>
        <v>1.0650437942867255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2">
        <f t="shared" si="140"/>
        <v>32.925925439106905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70">
        <f t="shared" si="110"/>
        <v>532.3779434731116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1.7053025658242404E-13</v>
      </c>
      <c r="O144" s="14">
        <f>N144*VLOOKUP('Données projet'!$B$9,Paramètres!$A$1:$I$89,3,0)*VLOOKUP('Données projet'!$B$9,Paramètres!$A$1:$I$89,5,0)</f>
        <v>1.4897523215040567E-13</v>
      </c>
      <c r="P144" s="14">
        <f t="shared" si="141"/>
        <v>2.136562777003313E-12</v>
      </c>
      <c r="Q144" s="22">
        <f t="shared" si="108"/>
        <v>3.9806453659427267E-12</v>
      </c>
      <c r="R144" s="62">
        <f t="shared" si="109"/>
        <v>293.33333333333729</v>
      </c>
      <c r="S144" s="62">
        <f ca="1">AVERAGE(OFFSET($R$3,0,0,'Données projet'!$E$9+1,1))-AVERAGE(OFFSET($H$3,0,0,'Données projet'!$E$9+1,1))</f>
        <v>149.01553333688895</v>
      </c>
      <c r="T144" s="62">
        <f t="shared" si="142"/>
        <v>180.75293059562205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3.8276013539544548E-16</v>
      </c>
      <c r="AC144" s="24">
        <f t="shared" si="111"/>
        <v>3.8276013539544548E-16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-3.4106051316484809E-13</v>
      </c>
      <c r="AJ144" s="14">
        <f>AI144*VLOOKUP('Données projet'!$B$10,Paramètres!$A$1:$I$89,3,0)*VLOOKUP('Données projet'!$B$10,Paramètres!$A$1:$I$89,5,0)</f>
        <v>-2.5006556825246659E-13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296.15681058372093</v>
      </c>
      <c r="AO144" s="62">
        <f t="shared" si="144"/>
        <v>304.69148609083879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0.25130447468742373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0.25130447468742373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-1.1368683772161603E-13</v>
      </c>
      <c r="BE144" s="14">
        <f>BD144*VLOOKUP('Données projet'!$B$11,Paramètres!$A$1:$I$89,3,0)*VLOOKUP('Données projet'!$B$11,Paramètres!$A$1:$I$89,5,0)</f>
        <v>-6.2073013396002357E-14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198.95219623447554</v>
      </c>
      <c r="BJ144" s="62">
        <f t="shared" si="146"/>
        <v>299.68918988634471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0.74141504214601117</v>
      </c>
      <c r="BQ144" s="23">
        <f>EXP(-LN(2)/25)*BQ143+(1-EXP(-LN(2)/25))/(LN(2)/25)*Calculateur!BL144*Calculateur!BN144*VLOOKUP('Données projet'!$B$11,Paramètres!$A$1:$I$89,3,0)*0.475*44/12</f>
        <v>0.30035512609831821</v>
      </c>
      <c r="BR144" s="23">
        <f>EXP(-LN(2)/2)*BR143+(1-EXP(-LN(2)/2))/(LN(2)/2)*BL144*BO144*VLOOKUP('Données projet'!$B$11,Paramètres!$A$1:$I$89,3,0)*0.475*44/12</f>
        <v>3.4675402752852691E-16</v>
      </c>
      <c r="BS144" s="24">
        <f t="shared" si="117"/>
        <v>1.0417701682443299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2">
        <f t="shared" si="140"/>
        <v>33.132176294071868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70">
        <f t="shared" si="110"/>
        <v>534.28585371217559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1.7053025658242404E-13</v>
      </c>
      <c r="O145" s="14">
        <f>N145*VLOOKUP('Données projet'!$B$9,Paramètres!$A$1:$I$89,3,0)*VLOOKUP('Données projet'!$B$9,Paramètres!$A$1:$I$89,5,0)</f>
        <v>1.4897523215040567E-13</v>
      </c>
      <c r="P145" s="14">
        <f t="shared" si="141"/>
        <v>2.136562777003313E-12</v>
      </c>
      <c r="Q145" s="22">
        <f t="shared" si="108"/>
        <v>3.9806453659427267E-12</v>
      </c>
      <c r="R145" s="62">
        <f t="shared" si="109"/>
        <v>293.33333333333729</v>
      </c>
      <c r="S145" s="62">
        <f ca="1">AVERAGE(OFFSET($R$3,0,0,'Données projet'!$E$9+1,1))-AVERAGE(OFFSET($H$3,0,0,'Données projet'!$E$9+1,1))</f>
        <v>149.01553333688895</v>
      </c>
      <c r="T145" s="62">
        <f t="shared" si="142"/>
        <v>180.75293059562205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2.7065228730600057E-16</v>
      </c>
      <c r="AC145" s="24">
        <f t="shared" si="111"/>
        <v>2.7065228730600057E-16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-3.4106051316484809E-13</v>
      </c>
      <c r="AJ145" s="14">
        <f>AI145*VLOOKUP('Données projet'!$B$10,Paramètres!$A$1:$I$89,3,0)*VLOOKUP('Données projet'!$B$10,Paramètres!$A$1:$I$89,5,0)</f>
        <v>-2.5006556825246659E-13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296.15681058372093</v>
      </c>
      <c r="AO145" s="62">
        <f t="shared" si="144"/>
        <v>304.69148609083879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0.24443254061156816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0.24443254061156816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-1.1368683772161603E-13</v>
      </c>
      <c r="BE145" s="14">
        <f>BD145*VLOOKUP('Données projet'!$B$11,Paramètres!$A$1:$I$89,3,0)*VLOOKUP('Données projet'!$B$11,Paramètres!$A$1:$I$89,5,0)</f>
        <v>-6.2073013396002357E-14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198.95219623447554</v>
      </c>
      <c r="BJ145" s="62">
        <f t="shared" si="146"/>
        <v>299.68918988634471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0.72687634538805068</v>
      </c>
      <c r="BQ145" s="23">
        <f>EXP(-LN(2)/25)*BQ144+(1-EXP(-LN(2)/25))/(LN(2)/25)*Calculateur!BL145*Calculateur!BN145*VLOOKUP('Données projet'!$B$11,Paramètres!$A$1:$I$89,3,0)*0.475*44/12</f>
        <v>0.2921418993801701</v>
      </c>
      <c r="BR145" s="23">
        <f>EXP(-LN(2)/2)*BR144+(1-EXP(-LN(2)/2))/(LN(2)/2)*BL145*BO145*VLOOKUP('Données projet'!$B$11,Paramètres!$A$1:$I$89,3,0)*0.475*44/12</f>
        <v>2.4519212426916816E-16</v>
      </c>
      <c r="BS145" s="24">
        <f t="shared" si="117"/>
        <v>1.019018244768221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2">
        <f t="shared" si="140"/>
        <v>33.33825814923194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70">
        <f t="shared" si="110"/>
        <v>536.19346960991265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1.7053025658242404E-13</v>
      </c>
      <c r="O146" s="14">
        <f>N146*VLOOKUP('Données projet'!$B$9,Paramètres!$A$1:$I$89,3,0)*VLOOKUP('Données projet'!$B$9,Paramètres!$A$1:$I$89,5,0)</f>
        <v>1.4897523215040567E-13</v>
      </c>
      <c r="P146" s="14">
        <f t="shared" si="141"/>
        <v>2.136562777003313E-12</v>
      </c>
      <c r="Q146" s="22">
        <f t="shared" si="108"/>
        <v>3.9806453659427267E-12</v>
      </c>
      <c r="R146" s="62">
        <f t="shared" si="109"/>
        <v>293.33333333333729</v>
      </c>
      <c r="S146" s="62">
        <f ca="1">AVERAGE(OFFSET($R$3,0,0,'Données projet'!$E$9+1,1))-AVERAGE(OFFSET($H$3,0,0,'Données projet'!$E$9+1,1))</f>
        <v>149.01553333688895</v>
      </c>
      <c r="T146" s="62">
        <f t="shared" si="142"/>
        <v>180.75293059562205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1.9138006769772274E-16</v>
      </c>
      <c r="AC146" s="24">
        <f t="shared" si="111"/>
        <v>1.9138006769772274E-16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-3.4106051316484809E-13</v>
      </c>
      <c r="AJ146" s="14">
        <f>AI146*VLOOKUP('Données projet'!$B$10,Paramètres!$A$1:$I$89,3,0)*VLOOKUP('Données projet'!$B$10,Paramètres!$A$1:$I$89,5,0)</f>
        <v>-2.5006556825246659E-13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296.15681058372093</v>
      </c>
      <c r="AO146" s="62">
        <f t="shared" si="144"/>
        <v>304.69148609083879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0.23774851993439619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0.23774851993439619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-1.1368683772161603E-13</v>
      </c>
      <c r="BE146" s="14">
        <f>BD146*VLOOKUP('Données projet'!$B$11,Paramètres!$A$1:$I$89,3,0)*VLOOKUP('Données projet'!$B$11,Paramètres!$A$1:$I$89,5,0)</f>
        <v>-6.2073013396002357E-14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198.95219623447554</v>
      </c>
      <c r="BJ146" s="62">
        <f t="shared" si="146"/>
        <v>299.68918988634471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0.71262274360578448</v>
      </c>
      <c r="BQ146" s="23">
        <f>EXP(-LN(2)/25)*BQ145+(1-EXP(-LN(2)/25))/(LN(2)/25)*Calculateur!BL146*Calculateur!BN146*VLOOKUP('Données projet'!$B$11,Paramètres!$A$1:$I$89,3,0)*0.475*44/12</f>
        <v>0.28415326377854455</v>
      </c>
      <c r="BR146" s="23">
        <f>EXP(-LN(2)/2)*BR145+(1-EXP(-LN(2)/2))/(LN(2)/2)*BL146*BO146*VLOOKUP('Données projet'!$B$11,Paramètres!$A$1:$I$89,3,0)*0.475*44/12</f>
        <v>1.7337701376426346E-16</v>
      </c>
      <c r="BS146" s="24">
        <f t="shared" si="117"/>
        <v>0.99677600738432925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2">
        <f t="shared" si="140"/>
        <v>33.544172323452237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70">
        <f t="shared" si="110"/>
        <v>538.10079346334646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1.7053025658242404E-13</v>
      </c>
      <c r="O147" s="14">
        <f>N147*VLOOKUP('Données projet'!$B$9,Paramètres!$A$1:$I$89,3,0)*VLOOKUP('Données projet'!$B$9,Paramètres!$A$1:$I$89,5,0)</f>
        <v>1.4897523215040567E-13</v>
      </c>
      <c r="P147" s="14">
        <f t="shared" si="141"/>
        <v>2.136562777003313E-12</v>
      </c>
      <c r="Q147" s="22">
        <f t="shared" si="108"/>
        <v>3.9806453659427267E-12</v>
      </c>
      <c r="R147" s="62">
        <f t="shared" si="109"/>
        <v>293.33333333333729</v>
      </c>
      <c r="S147" s="62">
        <f ca="1">AVERAGE(OFFSET($R$3,0,0,'Données projet'!$E$9+1,1))-AVERAGE(OFFSET($H$3,0,0,'Données projet'!$E$9+1,1))</f>
        <v>149.01553333688895</v>
      </c>
      <c r="T147" s="62">
        <f t="shared" si="142"/>
        <v>180.75293059562205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1.3532614365300028E-16</v>
      </c>
      <c r="AC147" s="24">
        <f t="shared" si="111"/>
        <v>1.3532614365300028E-16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-3.4106051316484809E-13</v>
      </c>
      <c r="AJ147" s="14">
        <f>AI147*VLOOKUP('Données projet'!$B$10,Paramètres!$A$1:$I$89,3,0)*VLOOKUP('Données projet'!$B$10,Paramètres!$A$1:$I$89,5,0)</f>
        <v>-2.5006556825246659E-13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296.15681058372093</v>
      </c>
      <c r="AO147" s="62">
        <f t="shared" si="144"/>
        <v>304.69148609083879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0.23124727415413884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0.23124727415413884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-1.1368683772161603E-13</v>
      </c>
      <c r="BE147" s="14">
        <f>BD147*VLOOKUP('Données projet'!$B$11,Paramètres!$A$1:$I$89,3,0)*VLOOKUP('Données projet'!$B$11,Paramètres!$A$1:$I$89,5,0)</f>
        <v>-6.2073013396002357E-14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198.95219623447554</v>
      </c>
      <c r="BJ147" s="62">
        <f t="shared" si="146"/>
        <v>299.68918988634471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0.69864864626062984</v>
      </c>
      <c r="BQ147" s="23">
        <f>EXP(-LN(2)/25)*BQ146+(1-EXP(-LN(2)/25))/(LN(2)/25)*Calculateur!BL147*Calculateur!BN147*VLOOKUP('Données projet'!$B$11,Paramètres!$A$1:$I$89,3,0)*0.475*44/12</f>
        <v>0.27638307783754956</v>
      </c>
      <c r="BR147" s="23">
        <f>EXP(-LN(2)/2)*BR146+(1-EXP(-LN(2)/2))/(LN(2)/2)*BL147*BO147*VLOOKUP('Données projet'!$B$11,Paramètres!$A$1:$I$89,3,0)*0.475*44/12</f>
        <v>1.2259606213458408E-16</v>
      </c>
      <c r="BS147" s="24">
        <f t="shared" si="117"/>
        <v>0.97503172409817951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2">
        <f t="shared" si="140"/>
        <v>33.749920116221446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70">
        <f t="shared" si="110"/>
        <v>540.00782753575277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1.7053025658242404E-13</v>
      </c>
      <c r="O148" s="14">
        <f>N148*VLOOKUP('Données projet'!$B$9,Paramètres!$A$1:$I$89,3,0)*VLOOKUP('Données projet'!$B$9,Paramètres!$A$1:$I$89,5,0)</f>
        <v>1.4897523215040567E-13</v>
      </c>
      <c r="P148" s="14">
        <f t="shared" si="141"/>
        <v>2.136562777003313E-12</v>
      </c>
      <c r="Q148" s="22">
        <f t="shared" si="108"/>
        <v>3.9806453659427267E-12</v>
      </c>
      <c r="R148" s="62">
        <f t="shared" si="109"/>
        <v>293.33333333333729</v>
      </c>
      <c r="S148" s="62">
        <f ca="1">AVERAGE(OFFSET($R$3,0,0,'Données projet'!$E$9+1,1))-AVERAGE(OFFSET($H$3,0,0,'Données projet'!$E$9+1,1))</f>
        <v>149.01553333688895</v>
      </c>
      <c r="T148" s="62">
        <f t="shared" si="142"/>
        <v>180.75293059562205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9.5690033848861369E-17</v>
      </c>
      <c r="AC148" s="24">
        <f t="shared" si="111"/>
        <v>9.5690033848861369E-17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-3.4106051316484809E-13</v>
      </c>
      <c r="AJ148" s="14">
        <f>AI148*VLOOKUP('Données projet'!$B$10,Paramètres!$A$1:$I$89,3,0)*VLOOKUP('Données projet'!$B$10,Paramètres!$A$1:$I$89,5,0)</f>
        <v>-2.5006556825246659E-13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296.15681058372093</v>
      </c>
      <c r="AO148" s="62">
        <f t="shared" si="144"/>
        <v>304.69148609083879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0.22492380528162828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0.22492380528162828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-1.1368683772161603E-13</v>
      </c>
      <c r="BE148" s="14">
        <f>BD148*VLOOKUP('Données projet'!$B$11,Paramètres!$A$1:$I$89,3,0)*VLOOKUP('Données projet'!$B$11,Paramètres!$A$1:$I$89,5,0)</f>
        <v>-6.2073013396002357E-14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198.95219623447554</v>
      </c>
      <c r="BJ148" s="62">
        <f t="shared" si="146"/>
        <v>299.68918988634471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0.68494857244105589</v>
      </c>
      <c r="BQ148" s="23">
        <f>EXP(-LN(2)/25)*BQ147+(1-EXP(-LN(2)/25))/(LN(2)/25)*Calculateur!BL148*Calculateur!BN148*VLOOKUP('Données projet'!$B$11,Paramètres!$A$1:$I$89,3,0)*0.475*44/12</f>
        <v>0.2688253680397274</v>
      </c>
      <c r="BR148" s="23">
        <f>EXP(-LN(2)/2)*BR147+(1-EXP(-LN(2)/2))/(LN(2)/2)*BL148*BO148*VLOOKUP('Données projet'!$B$11,Paramètres!$A$1:$I$89,3,0)*0.475*44/12</f>
        <v>8.6688506882131729E-17</v>
      </c>
      <c r="BS148" s="24">
        <f t="shared" si="117"/>
        <v>0.95377394048078334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2">
        <f t="shared" si="140"/>
        <v>33.955502808068339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70">
        <f t="shared" si="110"/>
        <v>541.91457405738606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1.7053025658242404E-13</v>
      </c>
      <c r="O149" s="14">
        <f>N149*VLOOKUP('Données projet'!$B$9,Paramètres!$A$1:$I$89,3,0)*VLOOKUP('Données projet'!$B$9,Paramètres!$A$1:$I$89,5,0)</f>
        <v>1.4897523215040567E-13</v>
      </c>
      <c r="P149" s="14">
        <f t="shared" si="141"/>
        <v>2.136562777003313E-12</v>
      </c>
      <c r="Q149" s="22">
        <f t="shared" si="108"/>
        <v>3.9806453659427267E-12</v>
      </c>
      <c r="R149" s="62">
        <f t="shared" si="109"/>
        <v>293.33333333333729</v>
      </c>
      <c r="S149" s="62">
        <f ca="1">AVERAGE(OFFSET($R$3,0,0,'Données projet'!$E$9+1,1))-AVERAGE(OFFSET($H$3,0,0,'Données projet'!$E$9+1,1))</f>
        <v>149.01553333688895</v>
      </c>
      <c r="T149" s="62">
        <f t="shared" si="142"/>
        <v>180.75293059562205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6.7663071826500142E-17</v>
      </c>
      <c r="AC149" s="24">
        <f t="shared" si="111"/>
        <v>6.7663071826500142E-17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-3.4106051316484809E-13</v>
      </c>
      <c r="AJ149" s="14">
        <f>AI149*VLOOKUP('Données projet'!$B$10,Paramètres!$A$1:$I$89,3,0)*VLOOKUP('Données projet'!$B$10,Paramètres!$A$1:$I$89,5,0)</f>
        <v>-2.5006556825246659E-13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296.15681058372093</v>
      </c>
      <c r="AO149" s="62">
        <f t="shared" si="144"/>
        <v>304.69148609083879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0.21877325199797332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0.21877325199797332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-1.1368683772161603E-13</v>
      </c>
      <c r="BE149" s="14">
        <f>BD149*VLOOKUP('Données projet'!$B$11,Paramètres!$A$1:$I$89,3,0)*VLOOKUP('Données projet'!$B$11,Paramètres!$A$1:$I$89,5,0)</f>
        <v>-6.2073013396002357E-14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198.95219623447554</v>
      </c>
      <c r="BJ149" s="62">
        <f t="shared" si="146"/>
        <v>299.68918988634471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0.67151714871286383</v>
      </c>
      <c r="BQ149" s="23">
        <f>EXP(-LN(2)/25)*BQ148+(1-EXP(-LN(2)/25))/(LN(2)/25)*Calculateur!BL149*Calculateur!BN149*VLOOKUP('Données projet'!$B$11,Paramètres!$A$1:$I$89,3,0)*0.475*44/12</f>
        <v>0.26147432421376937</v>
      </c>
      <c r="BR149" s="23">
        <f>EXP(-LN(2)/2)*BR148+(1-EXP(-LN(2)/2))/(LN(2)/2)*BL149*BO149*VLOOKUP('Données projet'!$B$11,Paramètres!$A$1:$I$89,3,0)*0.475*44/12</f>
        <v>6.1298031067292039E-17</v>
      </c>
      <c r="BS149" s="24">
        <f t="shared" si="117"/>
        <v>0.93299147292663331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2">
        <f t="shared" si="140"/>
        <v>34.160921660966174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70">
        <f t="shared" si="110"/>
        <v>543.82103522618308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1.7053025658242404E-13</v>
      </c>
      <c r="O150" s="14">
        <f>N150*VLOOKUP('Données projet'!$B$9,Paramètres!$A$1:$I$89,3,0)*VLOOKUP('Données projet'!$B$9,Paramètres!$A$1:$I$89,5,0)</f>
        <v>1.4897523215040567E-13</v>
      </c>
      <c r="P150" s="14">
        <f t="shared" si="141"/>
        <v>2.136562777003313E-12</v>
      </c>
      <c r="Q150" s="22">
        <f t="shared" si="108"/>
        <v>3.9806453659427267E-12</v>
      </c>
      <c r="R150" s="62">
        <f t="shared" si="109"/>
        <v>293.33333333333729</v>
      </c>
      <c r="S150" s="62">
        <f ca="1">AVERAGE(OFFSET($R$3,0,0,'Données projet'!$E$9+1,1))-AVERAGE(OFFSET($H$3,0,0,'Données projet'!$E$9+1,1))</f>
        <v>149.01553333688895</v>
      </c>
      <c r="T150" s="62">
        <f t="shared" si="142"/>
        <v>180.75293059562205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4.7845016924430685E-17</v>
      </c>
      <c r="AC150" s="24">
        <f t="shared" si="111"/>
        <v>4.7845016924430685E-17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-3.4106051316484809E-13</v>
      </c>
      <c r="AJ150" s="14">
        <f>AI150*VLOOKUP('Données projet'!$B$10,Paramètres!$A$1:$I$89,3,0)*VLOOKUP('Données projet'!$B$10,Paramètres!$A$1:$I$89,5,0)</f>
        <v>-2.5006556825246659E-13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296.15681058372093</v>
      </c>
      <c r="AO150" s="62">
        <f t="shared" si="144"/>
        <v>304.69148609083879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0.21279088591730344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0.21279088591730344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-1.1368683772161603E-13</v>
      </c>
      <c r="BE150" s="14">
        <f>BD150*VLOOKUP('Données projet'!$B$11,Paramètres!$A$1:$I$89,3,0)*VLOOKUP('Données projet'!$B$11,Paramètres!$A$1:$I$89,5,0)</f>
        <v>-6.2073013396002357E-14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198.95219623447554</v>
      </c>
      <c r="BJ150" s="62">
        <f t="shared" si="146"/>
        <v>299.68918988634471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0.65834910701162208</v>
      </c>
      <c r="BQ150" s="23">
        <f>EXP(-LN(2)/25)*BQ149+(1-EXP(-LN(2)/25))/(LN(2)/25)*Calculateur!BL150*Calculateur!BN150*VLOOKUP('Données projet'!$B$11,Paramètres!$A$1:$I$89,3,0)*0.475*44/12</f>
        <v>0.25432429506780674</v>
      </c>
      <c r="BR150" s="23">
        <f>EXP(-LN(2)/2)*BR149+(1-EXP(-LN(2)/2))/(LN(2)/2)*BL150*BO150*VLOOKUP('Données projet'!$B$11,Paramètres!$A$1:$I$89,3,0)*0.475*44/12</f>
        <v>4.3344253441065864E-17</v>
      </c>
      <c r="BS150" s="24">
        <f t="shared" si="117"/>
        <v>0.91267340207942882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2">
        <f t="shared" si="140"/>
        <v>34.366177918726152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70">
        <f t="shared" si="110"/>
        <v>545.72721320844835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1.7053025658242404E-13</v>
      </c>
      <c r="O151" s="14">
        <f>N151*VLOOKUP('Données projet'!$B$9,Paramètres!$A$1:$I$89,3,0)*VLOOKUP('Données projet'!$B$9,Paramètres!$A$1:$I$89,5,0)</f>
        <v>1.4897523215040567E-13</v>
      </c>
      <c r="P151" s="14">
        <f t="shared" si="141"/>
        <v>2.136562777003313E-12</v>
      </c>
      <c r="Q151" s="22">
        <f t="shared" si="108"/>
        <v>3.9806453659427267E-12</v>
      </c>
      <c r="R151" s="62">
        <f t="shared" si="109"/>
        <v>293.33333333333729</v>
      </c>
      <c r="S151" s="62">
        <f ca="1">AVERAGE(OFFSET($R$3,0,0,'Données projet'!$E$9+1,1))-AVERAGE(OFFSET($H$3,0,0,'Données projet'!$E$9+1,1))</f>
        <v>149.01553333688895</v>
      </c>
      <c r="T151" s="62">
        <f t="shared" si="142"/>
        <v>180.75293059562205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3.3831535913250071E-17</v>
      </c>
      <c r="AC151" s="24">
        <f t="shared" si="111"/>
        <v>3.3831535913250071E-17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-3.4106051316484809E-13</v>
      </c>
      <c r="AJ151" s="14">
        <f>AI151*VLOOKUP('Données projet'!$B$10,Paramètres!$A$1:$I$89,3,0)*VLOOKUP('Données projet'!$B$10,Paramètres!$A$1:$I$89,5,0)</f>
        <v>-2.5006556825246659E-13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296.15681058372093</v>
      </c>
      <c r="AO151" s="62">
        <f t="shared" si="144"/>
        <v>304.69148609083879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0.20697210795170842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0.20697210795170842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-1.1368683772161603E-13</v>
      </c>
      <c r="BE151" s="14">
        <f>BD151*VLOOKUP('Données projet'!$B$11,Paramètres!$A$1:$I$89,3,0)*VLOOKUP('Données projet'!$B$11,Paramètres!$A$1:$I$89,5,0)</f>
        <v>-6.2073013396002357E-14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198.95219623447554</v>
      </c>
      <c r="BJ151" s="62">
        <f t="shared" si="146"/>
        <v>299.68918988634471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0.64543928257642935</v>
      </c>
      <c r="BQ151" s="23">
        <f>EXP(-LN(2)/25)*BQ150+(1-EXP(-LN(2)/25))/(LN(2)/25)*Calculateur!BL151*Calculateur!BN151*VLOOKUP('Données projet'!$B$11,Paramètres!$A$1:$I$89,3,0)*0.475*44/12</f>
        <v>0.24736978384484415</v>
      </c>
      <c r="BR151" s="23">
        <f>EXP(-LN(2)/2)*BR150+(1-EXP(-LN(2)/2))/(LN(2)/2)*BL151*BO151*VLOOKUP('Données projet'!$B$11,Paramètres!$A$1:$I$89,3,0)*0.475*44/12</f>
        <v>3.0649015533646019E-17</v>
      </c>
      <c r="BS151" s="24">
        <f t="shared" si="117"/>
        <v>0.89280906642127356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2">
        <f t="shared" si="140"/>
        <v>34.571272807379401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70">
        <f t="shared" si="110"/>
        <v>547.63311013951943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1.7053025658242404E-13</v>
      </c>
      <c r="O152" s="14">
        <f>N152*VLOOKUP('Données projet'!$B$9,Paramètres!$A$1:$I$89,3,0)*VLOOKUP('Données projet'!$B$9,Paramètres!$A$1:$I$89,5,0)</f>
        <v>1.4897523215040567E-13</v>
      </c>
      <c r="P152" s="14">
        <f t="shared" si="141"/>
        <v>2.136562777003313E-12</v>
      </c>
      <c r="Q152" s="22">
        <f t="shared" si="108"/>
        <v>3.9806453659427267E-12</v>
      </c>
      <c r="R152" s="62">
        <f t="shared" si="109"/>
        <v>293.33333333333729</v>
      </c>
      <c r="S152" s="62">
        <f ca="1">AVERAGE(OFFSET($R$3,0,0,'Données projet'!$E$9+1,1))-AVERAGE(OFFSET($H$3,0,0,'Données projet'!$E$9+1,1))</f>
        <v>149.01553333688895</v>
      </c>
      <c r="T152" s="62">
        <f t="shared" si="142"/>
        <v>180.75293059562205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2.3922508462215342E-17</v>
      </c>
      <c r="AC152" s="24">
        <f t="shared" si="111"/>
        <v>2.3922508462215342E-17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-3.4106051316484809E-13</v>
      </c>
      <c r="AJ152" s="14">
        <f>AI152*VLOOKUP('Données projet'!$B$10,Paramètres!$A$1:$I$89,3,0)*VLOOKUP('Données projet'!$B$10,Paramètres!$A$1:$I$89,5,0)</f>
        <v>-2.5006556825246659E-13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296.15681058372093</v>
      </c>
      <c r="AO152" s="62">
        <f t="shared" si="144"/>
        <v>304.69148609083879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0.20131244477557883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0.20131244477557883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-1.1368683772161603E-13</v>
      </c>
      <c r="BE152" s="14">
        <f>BD152*VLOOKUP('Données projet'!$B$11,Paramètres!$A$1:$I$89,3,0)*VLOOKUP('Données projet'!$B$11,Paramètres!$A$1:$I$89,5,0)</f>
        <v>-6.2073013396002357E-14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198.95219623447554</v>
      </c>
      <c r="BJ152" s="62">
        <f t="shared" si="146"/>
        <v>299.68918988634471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0.63278261192419538</v>
      </c>
      <c r="BQ152" s="23">
        <f>EXP(-LN(2)/25)*BQ151+(1-EXP(-LN(2)/25))/(LN(2)/25)*Calculateur!BL152*Calculateur!BN152*VLOOKUP('Données projet'!$B$11,Paramètres!$A$1:$I$89,3,0)*0.475*44/12</f>
        <v>0.24060544409699533</v>
      </c>
      <c r="BR152" s="23">
        <f>EXP(-LN(2)/2)*BR151+(1-EXP(-LN(2)/2))/(LN(2)/2)*BL152*BO152*VLOOKUP('Données projet'!$B$11,Paramètres!$A$1:$I$89,3,0)*0.475*44/12</f>
        <v>2.1672126720532932E-17</v>
      </c>
      <c r="BS152" s="24">
        <f t="shared" si="117"/>
        <v>0.87338805602119074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2">
        <f t="shared" si="140"/>
        <v>34.776207535549027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70">
        <f t="shared" si="110"/>
        <v>549.53872812441477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1.7053025658242404E-13</v>
      </c>
      <c r="O153" s="14">
        <f>N153*VLOOKUP('Données projet'!$B$9,Paramètres!$A$1:$I$89,3,0)*VLOOKUP('Données projet'!$B$9,Paramètres!$A$1:$I$89,5,0)</f>
        <v>1.4897523215040567E-13</v>
      </c>
      <c r="P153" s="14">
        <f t="shared" si="141"/>
        <v>2.136562777003313E-12</v>
      </c>
      <c r="Q153" s="22">
        <f t="shared" si="108"/>
        <v>3.9806453659427267E-12</v>
      </c>
      <c r="R153" s="62">
        <f t="shared" si="109"/>
        <v>293.33333333333729</v>
      </c>
      <c r="S153" s="62">
        <f ca="1">AVERAGE(OFFSET($R$3,0,0,'Données projet'!$E$9+1,1))-AVERAGE(OFFSET($H$3,0,0,'Données projet'!$E$9+1,1))</f>
        <v>149.01553333688895</v>
      </c>
      <c r="T153" s="62">
        <f t="shared" si="142"/>
        <v>180.75293059562205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1.6915767956625035E-17</v>
      </c>
      <c r="AC153" s="24">
        <f t="shared" si="111"/>
        <v>1.6915767956625035E-17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-3.4106051316484809E-13</v>
      </c>
      <c r="AJ153" s="14">
        <f>AI153*VLOOKUP('Données projet'!$B$10,Paramètres!$A$1:$I$89,3,0)*VLOOKUP('Données projet'!$B$10,Paramètres!$A$1:$I$89,5,0)</f>
        <v>-2.5006556825246659E-13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296.15681058372093</v>
      </c>
      <c r="AO153" s="62">
        <f t="shared" si="144"/>
        <v>304.69148609083879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0.19580754538662926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0.19580754538662926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-1.1368683772161603E-13</v>
      </c>
      <c r="BE153" s="14">
        <f>BD153*VLOOKUP('Données projet'!$B$11,Paramètres!$A$1:$I$89,3,0)*VLOOKUP('Données projet'!$B$11,Paramètres!$A$1:$I$89,5,0)</f>
        <v>-6.2073013396002357E-14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198.95219623447554</v>
      </c>
      <c r="BJ153" s="62">
        <f t="shared" si="146"/>
        <v>299.68918988634471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0.6203741308636449</v>
      </c>
      <c r="BQ153" s="23">
        <f>EXP(-LN(2)/25)*BQ152+(1-EXP(-LN(2)/25))/(LN(2)/25)*Calculateur!BL153*Calculateur!BN153*VLOOKUP('Données projet'!$B$11,Paramètres!$A$1:$I$89,3,0)*0.475*44/12</f>
        <v>0.23402607557527261</v>
      </c>
      <c r="BR153" s="23">
        <f>EXP(-LN(2)/2)*BR152+(1-EXP(-LN(2)/2))/(LN(2)/2)*BL153*BO153*VLOOKUP('Données projet'!$B$11,Paramètres!$A$1:$I$89,3,0)*0.475*44/12</f>
        <v>1.532450776682301E-17</v>
      </c>
      <c r="BS153" s="24">
        <f t="shared" si="117"/>
        <v>0.85440020643891756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2">
        <f t="shared" si="140"/>
        <v>34.980983294811438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70">
        <f t="shared" si="110"/>
        <v>551.4440692384635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1.7053025658242404E-13</v>
      </c>
      <c r="O154" s="14">
        <f>N154*VLOOKUP('Données projet'!$B$9,Paramètres!$A$1:$I$89,3,0)*VLOOKUP('Données projet'!$B$9,Paramètres!$A$1:$I$89,5,0)</f>
        <v>1.4897523215040567E-13</v>
      </c>
      <c r="P154" s="14">
        <f t="shared" si="141"/>
        <v>2.136562777003313E-12</v>
      </c>
      <c r="Q154" s="22">
        <f t="shared" ref="Q154:Q203" si="162">(O154+P154)*0.475*44/12</f>
        <v>3.9806453659427267E-12</v>
      </c>
      <c r="R154" s="62">
        <f t="shared" si="109"/>
        <v>293.33333333333729</v>
      </c>
      <c r="S154" s="62">
        <f ca="1">AVERAGE(OFFSET($R$3,0,0,'Données projet'!$E$9+1,1))-AVERAGE(OFFSET($H$3,0,0,'Données projet'!$E$9+1,1))</f>
        <v>149.01553333688895</v>
      </c>
      <c r="T154" s="62">
        <f t="shared" si="142"/>
        <v>180.75293059562205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1.1961254231107671E-17</v>
      </c>
      <c r="AC154" s="24">
        <f t="shared" ref="AC154:AC203" si="163">SUM(Z154:AB154)</f>
        <v>1.1961254231107671E-17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-3.4106051316484809E-13</v>
      </c>
      <c r="AJ154" s="14">
        <f>AI154*VLOOKUP('Données projet'!$B$10,Paramètres!$A$1:$I$89,3,0)*VLOOKUP('Données projet'!$B$10,Paramètres!$A$1:$I$89,5,0)</f>
        <v>-2.5006556825246659E-13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296.15681058372093</v>
      </c>
      <c r="AO154" s="62">
        <f t="shared" si="144"/>
        <v>304.69148609083879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0.1904531777609606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0.1904531777609606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-1.1368683772161603E-13</v>
      </c>
      <c r="BE154" s="14">
        <f>BD154*VLOOKUP('Données projet'!$B$11,Paramètres!$A$1:$I$89,3,0)*VLOOKUP('Données projet'!$B$11,Paramètres!$A$1:$I$89,5,0)</f>
        <v>-6.2073013396002357E-14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198.95219623447554</v>
      </c>
      <c r="BJ154" s="62">
        <f t="shared" si="146"/>
        <v>299.68918988634471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0.60820897254826567</v>
      </c>
      <c r="BQ154" s="23">
        <f>EXP(-LN(2)/25)*BQ153+(1-EXP(-LN(2)/25))/(LN(2)/25)*Calculateur!BL154*Calculateur!BN154*VLOOKUP('Données projet'!$B$11,Paramètres!$A$1:$I$89,3,0)*0.475*44/12</f>
        <v>0.22762662023177033</v>
      </c>
      <c r="BR154" s="23">
        <f>EXP(-LN(2)/2)*BR153+(1-EXP(-LN(2)/2))/(LN(2)/2)*BL154*BO154*VLOOKUP('Données projet'!$B$11,Paramètres!$A$1:$I$89,3,0)*0.475*44/12</f>
        <v>1.0836063360266466E-17</v>
      </c>
      <c r="BS154" s="24">
        <f t="shared" ref="BS154:BS203" si="169">SUM(BP154:BR154)</f>
        <v>0.83583559278003605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2">
        <f t="shared" si="140"/>
        <v>35.185601260048031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70">
        <f t="shared" si="110"/>
        <v>553.34913552791727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1.7053025658242404E-13</v>
      </c>
      <c r="O155" s="14">
        <f>N155*VLOOKUP('Données projet'!$B$9,Paramètres!$A$1:$I$89,3,0)*VLOOKUP('Données projet'!$B$9,Paramètres!$A$1:$I$89,5,0)</f>
        <v>1.4897523215040567E-13</v>
      </c>
      <c r="P155" s="14">
        <f t="shared" si="141"/>
        <v>2.136562777003313E-12</v>
      </c>
      <c r="Q155" s="22">
        <f t="shared" si="162"/>
        <v>3.9806453659427267E-12</v>
      </c>
      <c r="R155" s="62">
        <f t="shared" si="109"/>
        <v>293.33333333333729</v>
      </c>
      <c r="S155" s="62">
        <f ca="1">AVERAGE(OFFSET($R$3,0,0,'Données projet'!$E$9+1,1))-AVERAGE(OFFSET($H$3,0,0,'Données projet'!$E$9+1,1))</f>
        <v>149.01553333688895</v>
      </c>
      <c r="T155" s="62">
        <f t="shared" si="142"/>
        <v>180.75293059562205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8.4578839783125177E-18</v>
      </c>
      <c r="AC155" s="24">
        <f t="shared" si="163"/>
        <v>8.4578839783125177E-18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-3.4106051316484809E-13</v>
      </c>
      <c r="AJ155" s="14">
        <f>AI155*VLOOKUP('Données projet'!$B$10,Paramètres!$A$1:$I$89,3,0)*VLOOKUP('Données projet'!$B$10,Paramètres!$A$1:$I$89,5,0)</f>
        <v>-2.5006556825246659E-13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296.15681058372093</v>
      </c>
      <c r="AO155" s="62">
        <f t="shared" si="144"/>
        <v>304.69148609083879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0.18524522559958981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0.18524522559958981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-1.1368683772161603E-13</v>
      </c>
      <c r="BE155" s="14">
        <f>BD155*VLOOKUP('Données projet'!$B$11,Paramètres!$A$1:$I$89,3,0)*VLOOKUP('Données projet'!$B$11,Paramètres!$A$1:$I$89,5,0)</f>
        <v>-6.2073013396002357E-14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198.95219623447554</v>
      </c>
      <c r="BJ155" s="62">
        <f t="shared" si="146"/>
        <v>299.68918988634471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0.59628236556743708</v>
      </c>
      <c r="BQ155" s="23">
        <f>EXP(-LN(2)/25)*BQ154+(1-EXP(-LN(2)/25))/(LN(2)/25)*Calculateur!BL155*Calculateur!BN155*VLOOKUP('Données projet'!$B$11,Paramètres!$A$1:$I$89,3,0)*0.475*44/12</f>
        <v>0.22140215833116886</v>
      </c>
      <c r="BR155" s="23">
        <f>EXP(-LN(2)/2)*BR154+(1-EXP(-LN(2)/2))/(LN(2)/2)*BL155*BO155*VLOOKUP('Données projet'!$B$11,Paramètres!$A$1:$I$89,3,0)*0.475*44/12</f>
        <v>7.6622538834115048E-18</v>
      </c>
      <c r="BS155" s="24">
        <f t="shared" si="169"/>
        <v>0.81768452389860591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2">
        <f t="shared" si="140"/>
        <v>35.390062589787611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70">
        <f t="shared" si="110"/>
        <v>555.25392901054693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1.7053025658242404E-13</v>
      </c>
      <c r="O156" s="14">
        <f>N156*VLOOKUP('Données projet'!$B$9,Paramètres!$A$1:$I$89,3,0)*VLOOKUP('Données projet'!$B$9,Paramètres!$A$1:$I$89,5,0)</f>
        <v>1.4897523215040567E-13</v>
      </c>
      <c r="P156" s="14">
        <f t="shared" si="141"/>
        <v>2.136562777003313E-12</v>
      </c>
      <c r="Q156" s="22">
        <f t="shared" si="162"/>
        <v>3.9806453659427267E-12</v>
      </c>
      <c r="R156" s="62">
        <f t="shared" si="109"/>
        <v>293.33333333333729</v>
      </c>
      <c r="S156" s="62">
        <f ca="1">AVERAGE(OFFSET($R$3,0,0,'Données projet'!$E$9+1,1))-AVERAGE(OFFSET($H$3,0,0,'Données projet'!$E$9+1,1))</f>
        <v>149.01553333688895</v>
      </c>
      <c r="T156" s="62">
        <f t="shared" si="142"/>
        <v>180.75293059562205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5.9806271155538356E-18</v>
      </c>
      <c r="AC156" s="24">
        <f t="shared" si="163"/>
        <v>5.9806271155538356E-18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-3.4106051316484809E-13</v>
      </c>
      <c r="AJ156" s="14">
        <f>AI156*VLOOKUP('Données projet'!$B$10,Paramètres!$A$1:$I$89,3,0)*VLOOKUP('Données projet'!$B$10,Paramètres!$A$1:$I$89,5,0)</f>
        <v>-2.5006556825246659E-13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296.15681058372093</v>
      </c>
      <c r="AO156" s="62">
        <f t="shared" si="144"/>
        <v>304.69148609083879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0.180179685163946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0.180179685163946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-1.1368683772161603E-13</v>
      </c>
      <c r="BE156" s="14">
        <f>BD156*VLOOKUP('Données projet'!$B$11,Paramètres!$A$1:$I$89,3,0)*VLOOKUP('Données projet'!$B$11,Paramètres!$A$1:$I$89,5,0)</f>
        <v>-6.2073013396002357E-14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198.95219623447554</v>
      </c>
      <c r="BJ156" s="62">
        <f t="shared" si="146"/>
        <v>299.68918988634471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0.5845896320749906</v>
      </c>
      <c r="BQ156" s="23">
        <f>EXP(-LN(2)/25)*BQ155+(1-EXP(-LN(2)/25))/(LN(2)/25)*Calculateur!BL156*Calculateur!BN156*VLOOKUP('Données projet'!$B$11,Paramètres!$A$1:$I$89,3,0)*0.475*44/12</f>
        <v>0.21534790466856957</v>
      </c>
      <c r="BR156" s="23">
        <f>EXP(-LN(2)/2)*BR155+(1-EXP(-LN(2)/2))/(LN(2)/2)*BL156*BO156*VLOOKUP('Données projet'!$B$11,Paramètres!$A$1:$I$89,3,0)*0.475*44/12</f>
        <v>5.418031680133233E-18</v>
      </c>
      <c r="BS156" s="24">
        <f t="shared" si="169"/>
        <v>0.79993753674356016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2">
        <f t="shared" si="140"/>
        <v>35.594368426539035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70">
        <f t="shared" si="110"/>
        <v>557.1584516762224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1.7053025658242404E-13</v>
      </c>
      <c r="O157" s="14">
        <f>N157*VLOOKUP('Données projet'!$B$9,Paramètres!$A$1:$I$89,3,0)*VLOOKUP('Données projet'!$B$9,Paramètres!$A$1:$I$89,5,0)</f>
        <v>1.4897523215040567E-13</v>
      </c>
      <c r="P157" s="14">
        <f t="shared" si="141"/>
        <v>2.136562777003313E-12</v>
      </c>
      <c r="Q157" s="22">
        <f t="shared" si="162"/>
        <v>3.9806453659427267E-12</v>
      </c>
      <c r="R157" s="62">
        <f t="shared" si="109"/>
        <v>293.33333333333729</v>
      </c>
      <c r="S157" s="62">
        <f ca="1">AVERAGE(OFFSET($R$3,0,0,'Données projet'!$E$9+1,1))-AVERAGE(OFFSET($H$3,0,0,'Données projet'!$E$9+1,1))</f>
        <v>149.01553333688895</v>
      </c>
      <c r="T157" s="62">
        <f t="shared" si="142"/>
        <v>180.75293059562205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4.2289419891562589E-18</v>
      </c>
      <c r="AC157" s="24">
        <f t="shared" si="163"/>
        <v>4.2289419891562589E-18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-3.4106051316484809E-13</v>
      </c>
      <c r="AJ157" s="14">
        <f>AI157*VLOOKUP('Données projet'!$B$10,Paramètres!$A$1:$I$89,3,0)*VLOOKUP('Données projet'!$B$10,Paramètres!$A$1:$I$89,5,0)</f>
        <v>-2.5006556825246659E-13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296.15681058372093</v>
      </c>
      <c r="AO157" s="62">
        <f t="shared" si="144"/>
        <v>304.69148609083879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0.17525266219790006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0.17525266219790006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-1.1368683772161603E-13</v>
      </c>
      <c r="BE157" s="14">
        <f>BD157*VLOOKUP('Données projet'!$B$11,Paramètres!$A$1:$I$89,3,0)*VLOOKUP('Données projet'!$B$11,Paramètres!$A$1:$I$89,5,0)</f>
        <v>-6.2073013396002357E-14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198.95219623447554</v>
      </c>
      <c r="BJ157" s="62">
        <f t="shared" si="146"/>
        <v>299.68918988634471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0.57312618595446774</v>
      </c>
      <c r="BQ157" s="23">
        <f>EXP(-LN(2)/25)*BQ156+(1-EXP(-LN(2)/25))/(LN(2)/25)*Calculateur!BL157*Calculateur!BN157*VLOOKUP('Données projet'!$B$11,Paramètres!$A$1:$I$89,3,0)*0.475*44/12</f>
        <v>0.2094592048907534</v>
      </c>
      <c r="BR157" s="23">
        <f>EXP(-LN(2)/2)*BR156+(1-EXP(-LN(2)/2))/(LN(2)/2)*BL157*BO157*VLOOKUP('Données projet'!$B$11,Paramètres!$A$1:$I$89,3,0)*0.475*44/12</f>
        <v>3.8311269417057524E-18</v>
      </c>
      <c r="BS157" s="24">
        <f t="shared" si="169"/>
        <v>0.78258539084522116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2">
        <f t="shared" si="140"/>
        <v>35.798519897115533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70">
        <f t="shared" si="110"/>
        <v>559.06270548747648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1.7053025658242404E-13</v>
      </c>
      <c r="O158" s="14">
        <f>N158*VLOOKUP('Données projet'!$B$9,Paramètres!$A$1:$I$89,3,0)*VLOOKUP('Données projet'!$B$9,Paramètres!$A$1:$I$89,5,0)</f>
        <v>1.4897523215040567E-13</v>
      </c>
      <c r="P158" s="14">
        <f t="shared" si="141"/>
        <v>2.136562777003313E-12</v>
      </c>
      <c r="Q158" s="22">
        <f t="shared" si="162"/>
        <v>3.9806453659427267E-12</v>
      </c>
      <c r="R158" s="62">
        <f t="shared" si="109"/>
        <v>293.33333333333729</v>
      </c>
      <c r="S158" s="62">
        <f ca="1">AVERAGE(OFFSET($R$3,0,0,'Données projet'!$E$9+1,1))-AVERAGE(OFFSET($H$3,0,0,'Données projet'!$E$9+1,1))</f>
        <v>149.01553333688895</v>
      </c>
      <c r="T158" s="62">
        <f t="shared" si="142"/>
        <v>180.75293059562205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2.9903135577769178E-18</v>
      </c>
      <c r="AC158" s="24">
        <f t="shared" si="163"/>
        <v>2.9903135577769178E-18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-3.4106051316484809E-13</v>
      </c>
      <c r="AJ158" s="14">
        <f>AI158*VLOOKUP('Données projet'!$B$10,Paramètres!$A$1:$I$89,3,0)*VLOOKUP('Données projet'!$B$10,Paramètres!$A$1:$I$89,5,0)</f>
        <v>-2.5006556825246659E-13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296.15681058372093</v>
      </c>
      <c r="AO158" s="62">
        <f t="shared" si="144"/>
        <v>304.69148609083879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0.17046036893396152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0.17046036893396152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-1.1368683772161603E-13</v>
      </c>
      <c r="BE158" s="14">
        <f>BD158*VLOOKUP('Données projet'!$B$11,Paramètres!$A$1:$I$89,3,0)*VLOOKUP('Données projet'!$B$11,Paramètres!$A$1:$I$89,5,0)</f>
        <v>-6.2073013396002357E-14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198.95219623447554</v>
      </c>
      <c r="BJ158" s="62">
        <f t="shared" si="146"/>
        <v>299.68918988634471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0.5618875310203566</v>
      </c>
      <c r="BQ158" s="23">
        <f>EXP(-LN(2)/25)*BQ157+(1-EXP(-LN(2)/25))/(LN(2)/25)*Calculateur!BL158*Calculateur!BN158*VLOOKUP('Données projet'!$B$11,Paramètres!$A$1:$I$89,3,0)*0.475*44/12</f>
        <v>0.20373153191803489</v>
      </c>
      <c r="BR158" s="23">
        <f>EXP(-LN(2)/2)*BR157+(1-EXP(-LN(2)/2))/(LN(2)/2)*BL158*BO158*VLOOKUP('Données projet'!$B$11,Paramètres!$A$1:$I$89,3,0)*0.475*44/12</f>
        <v>2.7090158400666165E-18</v>
      </c>
      <c r="BS158" s="24">
        <f t="shared" si="169"/>
        <v>0.76561906293839144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2">
        <f t="shared" si="140"/>
        <v>36.002518112950014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70">
        <f t="shared" si="110"/>
        <v>560.96669238005484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1.7053025658242404E-13</v>
      </c>
      <c r="O159" s="14">
        <f>N159*VLOOKUP('Données projet'!$B$9,Paramètres!$A$1:$I$89,3,0)*VLOOKUP('Données projet'!$B$9,Paramètres!$A$1:$I$89,5,0)</f>
        <v>1.4897523215040567E-13</v>
      </c>
      <c r="P159" s="14">
        <f t="shared" si="141"/>
        <v>2.136562777003313E-12</v>
      </c>
      <c r="Q159" s="22">
        <f t="shared" si="162"/>
        <v>3.9806453659427267E-12</v>
      </c>
      <c r="R159" s="62">
        <f t="shared" si="109"/>
        <v>293.33333333333729</v>
      </c>
      <c r="S159" s="62">
        <f ca="1">AVERAGE(OFFSET($R$3,0,0,'Données projet'!$E$9+1,1))-AVERAGE(OFFSET($H$3,0,0,'Données projet'!$E$9+1,1))</f>
        <v>149.01553333688895</v>
      </c>
      <c r="T159" s="62">
        <f t="shared" si="142"/>
        <v>180.75293059562205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2.1144709945781294E-18</v>
      </c>
      <c r="AC159" s="24">
        <f t="shared" si="163"/>
        <v>2.1144709945781294E-18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-3.4106051316484809E-13</v>
      </c>
      <c r="AJ159" s="14">
        <f>AI159*VLOOKUP('Données projet'!$B$10,Paramètres!$A$1:$I$89,3,0)*VLOOKUP('Données projet'!$B$10,Paramètres!$A$1:$I$89,5,0)</f>
        <v>-2.5006556825246659E-13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296.15681058372093</v>
      </c>
      <c r="AO159" s="62">
        <f t="shared" si="144"/>
        <v>304.69148609083879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0.16579912118134113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0.16579912118134113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-1.1368683772161603E-13</v>
      </c>
      <c r="BE159" s="14">
        <f>BD159*VLOOKUP('Données projet'!$B$11,Paramètres!$A$1:$I$89,3,0)*VLOOKUP('Données projet'!$B$11,Paramètres!$A$1:$I$89,5,0)</f>
        <v>-6.2073013396002357E-14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198.95219623447554</v>
      </c>
      <c r="BJ159" s="62">
        <f t="shared" si="146"/>
        <v>299.68918988634471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0.55086925925460073</v>
      </c>
      <c r="BQ159" s="23">
        <f>EXP(-LN(2)/25)*BQ158+(1-EXP(-LN(2)/25))/(LN(2)/25)*Calculateur!BL159*Calculateur!BN159*VLOOKUP('Données projet'!$B$11,Paramètres!$A$1:$I$89,3,0)*0.475*44/12</f>
        <v>0.19816048246396059</v>
      </c>
      <c r="BR159" s="23">
        <f>EXP(-LN(2)/2)*BR158+(1-EXP(-LN(2)/2))/(LN(2)/2)*BL159*BO159*VLOOKUP('Données projet'!$B$11,Paramètres!$A$1:$I$89,3,0)*0.475*44/12</f>
        <v>1.9155634708528762E-18</v>
      </c>
      <c r="BS159" s="24">
        <f t="shared" si="169"/>
        <v>0.74902974171856129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2">
        <f t="shared" si="140"/>
        <v>36.206364170402217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70">
        <f t="shared" si="110"/>
        <v>562.8704142634507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1.7053025658242404E-13</v>
      </c>
      <c r="O160" s="14">
        <f>N160*VLOOKUP('Données projet'!$B$9,Paramètres!$A$1:$I$89,3,0)*VLOOKUP('Données projet'!$B$9,Paramètres!$A$1:$I$89,5,0)</f>
        <v>1.4897523215040567E-13</v>
      </c>
      <c r="P160" s="14">
        <f t="shared" si="141"/>
        <v>2.136562777003313E-12</v>
      </c>
      <c r="Q160" s="22">
        <f t="shared" si="162"/>
        <v>3.9806453659427267E-12</v>
      </c>
      <c r="R160" s="62">
        <f t="shared" si="109"/>
        <v>293.33333333333729</v>
      </c>
      <c r="S160" s="62">
        <f ca="1">AVERAGE(OFFSET($R$3,0,0,'Données projet'!$E$9+1,1))-AVERAGE(OFFSET($H$3,0,0,'Données projet'!$E$9+1,1))</f>
        <v>149.01553333688895</v>
      </c>
      <c r="T160" s="62">
        <f t="shared" si="142"/>
        <v>180.75293059562205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1.4951567788884589E-18</v>
      </c>
      <c r="AC160" s="24">
        <f t="shared" si="163"/>
        <v>1.4951567788884589E-18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-3.4106051316484809E-13</v>
      </c>
      <c r="AJ160" s="14">
        <f>AI160*VLOOKUP('Données projet'!$B$10,Paramètres!$A$1:$I$89,3,0)*VLOOKUP('Données projet'!$B$10,Paramètres!$A$1:$I$89,5,0)</f>
        <v>-2.5006556825246659E-13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296.15681058372093</v>
      </c>
      <c r="AO160" s="62">
        <f t="shared" si="144"/>
        <v>304.69148609083879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0.16126533549364053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0.16126533549364053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-1.1368683772161603E-13</v>
      </c>
      <c r="BE160" s="14">
        <f>BD160*VLOOKUP('Données projet'!$B$11,Paramètres!$A$1:$I$89,3,0)*VLOOKUP('Données projet'!$B$11,Paramètres!$A$1:$I$89,5,0)</f>
        <v>-6.2073013396002357E-14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198.95219623447554</v>
      </c>
      <c r="BJ160" s="62">
        <f t="shared" si="146"/>
        <v>299.68918988634471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0.54006704907768921</v>
      </c>
      <c r="BQ160" s="23">
        <f>EXP(-LN(2)/25)*BQ159+(1-EXP(-LN(2)/25))/(LN(2)/25)*Calculateur!BL160*Calculateur!BN160*VLOOKUP('Données projet'!$B$11,Paramètres!$A$1:$I$89,3,0)*0.475*44/12</f>
        <v>0.19274177365017672</v>
      </c>
      <c r="BR160" s="23">
        <f>EXP(-LN(2)/2)*BR159+(1-EXP(-LN(2)/2))/(LN(2)/2)*BL160*BO160*VLOOKUP('Données projet'!$B$11,Paramètres!$A$1:$I$89,3,0)*0.475*44/12</f>
        <v>1.3545079200333083E-18</v>
      </c>
      <c r="BS160" s="24">
        <f t="shared" si="169"/>
        <v>0.73280882272786596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2">
        <f t="shared" si="140"/>
        <v>36.410059151057943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70">
        <f t="shared" si="110"/>
        <v>564.77387302142597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1.7053025658242404E-13</v>
      </c>
      <c r="O161" s="14">
        <f>N161*VLOOKUP('Données projet'!$B$9,Paramètres!$A$1:$I$89,3,0)*VLOOKUP('Données projet'!$B$9,Paramètres!$A$1:$I$89,5,0)</f>
        <v>1.4897523215040567E-13</v>
      </c>
      <c r="P161" s="14">
        <f t="shared" si="141"/>
        <v>2.136562777003313E-12</v>
      </c>
      <c r="Q161" s="22">
        <f t="shared" si="162"/>
        <v>3.9806453659427267E-12</v>
      </c>
      <c r="R161" s="62">
        <f t="shared" si="109"/>
        <v>293.33333333333729</v>
      </c>
      <c r="S161" s="62">
        <f ca="1">AVERAGE(OFFSET($R$3,0,0,'Données projet'!$E$9+1,1))-AVERAGE(OFFSET($H$3,0,0,'Données projet'!$E$9+1,1))</f>
        <v>149.01553333688895</v>
      </c>
      <c r="T161" s="62">
        <f t="shared" si="142"/>
        <v>180.75293059562205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1.0572354972890647E-18</v>
      </c>
      <c r="AC161" s="24">
        <f t="shared" si="163"/>
        <v>1.0572354972890647E-18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-3.4106051316484809E-13</v>
      </c>
      <c r="AJ161" s="14">
        <f>AI161*VLOOKUP('Données projet'!$B$10,Paramètres!$A$1:$I$89,3,0)*VLOOKUP('Données projet'!$B$10,Paramètres!$A$1:$I$89,5,0)</f>
        <v>-2.5006556825246659E-13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296.15681058372093</v>
      </c>
      <c r="AO161" s="62">
        <f t="shared" si="144"/>
        <v>304.69148609083879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0.1568555264139915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0.1568555264139915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-1.1368683772161603E-13</v>
      </c>
      <c r="BE161" s="14">
        <f>BD161*VLOOKUP('Données projet'!$B$11,Paramètres!$A$1:$I$89,3,0)*VLOOKUP('Données projet'!$B$11,Paramètres!$A$1:$I$89,5,0)</f>
        <v>-6.2073013396002357E-14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198.95219623447554</v>
      </c>
      <c r="BJ161" s="62">
        <f t="shared" si="146"/>
        <v>299.68918988634471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0.52947666365364932</v>
      </c>
      <c r="BQ161" s="23">
        <f>EXP(-LN(2)/25)*BQ160+(1-EXP(-LN(2)/25))/(LN(2)/25)*Calculateur!BL161*Calculateur!BN161*VLOOKUP('Données projet'!$B$11,Paramètres!$A$1:$I$89,3,0)*0.475*44/12</f>
        <v>0.18747123971386329</v>
      </c>
      <c r="BR161" s="23">
        <f>EXP(-LN(2)/2)*BR160+(1-EXP(-LN(2)/2))/(LN(2)/2)*BL161*BO161*VLOOKUP('Données projet'!$B$11,Paramètres!$A$1:$I$89,3,0)*0.475*44/12</f>
        <v>9.5778173542643811E-19</v>
      </c>
      <c r="BS161" s="24">
        <f t="shared" si="169"/>
        <v>0.71694790336751257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2">
        <f t="shared" si="140"/>
        <v>36.613604122020263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70">
        <f t="shared" si="110"/>
        <v>566.67707051251875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1.7053025658242404E-13</v>
      </c>
      <c r="O162" s="14">
        <f>N162*VLOOKUP('Données projet'!$B$9,Paramètres!$A$1:$I$89,3,0)*VLOOKUP('Données projet'!$B$9,Paramètres!$A$1:$I$89,5,0)</f>
        <v>1.4897523215040567E-13</v>
      </c>
      <c r="P162" s="14">
        <f t="shared" si="141"/>
        <v>2.136562777003313E-12</v>
      </c>
      <c r="Q162" s="22">
        <f t="shared" si="162"/>
        <v>3.9806453659427267E-12</v>
      </c>
      <c r="R162" s="62">
        <f t="shared" si="109"/>
        <v>293.33333333333729</v>
      </c>
      <c r="S162" s="62">
        <f ca="1">AVERAGE(OFFSET($R$3,0,0,'Données projet'!$E$9+1,1))-AVERAGE(OFFSET($H$3,0,0,'Données projet'!$E$9+1,1))</f>
        <v>149.01553333688895</v>
      </c>
      <c r="T162" s="62">
        <f t="shared" si="142"/>
        <v>180.75293059562205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7.4757838944422945E-19</v>
      </c>
      <c r="AC162" s="24">
        <f t="shared" si="163"/>
        <v>7.4757838944422945E-19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-3.4106051316484809E-13</v>
      </c>
      <c r="AJ162" s="14">
        <f>AI162*VLOOKUP('Données projet'!$B$10,Paramètres!$A$1:$I$89,3,0)*VLOOKUP('Données projet'!$B$10,Paramètres!$A$1:$I$89,5,0)</f>
        <v>-2.5006556825246659E-13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296.15681058372093</v>
      </c>
      <c r="AO162" s="62">
        <f t="shared" si="144"/>
        <v>304.69148609083879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0.15256630379552727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0.15256630379552727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-1.1368683772161603E-13</v>
      </c>
      <c r="BE162" s="14">
        <f>BD162*VLOOKUP('Données projet'!$B$11,Paramètres!$A$1:$I$89,3,0)*VLOOKUP('Données projet'!$B$11,Paramètres!$A$1:$I$89,5,0)</f>
        <v>-6.2073013396002357E-14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198.95219623447554</v>
      </c>
      <c r="BJ162" s="62">
        <f t="shared" si="146"/>
        <v>299.68918988634471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0.51909394922827756</v>
      </c>
      <c r="BQ162" s="23">
        <f>EXP(-LN(2)/25)*BQ161+(1-EXP(-LN(2)/25))/(LN(2)/25)*Calculateur!BL162*Calculateur!BN162*VLOOKUP('Données projet'!$B$11,Paramètres!$A$1:$I$89,3,0)*0.475*44/12</f>
        <v>0.18234482880520367</v>
      </c>
      <c r="BR162" s="23">
        <f>EXP(-LN(2)/2)*BR161+(1-EXP(-LN(2)/2))/(LN(2)/2)*BL162*BO162*VLOOKUP('Données projet'!$B$11,Paramètres!$A$1:$I$89,3,0)*0.475*44/12</f>
        <v>6.7725396001665413E-19</v>
      </c>
      <c r="BS162" s="24">
        <f t="shared" si="169"/>
        <v>0.7014387780334812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2">
        <f t="shared" si="140"/>
        <v>36.817000136193258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70">
        <f t="shared" si="110"/>
        <v>568.58000857053662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1.7053025658242404E-13</v>
      </c>
      <c r="O163" s="14">
        <f>N163*VLOOKUP('Données projet'!$B$9,Paramètres!$A$1:$I$89,3,0)*VLOOKUP('Données projet'!$B$9,Paramètres!$A$1:$I$89,5,0)</f>
        <v>1.4897523215040567E-13</v>
      </c>
      <c r="P163" s="14">
        <f t="shared" si="141"/>
        <v>2.136562777003313E-12</v>
      </c>
      <c r="Q163" s="22">
        <f t="shared" si="162"/>
        <v>3.9806453659427267E-12</v>
      </c>
      <c r="R163" s="62">
        <f t="shared" si="109"/>
        <v>293.33333333333729</v>
      </c>
      <c r="S163" s="62">
        <f ca="1">AVERAGE(OFFSET($R$3,0,0,'Données projet'!$E$9+1,1))-AVERAGE(OFFSET($H$3,0,0,'Données projet'!$E$9+1,1))</f>
        <v>149.01553333688895</v>
      </c>
      <c r="T163" s="62">
        <f t="shared" si="142"/>
        <v>180.75293059562205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5.2861774864453236E-19</v>
      </c>
      <c r="AC163" s="24">
        <f t="shared" si="163"/>
        <v>5.2861774864453236E-19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-3.4106051316484809E-13</v>
      </c>
      <c r="AJ163" s="14">
        <f>AI163*VLOOKUP('Données projet'!$B$10,Paramètres!$A$1:$I$89,3,0)*VLOOKUP('Données projet'!$B$10,Paramètres!$A$1:$I$89,5,0)</f>
        <v>-2.5006556825246659E-13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296.15681058372093</v>
      </c>
      <c r="AO163" s="62">
        <f t="shared" si="144"/>
        <v>304.69148609083879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0.14839437019512536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0.14839437019512536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-1.1368683772161603E-13</v>
      </c>
      <c r="BE163" s="14">
        <f>BD163*VLOOKUP('Données projet'!$B$11,Paramètres!$A$1:$I$89,3,0)*VLOOKUP('Données projet'!$B$11,Paramètres!$A$1:$I$89,5,0)</f>
        <v>-6.2073013396002357E-14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198.95219623447554</v>
      </c>
      <c r="BJ163" s="62">
        <f t="shared" si="146"/>
        <v>299.68918988634471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0.50891483349995681</v>
      </c>
      <c r="BQ163" s="23">
        <f>EXP(-LN(2)/25)*BQ162+(1-EXP(-LN(2)/25))/(LN(2)/25)*Calculateur!BL163*Calculateur!BN163*VLOOKUP('Données projet'!$B$11,Paramètres!$A$1:$I$89,3,0)*0.475*44/12</f>
        <v>0.17735859987242758</v>
      </c>
      <c r="BR163" s="23">
        <f>EXP(-LN(2)/2)*BR162+(1-EXP(-LN(2)/2))/(LN(2)/2)*BL163*BO163*VLOOKUP('Données projet'!$B$11,Paramètres!$A$1:$I$89,3,0)*0.475*44/12</f>
        <v>4.7889086771321905E-19</v>
      </c>
      <c r="BS163" s="24">
        <f t="shared" si="169"/>
        <v>0.68627343337238433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2">
        <f t="shared" si="140"/>
        <v>37.020248232558458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70">
        <f t="shared" si="110"/>
        <v>570.48268900503945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1.7053025658242404E-13</v>
      </c>
      <c r="O164" s="14">
        <f>N164*VLOOKUP('Données projet'!$B$9,Paramètres!$A$1:$I$89,3,0)*VLOOKUP('Données projet'!$B$9,Paramètres!$A$1:$I$89,5,0)</f>
        <v>1.4897523215040567E-13</v>
      </c>
      <c r="P164" s="14">
        <f t="shared" si="141"/>
        <v>2.136562777003313E-12</v>
      </c>
      <c r="Q164" s="22">
        <f t="shared" si="162"/>
        <v>3.9806453659427267E-12</v>
      </c>
      <c r="R164" s="62">
        <f t="shared" si="109"/>
        <v>293.33333333333729</v>
      </c>
      <c r="S164" s="62">
        <f ca="1">AVERAGE(OFFSET($R$3,0,0,'Données projet'!$E$9+1,1))-AVERAGE(OFFSET($H$3,0,0,'Données projet'!$E$9+1,1))</f>
        <v>149.01553333688895</v>
      </c>
      <c r="T164" s="62">
        <f t="shared" si="142"/>
        <v>180.75293059562205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3.7378919472211472E-19</v>
      </c>
      <c r="AC164" s="24">
        <f t="shared" si="163"/>
        <v>3.7378919472211472E-19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-3.4106051316484809E-13</v>
      </c>
      <c r="AJ164" s="14">
        <f>AI164*VLOOKUP('Données projet'!$B$10,Paramètres!$A$1:$I$89,3,0)*VLOOKUP('Données projet'!$B$10,Paramètres!$A$1:$I$89,5,0)</f>
        <v>-2.5006556825246659E-13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296.15681058372093</v>
      </c>
      <c r="AO164" s="62">
        <f t="shared" si="144"/>
        <v>304.69148609083879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0.14433651833841887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0.14433651833841887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-1.1368683772161603E-13</v>
      </c>
      <c r="BE164" s="14">
        <f>BD164*VLOOKUP('Données projet'!$B$11,Paramètres!$A$1:$I$89,3,0)*VLOOKUP('Données projet'!$B$11,Paramètres!$A$1:$I$89,5,0)</f>
        <v>-6.2073013396002357E-14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198.95219623447554</v>
      </c>
      <c r="BJ164" s="62">
        <f t="shared" si="146"/>
        <v>299.68918988634471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0.49893532402242091</v>
      </c>
      <c r="BQ164" s="23">
        <f>EXP(-LN(2)/25)*BQ163+(1-EXP(-LN(2)/25))/(LN(2)/25)*Calculateur!BL164*Calculateur!BN164*VLOOKUP('Données projet'!$B$11,Paramètres!$A$1:$I$89,3,0)*0.475*44/12</f>
        <v>0.17250871963203265</v>
      </c>
      <c r="BR164" s="23">
        <f>EXP(-LN(2)/2)*BR163+(1-EXP(-LN(2)/2))/(LN(2)/2)*BL164*BO164*VLOOKUP('Données projet'!$B$11,Paramètres!$A$1:$I$89,3,0)*0.475*44/12</f>
        <v>3.3862698000832707E-19</v>
      </c>
      <c r="BS164" s="24">
        <f t="shared" si="169"/>
        <v>0.67144404365445354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2">
        <f t="shared" si="140"/>
        <v>37.223349436444416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70">
        <f t="shared" si="110"/>
        <v>572.38511360180746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1.7053025658242404E-13</v>
      </c>
      <c r="O165" s="14">
        <f>N165*VLOOKUP('Données projet'!$B$9,Paramètres!$A$1:$I$89,3,0)*VLOOKUP('Données projet'!$B$9,Paramètres!$A$1:$I$89,5,0)</f>
        <v>1.4897523215040567E-13</v>
      </c>
      <c r="P165" s="14">
        <f t="shared" si="141"/>
        <v>2.136562777003313E-12</v>
      </c>
      <c r="Q165" s="22">
        <f t="shared" si="162"/>
        <v>3.9806453659427267E-12</v>
      </c>
      <c r="R165" s="62">
        <f t="shared" si="109"/>
        <v>293.33333333333729</v>
      </c>
      <c r="S165" s="62">
        <f ca="1">AVERAGE(OFFSET($R$3,0,0,'Données projet'!$E$9+1,1))-AVERAGE(OFFSET($H$3,0,0,'Données projet'!$E$9+1,1))</f>
        <v>149.01553333688895</v>
      </c>
      <c r="T165" s="62">
        <f t="shared" si="142"/>
        <v>180.75293059562205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2.6430887432226618E-19</v>
      </c>
      <c r="AC165" s="24">
        <f t="shared" si="163"/>
        <v>2.6430887432226618E-19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-3.4106051316484809E-13</v>
      </c>
      <c r="AJ165" s="14">
        <f>AI165*VLOOKUP('Données projet'!$B$10,Paramètres!$A$1:$I$89,3,0)*VLOOKUP('Données projet'!$B$10,Paramètres!$A$1:$I$89,5,0)</f>
        <v>-2.5006556825246659E-13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296.15681058372093</v>
      </c>
      <c r="AO165" s="62">
        <f t="shared" si="144"/>
        <v>304.69148609083879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0.14038962865412719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0.14038962865412719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-1.1368683772161603E-13</v>
      </c>
      <c r="BE165" s="14">
        <f>BD165*VLOOKUP('Données projet'!$B$11,Paramètres!$A$1:$I$89,3,0)*VLOOKUP('Données projet'!$B$11,Paramètres!$A$1:$I$89,5,0)</f>
        <v>-6.2073013396002357E-14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198.95219623447554</v>
      </c>
      <c r="BJ165" s="62">
        <f t="shared" si="146"/>
        <v>299.68918988634471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0.48915150663883972</v>
      </c>
      <c r="BQ165" s="23">
        <f>EXP(-LN(2)/25)*BQ164+(1-EXP(-LN(2)/25))/(LN(2)/25)*Calculateur!BL165*Calculateur!BN165*VLOOKUP('Données projet'!$B$11,Paramètres!$A$1:$I$89,3,0)*0.475*44/12</f>
        <v>0.16779145962185543</v>
      </c>
      <c r="BR165" s="23">
        <f>EXP(-LN(2)/2)*BR164+(1-EXP(-LN(2)/2))/(LN(2)/2)*BL165*BO165*VLOOKUP('Données projet'!$B$11,Paramètres!$A$1:$I$89,3,0)*0.475*44/12</f>
        <v>2.3944543385660953E-19</v>
      </c>
      <c r="BS165" s="24">
        <f t="shared" si="169"/>
        <v>0.65694296626069515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2">
        <f t="shared" si="140"/>
        <v>37.426304759789126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70">
        <f t="shared" si="110"/>
        <v>574.28728412329951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1.7053025658242404E-13</v>
      </c>
      <c r="O166" s="14">
        <f>N166*VLOOKUP('Données projet'!$B$9,Paramètres!$A$1:$I$89,3,0)*VLOOKUP('Données projet'!$B$9,Paramètres!$A$1:$I$89,5,0)</f>
        <v>1.4897523215040567E-13</v>
      </c>
      <c r="P166" s="14">
        <f t="shared" si="141"/>
        <v>2.136562777003313E-12</v>
      </c>
      <c r="Q166" s="22">
        <f t="shared" si="162"/>
        <v>3.9806453659427267E-12</v>
      </c>
      <c r="R166" s="62">
        <f t="shared" si="109"/>
        <v>293.33333333333729</v>
      </c>
      <c r="S166" s="62">
        <f ca="1">AVERAGE(OFFSET($R$3,0,0,'Données projet'!$E$9+1,1))-AVERAGE(OFFSET($H$3,0,0,'Données projet'!$E$9+1,1))</f>
        <v>149.01553333688895</v>
      </c>
      <c r="T166" s="62">
        <f t="shared" si="142"/>
        <v>180.75293059562205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1.8689459736105736E-19</v>
      </c>
      <c r="AC166" s="24">
        <f t="shared" si="163"/>
        <v>1.8689459736105736E-19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-3.4106051316484809E-13</v>
      </c>
      <c r="AJ166" s="14">
        <f>AI166*VLOOKUP('Données projet'!$B$10,Paramètres!$A$1:$I$89,3,0)*VLOOKUP('Données projet'!$B$10,Paramètres!$A$1:$I$89,5,0)</f>
        <v>-2.5006556825246659E-13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296.15681058372093</v>
      </c>
      <c r="AO166" s="62">
        <f t="shared" si="144"/>
        <v>304.69148609083879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0.13655066687581038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0.13655066687581038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-1.1368683772161603E-13</v>
      </c>
      <c r="BE166" s="14">
        <f>BD166*VLOOKUP('Données projet'!$B$11,Paramètres!$A$1:$I$89,3,0)*VLOOKUP('Données projet'!$B$11,Paramètres!$A$1:$I$89,5,0)</f>
        <v>-6.2073013396002357E-14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198.95219623447554</v>
      </c>
      <c r="BJ166" s="62">
        <f t="shared" si="146"/>
        <v>299.68918988634471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0.47955954394661121</v>
      </c>
      <c r="BQ166" s="23">
        <f>EXP(-LN(2)/25)*BQ165+(1-EXP(-LN(2)/25))/(LN(2)/25)*Calculateur!BL166*Calculateur!BN166*VLOOKUP('Données projet'!$B$11,Paramètres!$A$1:$I$89,3,0)*0.475*44/12</f>
        <v>0.16320319333472644</v>
      </c>
      <c r="BR166" s="23">
        <f>EXP(-LN(2)/2)*BR165+(1-EXP(-LN(2)/2))/(LN(2)/2)*BL166*BO166*VLOOKUP('Données projet'!$B$11,Paramètres!$A$1:$I$89,3,0)*0.475*44/12</f>
        <v>1.6931349000416353E-19</v>
      </c>
      <c r="BS166" s="24">
        <f t="shared" si="169"/>
        <v>0.64276273728133759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2">
        <f t="shared" si="140"/>
        <v>37.629115201395898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70">
        <f t="shared" si="110"/>
        <v>576.18920230909794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1.7053025658242404E-13</v>
      </c>
      <c r="O167" s="14">
        <f>N167*VLOOKUP('Données projet'!$B$9,Paramètres!$A$1:$I$89,3,0)*VLOOKUP('Données projet'!$B$9,Paramètres!$A$1:$I$89,5,0)</f>
        <v>1.4897523215040567E-13</v>
      </c>
      <c r="P167" s="14">
        <f t="shared" si="141"/>
        <v>2.136562777003313E-12</v>
      </c>
      <c r="Q167" s="22">
        <f t="shared" si="162"/>
        <v>3.9806453659427267E-12</v>
      </c>
      <c r="R167" s="62">
        <f t="shared" si="109"/>
        <v>293.33333333333729</v>
      </c>
      <c r="S167" s="62">
        <f ca="1">AVERAGE(OFFSET($R$3,0,0,'Données projet'!$E$9+1,1))-AVERAGE(OFFSET($H$3,0,0,'Données projet'!$E$9+1,1))</f>
        <v>149.01553333688895</v>
      </c>
      <c r="T167" s="62">
        <f t="shared" si="142"/>
        <v>180.75293059562205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1.3215443716113309E-19</v>
      </c>
      <c r="AC167" s="24">
        <f t="shared" si="163"/>
        <v>1.3215443716113309E-19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-3.4106051316484809E-13</v>
      </c>
      <c r="AJ167" s="14">
        <f>AI167*VLOOKUP('Données projet'!$B$10,Paramètres!$A$1:$I$89,3,0)*VLOOKUP('Données projet'!$B$10,Paramètres!$A$1:$I$89,5,0)</f>
        <v>-2.5006556825246659E-13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296.15681058372093</v>
      </c>
      <c r="AO167" s="62">
        <f t="shared" si="144"/>
        <v>304.69148609083879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0.13281668170920388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0.13281668170920388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-1.1368683772161603E-13</v>
      </c>
      <c r="BE167" s="14">
        <f>BD167*VLOOKUP('Données projet'!$B$11,Paramètres!$A$1:$I$89,3,0)*VLOOKUP('Données projet'!$B$11,Paramètres!$A$1:$I$89,5,0)</f>
        <v>-6.2073013396002357E-14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198.95219623447554</v>
      </c>
      <c r="BJ167" s="62">
        <f t="shared" si="146"/>
        <v>299.68918988634471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0.47015567379225776</v>
      </c>
      <c r="BQ167" s="23">
        <f>EXP(-LN(2)/25)*BQ166+(1-EXP(-LN(2)/25))/(LN(2)/25)*Calculateur!BL167*Calculateur!BN167*VLOOKUP('Données projet'!$B$11,Paramètres!$A$1:$I$89,3,0)*0.475*44/12</f>
        <v>0.15874039343050542</v>
      </c>
      <c r="BR167" s="23">
        <f>EXP(-LN(2)/2)*BR166+(1-EXP(-LN(2)/2))/(LN(2)/2)*BL167*BO167*VLOOKUP('Données projet'!$B$11,Paramètres!$A$1:$I$89,3,0)*0.475*44/12</f>
        <v>1.1972271692830476E-19</v>
      </c>
      <c r="BS167" s="24">
        <f t="shared" si="169"/>
        <v>0.62889606722276314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2">
        <f t="shared" si="140"/>
        <v>37.831781747183037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70">
        <f t="shared" si="110"/>
        <v>578.09086987634385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1.7053025658242404E-13</v>
      </c>
      <c r="O168" s="14">
        <f>N168*VLOOKUP('Données projet'!$B$9,Paramètres!$A$1:$I$89,3,0)*VLOOKUP('Données projet'!$B$9,Paramètres!$A$1:$I$89,5,0)</f>
        <v>1.4897523215040567E-13</v>
      </c>
      <c r="P168" s="14">
        <f t="shared" si="141"/>
        <v>2.136562777003313E-12</v>
      </c>
      <c r="Q168" s="22">
        <f t="shared" si="162"/>
        <v>3.9806453659427267E-12</v>
      </c>
      <c r="R168" s="62">
        <f t="shared" si="109"/>
        <v>293.33333333333729</v>
      </c>
      <c r="S168" s="62">
        <f ca="1">AVERAGE(OFFSET($R$3,0,0,'Données projet'!$E$9+1,1))-AVERAGE(OFFSET($H$3,0,0,'Données projet'!$E$9+1,1))</f>
        <v>149.01553333688895</v>
      </c>
      <c r="T168" s="62">
        <f t="shared" si="142"/>
        <v>180.75293059562205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9.3447298680528681E-20</v>
      </c>
      <c r="AC168" s="24">
        <f t="shared" si="163"/>
        <v>9.3447298680528681E-20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-3.4106051316484809E-13</v>
      </c>
      <c r="AJ168" s="14">
        <f>AI168*VLOOKUP('Données projet'!$B$10,Paramètres!$A$1:$I$89,3,0)*VLOOKUP('Données projet'!$B$10,Paramètres!$A$1:$I$89,5,0)</f>
        <v>-2.5006556825246659E-13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296.15681058372093</v>
      </c>
      <c r="AO168" s="62">
        <f t="shared" si="144"/>
        <v>304.69148609083879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0.12918480256333997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0.12918480256333997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-1.1368683772161603E-13</v>
      </c>
      <c r="BE168" s="14">
        <f>BD168*VLOOKUP('Données projet'!$B$11,Paramètres!$A$1:$I$89,3,0)*VLOOKUP('Données projet'!$B$11,Paramètres!$A$1:$I$89,5,0)</f>
        <v>-6.2073013396002357E-14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198.95219623447554</v>
      </c>
      <c r="BJ168" s="62">
        <f t="shared" si="146"/>
        <v>299.68918988634471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0.46093620779583672</v>
      </c>
      <c r="BQ168" s="23">
        <f>EXP(-LN(2)/25)*BQ167+(1-EXP(-LN(2)/25))/(LN(2)/25)*Calculateur!BL168*Calculateur!BN168*VLOOKUP('Données projet'!$B$11,Paramètres!$A$1:$I$89,3,0)*0.475*44/12</f>
        <v>0.15439962902435375</v>
      </c>
      <c r="BR168" s="23">
        <f>EXP(-LN(2)/2)*BR167+(1-EXP(-LN(2)/2))/(LN(2)/2)*BL168*BO168*VLOOKUP('Données projet'!$B$11,Paramètres!$A$1:$I$89,3,0)*0.475*44/12</f>
        <v>8.4656745002081766E-20</v>
      </c>
      <c r="BS168" s="24">
        <f t="shared" si="169"/>
        <v>0.61533583682019044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2">
        <f t="shared" si="140"/>
        <v>38.034305370426985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70">
        <f t="shared" si="110"/>
        <v>579.99228852016029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1.7053025658242404E-13</v>
      </c>
      <c r="O169" s="14">
        <f>N169*VLOOKUP('Données projet'!$B$9,Paramètres!$A$1:$I$89,3,0)*VLOOKUP('Données projet'!$B$9,Paramètres!$A$1:$I$89,5,0)</f>
        <v>1.4897523215040567E-13</v>
      </c>
      <c r="P169" s="14">
        <f t="shared" si="141"/>
        <v>2.136562777003313E-12</v>
      </c>
      <c r="Q169" s="22">
        <f t="shared" si="162"/>
        <v>3.9806453659427267E-12</v>
      </c>
      <c r="R169" s="62">
        <f t="shared" si="109"/>
        <v>293.33333333333729</v>
      </c>
      <c r="S169" s="62">
        <f ca="1">AVERAGE(OFFSET($R$3,0,0,'Données projet'!$E$9+1,1))-AVERAGE(OFFSET($H$3,0,0,'Données projet'!$E$9+1,1))</f>
        <v>149.01553333688895</v>
      </c>
      <c r="T169" s="62">
        <f t="shared" si="142"/>
        <v>180.75293059562205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6.6077218580566545E-20</v>
      </c>
      <c r="AC169" s="24">
        <f t="shared" si="163"/>
        <v>6.6077218580566545E-20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-3.4106051316484809E-13</v>
      </c>
      <c r="AJ169" s="14">
        <f>AI169*VLOOKUP('Données projet'!$B$10,Paramètres!$A$1:$I$89,3,0)*VLOOKUP('Données projet'!$B$10,Paramètres!$A$1:$I$89,5,0)</f>
        <v>-2.5006556825246659E-13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296.15681058372093</v>
      </c>
      <c r="AO169" s="62">
        <f t="shared" si="144"/>
        <v>304.69148609083879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0.12565223734371192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0.12565223734371192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-1.1368683772161603E-13</v>
      </c>
      <c r="BE169" s="14">
        <f>BD169*VLOOKUP('Données projet'!$B$11,Paramètres!$A$1:$I$89,3,0)*VLOOKUP('Données projet'!$B$11,Paramètres!$A$1:$I$89,5,0)</f>
        <v>-6.2073013396002357E-14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198.95219623447554</v>
      </c>
      <c r="BJ169" s="62">
        <f t="shared" si="146"/>
        <v>299.68918988634471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0.4518975299042865</v>
      </c>
      <c r="BQ169" s="23">
        <f>EXP(-LN(2)/25)*BQ168+(1-EXP(-LN(2)/25))/(LN(2)/25)*Calculateur!BL169*Calculateur!BN169*VLOOKUP('Données projet'!$B$11,Paramètres!$A$1:$I$89,3,0)*0.475*44/12</f>
        <v>0.15017756304915919</v>
      </c>
      <c r="BR169" s="23">
        <f>EXP(-LN(2)/2)*BR168+(1-EXP(-LN(2)/2))/(LN(2)/2)*BL169*BO169*VLOOKUP('Données projet'!$B$11,Paramètres!$A$1:$I$89,3,0)*0.475*44/12</f>
        <v>5.9861358464152382E-20</v>
      </c>
      <c r="BS169" s="24">
        <f t="shared" si="169"/>
        <v>0.60207509295344575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2">
        <f t="shared" si="140"/>
        <v>38.23668703199958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70">
        <f t="shared" si="110"/>
        <v>581.89345991406594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1.7053025658242404E-13</v>
      </c>
      <c r="O170" s="14">
        <f>N170*VLOOKUP('Données projet'!$B$9,Paramètres!$A$1:$I$89,3,0)*VLOOKUP('Données projet'!$B$9,Paramètres!$A$1:$I$89,5,0)</f>
        <v>1.4897523215040567E-13</v>
      </c>
      <c r="P170" s="14">
        <f t="shared" si="141"/>
        <v>2.136562777003313E-12</v>
      </c>
      <c r="Q170" s="22">
        <f t="shared" si="162"/>
        <v>3.9806453659427267E-12</v>
      </c>
      <c r="R170" s="62">
        <f t="shared" si="109"/>
        <v>293.33333333333729</v>
      </c>
      <c r="S170" s="62">
        <f ca="1">AVERAGE(OFFSET($R$3,0,0,'Données projet'!$E$9+1,1))-AVERAGE(OFFSET($H$3,0,0,'Données projet'!$E$9+1,1))</f>
        <v>149.01553333688895</v>
      </c>
      <c r="T170" s="62">
        <f t="shared" si="142"/>
        <v>180.75293059562205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4.672364934026434E-20</v>
      </c>
      <c r="AC170" s="24">
        <f t="shared" si="163"/>
        <v>4.672364934026434E-20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-3.4106051316484809E-13</v>
      </c>
      <c r="AJ170" s="14">
        <f>AI170*VLOOKUP('Données projet'!$B$10,Paramètres!$A$1:$I$89,3,0)*VLOOKUP('Données projet'!$B$10,Paramètres!$A$1:$I$89,5,0)</f>
        <v>-2.5006556825246659E-13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296.15681058372093</v>
      </c>
      <c r="AO170" s="62">
        <f t="shared" si="144"/>
        <v>304.69148609083879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0.12221627030578414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0.12221627030578414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-1.1368683772161603E-13</v>
      </c>
      <c r="BE170" s="14">
        <f>BD170*VLOOKUP('Données projet'!$B$11,Paramètres!$A$1:$I$89,3,0)*VLOOKUP('Données projet'!$B$11,Paramètres!$A$1:$I$89,5,0)</f>
        <v>-6.2073013396002357E-14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198.95219623447554</v>
      </c>
      <c r="BJ170" s="62">
        <f t="shared" si="146"/>
        <v>299.68918988634471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0.44303609497314045</v>
      </c>
      <c r="BQ170" s="23">
        <f>EXP(-LN(2)/25)*BQ169+(1-EXP(-LN(2)/25))/(LN(2)/25)*Calculateur!BL170*Calculateur!BN170*VLOOKUP('Données projet'!$B$11,Paramètres!$A$1:$I$89,3,0)*0.475*44/12</f>
        <v>0.14607094969008513</v>
      </c>
      <c r="BR170" s="23">
        <f>EXP(-LN(2)/2)*BR169+(1-EXP(-LN(2)/2))/(LN(2)/2)*BL170*BO170*VLOOKUP('Données projet'!$B$11,Paramètres!$A$1:$I$89,3,0)*0.475*44/12</f>
        <v>4.2328372501040883E-20</v>
      </c>
      <c r="BS170" s="24">
        <f t="shared" si="169"/>
        <v>0.58910704466322561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2">
        <f t="shared" si="140"/>
        <v>38.438927680599591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70">
        <f t="shared" si="110"/>
        <v>583.79438571037758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1.7053025658242404E-13</v>
      </c>
      <c r="O171" s="14">
        <f>N171*VLOOKUP('Données projet'!$B$9,Paramètres!$A$1:$I$89,3,0)*VLOOKUP('Données projet'!$B$9,Paramètres!$A$1:$I$89,5,0)</f>
        <v>1.4897523215040567E-13</v>
      </c>
      <c r="P171" s="14">
        <f t="shared" si="141"/>
        <v>2.136562777003313E-12</v>
      </c>
      <c r="Q171" s="22">
        <f t="shared" si="162"/>
        <v>3.9806453659427267E-12</v>
      </c>
      <c r="R171" s="62">
        <f t="shared" si="109"/>
        <v>293.33333333333729</v>
      </c>
      <c r="S171" s="62">
        <f ca="1">AVERAGE(OFFSET($R$3,0,0,'Données projet'!$E$9+1,1))-AVERAGE(OFFSET($H$3,0,0,'Données projet'!$E$9+1,1))</f>
        <v>149.01553333688895</v>
      </c>
      <c r="T171" s="62">
        <f t="shared" si="142"/>
        <v>180.75293059562205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3.3038609290283272E-20</v>
      </c>
      <c r="AC171" s="24">
        <f t="shared" si="163"/>
        <v>3.3038609290283272E-20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-3.4106051316484809E-13</v>
      </c>
      <c r="AJ171" s="14">
        <f>AI171*VLOOKUP('Données projet'!$B$10,Paramètres!$A$1:$I$89,3,0)*VLOOKUP('Données projet'!$B$10,Paramètres!$A$1:$I$89,5,0)</f>
        <v>-2.5006556825246659E-13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296.15681058372093</v>
      </c>
      <c r="AO171" s="62">
        <f t="shared" si="144"/>
        <v>304.69148609083879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0.11887425996719814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0.11887425996719814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-1.1368683772161603E-13</v>
      </c>
      <c r="BE171" s="14">
        <f>BD171*VLOOKUP('Données projet'!$B$11,Paramètres!$A$1:$I$89,3,0)*VLOOKUP('Données projet'!$B$11,Paramètres!$A$1:$I$89,5,0)</f>
        <v>-6.2073013396002357E-14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198.95219623447554</v>
      </c>
      <c r="BJ171" s="62">
        <f t="shared" si="146"/>
        <v>299.68918988634471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0.43434842737605256</v>
      </c>
      <c r="BQ171" s="23">
        <f>EXP(-LN(2)/25)*BQ170+(1-EXP(-LN(2)/25))/(LN(2)/25)*Calculateur!BL171*Calculateur!BN171*VLOOKUP('Données projet'!$B$11,Paramètres!$A$1:$I$89,3,0)*0.475*44/12</f>
        <v>0.14207663188927236</v>
      </c>
      <c r="BR171" s="23">
        <f>EXP(-LN(2)/2)*BR170+(1-EXP(-LN(2)/2))/(LN(2)/2)*BL171*BO171*VLOOKUP('Données projet'!$B$11,Paramètres!$A$1:$I$89,3,0)*0.475*44/12</f>
        <v>2.9930679232076191E-20</v>
      </c>
      <c r="BS171" s="24">
        <f t="shared" si="169"/>
        <v>0.57642505926532495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2">
        <f t="shared" si="140"/>
        <v>38.641028252978323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70">
        <f t="shared" si="110"/>
        <v>585.69506754060376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1.7053025658242404E-13</v>
      </c>
      <c r="O172" s="14">
        <f>N172*VLOOKUP('Données projet'!$B$9,Paramètres!$A$1:$I$89,3,0)*VLOOKUP('Données projet'!$B$9,Paramètres!$A$1:$I$89,5,0)</f>
        <v>1.4897523215040567E-13</v>
      </c>
      <c r="P172" s="14">
        <f t="shared" si="141"/>
        <v>2.136562777003313E-12</v>
      </c>
      <c r="Q172" s="22">
        <f t="shared" si="162"/>
        <v>3.9806453659427267E-12</v>
      </c>
      <c r="R172" s="62">
        <f t="shared" si="109"/>
        <v>293.33333333333729</v>
      </c>
      <c r="S172" s="62">
        <f ca="1">AVERAGE(OFFSET($R$3,0,0,'Données projet'!$E$9+1,1))-AVERAGE(OFFSET($H$3,0,0,'Données projet'!$E$9+1,1))</f>
        <v>149.01553333688895</v>
      </c>
      <c r="T172" s="62">
        <f t="shared" si="142"/>
        <v>180.75293059562205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2.336182467013217E-20</v>
      </c>
      <c r="AC172" s="24">
        <f t="shared" si="163"/>
        <v>2.336182467013217E-20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-3.4106051316484809E-13</v>
      </c>
      <c r="AJ172" s="14">
        <f>AI172*VLOOKUP('Données projet'!$B$10,Paramètres!$A$1:$I$89,3,0)*VLOOKUP('Données projet'!$B$10,Paramètres!$A$1:$I$89,5,0)</f>
        <v>-2.5006556825246659E-13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296.15681058372093</v>
      </c>
      <c r="AO172" s="62">
        <f t="shared" si="144"/>
        <v>304.69148609083879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0.11562363707706946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0.11562363707706946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-1.1368683772161603E-13</v>
      </c>
      <c r="BE172" s="14">
        <f>BD172*VLOOKUP('Données projet'!$B$11,Paramètres!$A$1:$I$89,3,0)*VLOOKUP('Données projet'!$B$11,Paramètres!$A$1:$I$89,5,0)</f>
        <v>-6.2073013396002357E-14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198.95219623447554</v>
      </c>
      <c r="BJ172" s="62">
        <f t="shared" si="146"/>
        <v>299.68918988634471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0.42583111964158954</v>
      </c>
      <c r="BQ172" s="23">
        <f>EXP(-LN(2)/25)*BQ171+(1-EXP(-LN(2)/25))/(LN(2)/25)*Calculateur!BL172*Calculateur!BN172*VLOOKUP('Données projet'!$B$11,Paramètres!$A$1:$I$89,3,0)*0.475*44/12</f>
        <v>0.13819153891877486</v>
      </c>
      <c r="BR172" s="23">
        <f>EXP(-LN(2)/2)*BR171+(1-EXP(-LN(2)/2))/(LN(2)/2)*BL172*BO172*VLOOKUP('Données projet'!$B$11,Paramètres!$A$1:$I$89,3,0)*0.475*44/12</f>
        <v>2.1164186250520442E-20</v>
      </c>
      <c r="BS172" s="24">
        <f t="shared" si="169"/>
        <v>0.56402265856036438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2">
        <f t="shared" si="140"/>
        <v>38.842989674159945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70">
        <f t="shared" si="110"/>
        <v>587.5955070158285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1.7053025658242404E-13</v>
      </c>
      <c r="O173" s="14">
        <f>N173*VLOOKUP('Données projet'!$B$9,Paramètres!$A$1:$I$89,3,0)*VLOOKUP('Données projet'!$B$9,Paramètres!$A$1:$I$89,5,0)</f>
        <v>1.4897523215040567E-13</v>
      </c>
      <c r="P173" s="14">
        <f t="shared" si="141"/>
        <v>2.136562777003313E-12</v>
      </c>
      <c r="Q173" s="22">
        <f t="shared" si="162"/>
        <v>3.9806453659427267E-12</v>
      </c>
      <c r="R173" s="62">
        <f t="shared" si="109"/>
        <v>293.33333333333729</v>
      </c>
      <c r="S173" s="62">
        <f ca="1">AVERAGE(OFFSET($R$3,0,0,'Données projet'!$E$9+1,1))-AVERAGE(OFFSET($H$3,0,0,'Données projet'!$E$9+1,1))</f>
        <v>149.01553333688895</v>
      </c>
      <c r="T173" s="62">
        <f t="shared" si="142"/>
        <v>180.75293059562205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1.6519304645141636E-20</v>
      </c>
      <c r="AC173" s="24">
        <f t="shared" si="163"/>
        <v>1.6519304645141636E-20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-3.4106051316484809E-13</v>
      </c>
      <c r="AJ173" s="14">
        <f>AI173*VLOOKUP('Données projet'!$B$10,Paramètres!$A$1:$I$89,3,0)*VLOOKUP('Données projet'!$B$10,Paramètres!$A$1:$I$89,5,0)</f>
        <v>-2.5006556825246659E-13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296.15681058372093</v>
      </c>
      <c r="AO173" s="62">
        <f t="shared" si="144"/>
        <v>304.69148609083879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0.11246190264081418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0.11246190264081418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-1.1368683772161603E-13</v>
      </c>
      <c r="BE173" s="14">
        <f>BD173*VLOOKUP('Données projet'!$B$11,Paramètres!$A$1:$I$89,3,0)*VLOOKUP('Données projet'!$B$11,Paramètres!$A$1:$I$89,5,0)</f>
        <v>-6.2073013396002357E-14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198.95219623447554</v>
      </c>
      <c r="BJ173" s="62">
        <f t="shared" si="146"/>
        <v>299.68918988634471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0.4174808311167546</v>
      </c>
      <c r="BQ173" s="23">
        <f>EXP(-LN(2)/25)*BQ172+(1-EXP(-LN(2)/25))/(LN(2)/25)*Calculateur!BL173*Calculateur!BN173*VLOOKUP('Données projet'!$B$11,Paramètres!$A$1:$I$89,3,0)*0.475*44/12</f>
        <v>0.13441268401986378</v>
      </c>
      <c r="BR173" s="23">
        <f>EXP(-LN(2)/2)*BR172+(1-EXP(-LN(2)/2))/(LN(2)/2)*BL173*BO173*VLOOKUP('Données projet'!$B$11,Paramètres!$A$1:$I$89,3,0)*0.475*44/12</f>
        <v>1.4965339616038095E-20</v>
      </c>
      <c r="BS173" s="24">
        <f t="shared" si="169"/>
        <v>0.55189351513661844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2">
        <f t="shared" si="140"/>
        <v>39.044812857656339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70">
        <f t="shared" si="110"/>
        <v>589.49570572708467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1.7053025658242404E-13</v>
      </c>
      <c r="O174" s="14">
        <f>N174*VLOOKUP('Données projet'!$B$9,Paramètres!$A$1:$I$89,3,0)*VLOOKUP('Données projet'!$B$9,Paramètres!$A$1:$I$89,5,0)</f>
        <v>1.4897523215040567E-13</v>
      </c>
      <c r="P174" s="14">
        <f t="shared" si="141"/>
        <v>2.136562777003313E-12</v>
      </c>
      <c r="Q174" s="22">
        <f t="shared" si="162"/>
        <v>3.9806453659427267E-12</v>
      </c>
      <c r="R174" s="62">
        <f t="shared" si="109"/>
        <v>293.33333333333729</v>
      </c>
      <c r="S174" s="62">
        <f ca="1">AVERAGE(OFFSET($R$3,0,0,'Données projet'!$E$9+1,1))-AVERAGE(OFFSET($H$3,0,0,'Données projet'!$E$9+1,1))</f>
        <v>149.01553333688895</v>
      </c>
      <c r="T174" s="62">
        <f t="shared" si="142"/>
        <v>180.75293059562205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1.1680912335066085E-20</v>
      </c>
      <c r="AC174" s="24">
        <f t="shared" si="163"/>
        <v>1.1680912335066085E-20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-3.4106051316484809E-13</v>
      </c>
      <c r="AJ174" s="14">
        <f>AI174*VLOOKUP('Données projet'!$B$10,Paramètres!$A$1:$I$89,3,0)*VLOOKUP('Données projet'!$B$10,Paramètres!$A$1:$I$89,5,0)</f>
        <v>-2.5006556825246659E-13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296.15681058372093</v>
      </c>
      <c r="AO174" s="62">
        <f t="shared" si="144"/>
        <v>304.69148609083879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0.1093866259989867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0.1093866259989867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-1.1368683772161603E-13</v>
      </c>
      <c r="BE174" s="14">
        <f>BD174*VLOOKUP('Données projet'!$B$11,Paramètres!$A$1:$I$89,3,0)*VLOOKUP('Données projet'!$B$11,Paramètres!$A$1:$I$89,5,0)</f>
        <v>-6.2073013396002357E-14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198.95219623447554</v>
      </c>
      <c r="BJ174" s="62">
        <f t="shared" si="146"/>
        <v>299.68918988634471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0.40929428665671858</v>
      </c>
      <c r="BQ174" s="23">
        <f>EXP(-LN(2)/25)*BQ173+(1-EXP(-LN(2)/25))/(LN(2)/25)*Calculateur!BL174*Calculateur!BN174*VLOOKUP('Données projet'!$B$11,Paramètres!$A$1:$I$89,3,0)*0.475*44/12</f>
        <v>0.13073716210688477</v>
      </c>
      <c r="BR174" s="23">
        <f>EXP(-LN(2)/2)*BR173+(1-EXP(-LN(2)/2))/(LN(2)/2)*BL174*BO174*VLOOKUP('Données projet'!$B$11,Paramètres!$A$1:$I$89,3,0)*0.475*44/12</f>
        <v>1.0582093125260221E-20</v>
      </c>
      <c r="BS174" s="24">
        <f t="shared" si="169"/>
        <v>0.54003144876360332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2">
        <f t="shared" si="140"/>
        <v>39.246498705676842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70">
        <f t="shared" si="110"/>
        <v>591.39566524572035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1.7053025658242404E-13</v>
      </c>
      <c r="O175" s="14">
        <f>N175*VLOOKUP('Données projet'!$B$9,Paramètres!$A$1:$I$89,3,0)*VLOOKUP('Données projet'!$B$9,Paramètres!$A$1:$I$89,5,0)</f>
        <v>1.4897523215040567E-13</v>
      </c>
      <c r="P175" s="14">
        <f t="shared" si="141"/>
        <v>2.136562777003313E-12</v>
      </c>
      <c r="Q175" s="22">
        <f t="shared" si="162"/>
        <v>3.9806453659427267E-12</v>
      </c>
      <c r="R175" s="62">
        <f t="shared" si="109"/>
        <v>293.33333333333729</v>
      </c>
      <c r="S175" s="62">
        <f ca="1">AVERAGE(OFFSET($R$3,0,0,'Données projet'!$E$9+1,1))-AVERAGE(OFFSET($H$3,0,0,'Données projet'!$E$9+1,1))</f>
        <v>149.01553333688895</v>
      </c>
      <c r="T175" s="62">
        <f t="shared" si="142"/>
        <v>180.75293059562205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8.2596523225708181E-21</v>
      </c>
      <c r="AC175" s="24">
        <f t="shared" si="163"/>
        <v>8.2596523225708181E-21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-3.4106051316484809E-13</v>
      </c>
      <c r="AJ175" s="14">
        <f>AI175*VLOOKUP('Données projet'!$B$10,Paramètres!$A$1:$I$89,3,0)*VLOOKUP('Données projet'!$B$10,Paramètres!$A$1:$I$89,5,0)</f>
        <v>-2.5006556825246659E-13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296.15681058372093</v>
      </c>
      <c r="AO175" s="62">
        <f t="shared" si="144"/>
        <v>304.69148609083879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0.10639544295865175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0.10639544295865175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-1.1368683772161603E-13</v>
      </c>
      <c r="BE175" s="14">
        <f>BD175*VLOOKUP('Données projet'!$B$11,Paramètres!$A$1:$I$89,3,0)*VLOOKUP('Données projet'!$B$11,Paramètres!$A$1:$I$89,5,0)</f>
        <v>-6.2073013396002357E-14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198.95219623447554</v>
      </c>
      <c r="BJ175" s="62">
        <f t="shared" si="146"/>
        <v>299.68918988634471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0.40126827534024478</v>
      </c>
      <c r="BQ175" s="23">
        <f>EXP(-LN(2)/25)*BQ174+(1-EXP(-LN(2)/25))/(LN(2)/25)*Calculateur!BL175*Calculateur!BN175*VLOOKUP('Données projet'!$B$11,Paramètres!$A$1:$I$89,3,0)*0.475*44/12</f>
        <v>0.12716214753390345</v>
      </c>
      <c r="BR175" s="23">
        <f>EXP(-LN(2)/2)*BR174+(1-EXP(-LN(2)/2))/(LN(2)/2)*BL175*BO175*VLOOKUP('Données projet'!$B$11,Paramètres!$A$1:$I$89,3,0)*0.475*44/12</f>
        <v>7.4826698080190477E-21</v>
      </c>
      <c r="BS175" s="24">
        <f t="shared" si="169"/>
        <v>0.52843042287414821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2">
        <f t="shared" si="140"/>
        <v>39.448048109333072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70">
        <f t="shared" si="110"/>
        <v>593.29538712375495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1.7053025658242404E-13</v>
      </c>
      <c r="O176" s="14">
        <f>N176*VLOOKUP('Données projet'!$B$9,Paramètres!$A$1:$I$89,3,0)*VLOOKUP('Données projet'!$B$9,Paramètres!$A$1:$I$89,5,0)</f>
        <v>1.4897523215040567E-13</v>
      </c>
      <c r="P176" s="14">
        <f t="shared" si="141"/>
        <v>2.136562777003313E-12</v>
      </c>
      <c r="Q176" s="22">
        <f t="shared" si="162"/>
        <v>3.9806453659427267E-12</v>
      </c>
      <c r="R176" s="62">
        <f t="shared" si="109"/>
        <v>293.33333333333729</v>
      </c>
      <c r="S176" s="62">
        <f ca="1">AVERAGE(OFFSET($R$3,0,0,'Données projet'!$E$9+1,1))-AVERAGE(OFFSET($H$3,0,0,'Données projet'!$E$9+1,1))</f>
        <v>149.01553333688895</v>
      </c>
      <c r="T176" s="62">
        <f t="shared" si="142"/>
        <v>180.75293059562205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5.8404561675330426E-21</v>
      </c>
      <c r="AC176" s="24">
        <f t="shared" si="163"/>
        <v>5.8404561675330426E-21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-3.4106051316484809E-13</v>
      </c>
      <c r="AJ176" s="14">
        <f>AI176*VLOOKUP('Données projet'!$B$10,Paramètres!$A$1:$I$89,3,0)*VLOOKUP('Données projet'!$B$10,Paramètres!$A$1:$I$89,5,0)</f>
        <v>-2.5006556825246659E-13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296.15681058372093</v>
      </c>
      <c r="AO176" s="62">
        <f t="shared" si="144"/>
        <v>304.69148609083879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0.10348605397585424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0.10348605397585424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-1.1368683772161603E-13</v>
      </c>
      <c r="BE176" s="14">
        <f>BD176*VLOOKUP('Données projet'!$B$11,Paramètres!$A$1:$I$89,3,0)*VLOOKUP('Données projet'!$B$11,Paramètres!$A$1:$I$89,5,0)</f>
        <v>-6.2073013396002357E-14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198.95219623447554</v>
      </c>
      <c r="BJ176" s="62">
        <f t="shared" si="146"/>
        <v>299.68918988634471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0.39339964921030351</v>
      </c>
      <c r="BQ176" s="23">
        <f>EXP(-LN(2)/25)*BQ175+(1-EXP(-LN(2)/25))/(LN(2)/25)*Calculateur!BL176*Calculateur!BN176*VLOOKUP('Données projet'!$B$11,Paramètres!$A$1:$I$89,3,0)*0.475*44/12</f>
        <v>0.12368489192242216</v>
      </c>
      <c r="BR176" s="23">
        <f>EXP(-LN(2)/2)*BR175+(1-EXP(-LN(2)/2))/(LN(2)/2)*BL176*BO176*VLOOKUP('Données projet'!$B$11,Paramètres!$A$1:$I$89,3,0)*0.475*44/12</f>
        <v>5.2910465626301104E-21</v>
      </c>
      <c r="BS176" s="24">
        <f t="shared" si="169"/>
        <v>0.51708454113272562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2">
        <f t="shared" si="140"/>
        <v>39.649461948838557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70">
        <f t="shared" si="110"/>
        <v>595.19487289422705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1.7053025658242404E-13</v>
      </c>
      <c r="O177" s="14">
        <f>N177*VLOOKUP('Données projet'!$B$9,Paramètres!$A$1:$I$89,3,0)*VLOOKUP('Données projet'!$B$9,Paramètres!$A$1:$I$89,5,0)</f>
        <v>1.4897523215040567E-13</v>
      </c>
      <c r="P177" s="14">
        <f t="shared" si="141"/>
        <v>2.136562777003313E-12</v>
      </c>
      <c r="Q177" s="22">
        <f t="shared" si="162"/>
        <v>3.9806453659427267E-12</v>
      </c>
      <c r="R177" s="62">
        <f t="shared" si="109"/>
        <v>293.33333333333729</v>
      </c>
      <c r="S177" s="62">
        <f ca="1">AVERAGE(OFFSET($R$3,0,0,'Données projet'!$E$9+1,1))-AVERAGE(OFFSET($H$3,0,0,'Données projet'!$E$9+1,1))</f>
        <v>149.01553333688895</v>
      </c>
      <c r="T177" s="62">
        <f t="shared" si="142"/>
        <v>180.75293059562205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4.129826161285409E-21</v>
      </c>
      <c r="AC177" s="24">
        <f t="shared" si="163"/>
        <v>4.129826161285409E-21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-3.4106051316484809E-13</v>
      </c>
      <c r="AJ177" s="14">
        <f>AI177*VLOOKUP('Données projet'!$B$10,Paramètres!$A$1:$I$89,3,0)*VLOOKUP('Données projet'!$B$10,Paramètres!$A$1:$I$89,5,0)</f>
        <v>-2.5006556825246659E-13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296.15681058372093</v>
      </c>
      <c r="AO177" s="62">
        <f t="shared" si="144"/>
        <v>304.69148609083879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0.10065622238778944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0.10065622238778944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-1.1368683772161603E-13</v>
      </c>
      <c r="BE177" s="14">
        <f>BD177*VLOOKUP('Données projet'!$B$11,Paramètres!$A$1:$I$89,3,0)*VLOOKUP('Données projet'!$B$11,Paramètres!$A$1:$I$89,5,0)</f>
        <v>-6.2073013396002357E-14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198.95219623447554</v>
      </c>
      <c r="BJ177" s="62">
        <f t="shared" si="146"/>
        <v>299.68918988634471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0.38568532203938238</v>
      </c>
      <c r="BQ177" s="23">
        <f>EXP(-LN(2)/25)*BQ176+(1-EXP(-LN(2)/25))/(LN(2)/25)*Calculateur!BL177*Calculateur!BN177*VLOOKUP('Données projet'!$B$11,Paramètres!$A$1:$I$89,3,0)*0.475*44/12</f>
        <v>0.12030272204849775</v>
      </c>
      <c r="BR177" s="23">
        <f>EXP(-LN(2)/2)*BR176+(1-EXP(-LN(2)/2))/(LN(2)/2)*BL177*BO177*VLOOKUP('Données projet'!$B$11,Paramètres!$A$1:$I$89,3,0)*0.475*44/12</f>
        <v>3.7413349040095238E-21</v>
      </c>
      <c r="BS177" s="24">
        <f t="shared" si="169"/>
        <v>0.50598804408788012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2">
        <f t="shared" si="140"/>
        <v>39.850741093704151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70">
        <f t="shared" si="110"/>
        <v>597.09412407153457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1.7053025658242404E-13</v>
      </c>
      <c r="O178" s="14">
        <f>N178*VLOOKUP('Données projet'!$B$9,Paramètres!$A$1:$I$89,3,0)*VLOOKUP('Données projet'!$B$9,Paramètres!$A$1:$I$89,5,0)</f>
        <v>1.4897523215040567E-13</v>
      </c>
      <c r="P178" s="14">
        <f t="shared" si="141"/>
        <v>2.136562777003313E-12</v>
      </c>
      <c r="Q178" s="22">
        <f t="shared" si="162"/>
        <v>3.9806453659427267E-12</v>
      </c>
      <c r="R178" s="62">
        <f t="shared" si="109"/>
        <v>293.33333333333729</v>
      </c>
      <c r="S178" s="62">
        <f ca="1">AVERAGE(OFFSET($R$3,0,0,'Données projet'!$E$9+1,1))-AVERAGE(OFFSET($H$3,0,0,'Données projet'!$E$9+1,1))</f>
        <v>149.01553333688895</v>
      </c>
      <c r="T178" s="62">
        <f t="shared" si="142"/>
        <v>180.75293059562205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2.9202280837665213E-21</v>
      </c>
      <c r="AC178" s="24">
        <f t="shared" si="163"/>
        <v>2.9202280837665213E-21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-3.4106051316484809E-13</v>
      </c>
      <c r="AJ178" s="14">
        <f>AI178*VLOOKUP('Données projet'!$B$10,Paramètres!$A$1:$I$89,3,0)*VLOOKUP('Données projet'!$B$10,Paramètres!$A$1:$I$89,5,0)</f>
        <v>-2.5006556825246659E-13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296.15681058372093</v>
      </c>
      <c r="AO178" s="62">
        <f t="shared" si="144"/>
        <v>304.69148609083879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9.7903772693314656E-2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9.7903772693314656E-2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-1.1368683772161603E-13</v>
      </c>
      <c r="BE178" s="14">
        <f>BD178*VLOOKUP('Données projet'!$B$11,Paramètres!$A$1:$I$89,3,0)*VLOOKUP('Données projet'!$B$11,Paramètres!$A$1:$I$89,5,0)</f>
        <v>-6.2073013396002357E-14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198.95219623447554</v>
      </c>
      <c r="BJ178" s="62">
        <f t="shared" si="146"/>
        <v>299.68918988634471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0.37812226811900806</v>
      </c>
      <c r="BQ178" s="23">
        <f>EXP(-LN(2)/25)*BQ177+(1-EXP(-LN(2)/25))/(LN(2)/25)*Calculateur!BL178*Calculateur!BN178*VLOOKUP('Données projet'!$B$11,Paramètres!$A$1:$I$89,3,0)*0.475*44/12</f>
        <v>0.11701303778763639</v>
      </c>
      <c r="BR178" s="23">
        <f>EXP(-LN(2)/2)*BR177+(1-EXP(-LN(2)/2))/(LN(2)/2)*BL178*BO178*VLOOKUP('Données projet'!$B$11,Paramètres!$A$1:$I$89,3,0)*0.475*44/12</f>
        <v>2.6455232813150552E-21</v>
      </c>
      <c r="BS178" s="24">
        <f t="shared" si="169"/>
        <v>0.49513530590664445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2">
        <f t="shared" si="140"/>
        <v>40.051886402928353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70">
        <f t="shared" si="110"/>
        <v>598.99314215176662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1.7053025658242404E-13</v>
      </c>
      <c r="O179" s="14">
        <f>N179*VLOOKUP('Données projet'!$B$9,Paramètres!$A$1:$I$89,3,0)*VLOOKUP('Données projet'!$B$9,Paramètres!$A$1:$I$89,5,0)</f>
        <v>1.4897523215040567E-13</v>
      </c>
      <c r="P179" s="14">
        <f t="shared" si="141"/>
        <v>2.136562777003313E-12</v>
      </c>
      <c r="Q179" s="22">
        <f t="shared" si="162"/>
        <v>3.9806453659427267E-12</v>
      </c>
      <c r="R179" s="62">
        <f t="shared" si="109"/>
        <v>293.33333333333729</v>
      </c>
      <c r="S179" s="62">
        <f ca="1">AVERAGE(OFFSET($R$3,0,0,'Données projet'!$E$9+1,1))-AVERAGE(OFFSET($H$3,0,0,'Données projet'!$E$9+1,1))</f>
        <v>149.01553333688895</v>
      </c>
      <c r="T179" s="62">
        <f t="shared" si="142"/>
        <v>180.75293059562205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2.0649130806427045E-21</v>
      </c>
      <c r="AC179" s="24">
        <f t="shared" si="163"/>
        <v>2.0649130806427045E-21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-3.4106051316484809E-13</v>
      </c>
      <c r="AJ179" s="14">
        <f>AI179*VLOOKUP('Données projet'!$B$10,Paramètres!$A$1:$I$89,3,0)*VLOOKUP('Données projet'!$B$10,Paramètres!$A$1:$I$89,5,0)</f>
        <v>-2.5006556825246659E-13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296.15681058372093</v>
      </c>
      <c r="AO179" s="62">
        <f t="shared" si="144"/>
        <v>304.69148609083879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9.5226588880480328E-2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9.5226588880480328E-2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-1.1368683772161603E-13</v>
      </c>
      <c r="BE179" s="14">
        <f>BD179*VLOOKUP('Données projet'!$B$11,Paramètres!$A$1:$I$89,3,0)*VLOOKUP('Données projet'!$B$11,Paramètres!$A$1:$I$89,5,0)</f>
        <v>-6.2073013396002357E-14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198.95219623447554</v>
      </c>
      <c r="BJ179" s="62">
        <f t="shared" si="146"/>
        <v>299.68918988634471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0.37070752107300486</v>
      </c>
      <c r="BQ179" s="23">
        <f>EXP(-LN(2)/25)*BQ178+(1-EXP(-LN(2)/25))/(LN(2)/25)*Calculateur!BL179*Calculateur!BN179*VLOOKUP('Données projet'!$B$11,Paramètres!$A$1:$I$89,3,0)*0.475*44/12</f>
        <v>0.11381331011588525</v>
      </c>
      <c r="BR179" s="23">
        <f>EXP(-LN(2)/2)*BR178+(1-EXP(-LN(2)/2))/(LN(2)/2)*BL179*BO179*VLOOKUP('Données projet'!$B$11,Paramètres!$A$1:$I$89,3,0)*0.475*44/12</f>
        <v>1.8706674520047619E-21</v>
      </c>
      <c r="BS179" s="24">
        <f t="shared" si="169"/>
        <v>0.48452083118889011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2">
        <f t="shared" si="140"/>
        <v>40.252898725183421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70">
        <f t="shared" si="110"/>
        <v>600.89192861302752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1.7053025658242404E-13</v>
      </c>
      <c r="O180" s="14">
        <f>N180*VLOOKUP('Données projet'!$B$9,Paramètres!$A$1:$I$89,3,0)*VLOOKUP('Données projet'!$B$9,Paramètres!$A$1:$I$89,5,0)</f>
        <v>1.4897523215040567E-13</v>
      </c>
      <c r="P180" s="14">
        <f t="shared" si="141"/>
        <v>2.136562777003313E-12</v>
      </c>
      <c r="Q180" s="22">
        <f t="shared" si="162"/>
        <v>3.9806453659427267E-12</v>
      </c>
      <c r="R180" s="62">
        <f t="shared" si="109"/>
        <v>293.33333333333729</v>
      </c>
      <c r="S180" s="62">
        <f ca="1">AVERAGE(OFFSET($R$3,0,0,'Données projet'!$E$9+1,1))-AVERAGE(OFFSET($H$3,0,0,'Données projet'!$E$9+1,1))</f>
        <v>149.01553333688895</v>
      </c>
      <c r="T180" s="62">
        <f t="shared" si="142"/>
        <v>180.75293059562205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1.4601140418832606E-21</v>
      </c>
      <c r="AC180" s="24">
        <f t="shared" si="163"/>
        <v>1.4601140418832606E-21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-3.4106051316484809E-13</v>
      </c>
      <c r="AJ180" s="14">
        <f>AI180*VLOOKUP('Données projet'!$B$10,Paramètres!$A$1:$I$89,3,0)*VLOOKUP('Données projet'!$B$10,Paramètres!$A$1:$I$89,5,0)</f>
        <v>-2.5006556825246659E-13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296.15681058372093</v>
      </c>
      <c r="AO180" s="62">
        <f t="shared" si="144"/>
        <v>304.69148609083879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9.2622612799794932E-2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9.2622612799794932E-2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-1.1368683772161603E-13</v>
      </c>
      <c r="BE180" s="14">
        <f>BD180*VLOOKUP('Données projet'!$B$11,Paramètres!$A$1:$I$89,3,0)*VLOOKUP('Données projet'!$B$11,Paramètres!$A$1:$I$89,5,0)</f>
        <v>-6.2073013396002357E-14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198.95219623447554</v>
      </c>
      <c r="BJ180" s="62">
        <f t="shared" si="146"/>
        <v>299.68918988634471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0.36343817269402467</v>
      </c>
      <c r="BQ180" s="23">
        <f>EXP(-LN(2)/25)*BQ179+(1-EXP(-LN(2)/25))/(LN(2)/25)*Calculateur!BL180*Calculateur!BN180*VLOOKUP('Données projet'!$B$11,Paramètres!$A$1:$I$89,3,0)*0.475*44/12</f>
        <v>0.11070107916558451</v>
      </c>
      <c r="BR180" s="23">
        <f>EXP(-LN(2)/2)*BR179+(1-EXP(-LN(2)/2))/(LN(2)/2)*BL180*BO180*VLOOKUP('Données projet'!$B$11,Paramètres!$A$1:$I$89,3,0)*0.475*44/12</f>
        <v>1.3227616406575276E-21</v>
      </c>
      <c r="BS180" s="24">
        <f t="shared" si="169"/>
        <v>0.4741392518596092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2">
        <f t="shared" si="140"/>
        <v>40.45377889899725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70">
        <f t="shared" si="110"/>
        <v>602.79048491575327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1.7053025658242404E-13</v>
      </c>
      <c r="O181" s="14">
        <f>N181*VLOOKUP('Données projet'!$B$9,Paramètres!$A$1:$I$89,3,0)*VLOOKUP('Données projet'!$B$9,Paramètres!$A$1:$I$89,5,0)</f>
        <v>1.4897523215040567E-13</v>
      </c>
      <c r="P181" s="14">
        <f t="shared" si="141"/>
        <v>2.136562777003313E-12</v>
      </c>
      <c r="Q181" s="22">
        <f t="shared" si="162"/>
        <v>3.9806453659427267E-12</v>
      </c>
      <c r="R181" s="62">
        <f t="shared" si="109"/>
        <v>293.33333333333729</v>
      </c>
      <c r="S181" s="62">
        <f ca="1">AVERAGE(OFFSET($R$3,0,0,'Données projet'!$E$9+1,1))-AVERAGE(OFFSET($H$3,0,0,'Données projet'!$E$9+1,1))</f>
        <v>149.01553333688895</v>
      </c>
      <c r="T181" s="62">
        <f t="shared" si="142"/>
        <v>180.75293059562205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1.0324565403213523E-21</v>
      </c>
      <c r="AC181" s="24">
        <f t="shared" si="163"/>
        <v>1.0324565403213523E-21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-3.4106051316484809E-13</v>
      </c>
      <c r="AJ181" s="14">
        <f>AI181*VLOOKUP('Données projet'!$B$10,Paramètres!$A$1:$I$89,3,0)*VLOOKUP('Données projet'!$B$10,Paramètres!$A$1:$I$89,5,0)</f>
        <v>-2.5006556825246659E-13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296.15681058372093</v>
      </c>
      <c r="AO181" s="62">
        <f t="shared" si="144"/>
        <v>304.69148609083879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9.0089842581973029E-2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9.0089842581973029E-2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-1.1368683772161603E-13</v>
      </c>
      <c r="BE181" s="14">
        <f>BD181*VLOOKUP('Données projet'!$B$11,Paramètres!$A$1:$I$89,3,0)*VLOOKUP('Données projet'!$B$11,Paramètres!$A$1:$I$89,5,0)</f>
        <v>-6.2073013396002357E-14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198.95219623447554</v>
      </c>
      <c r="BJ181" s="62">
        <f t="shared" si="146"/>
        <v>299.68918988634471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0.35631137180289157</v>
      </c>
      <c r="BQ181" s="23">
        <f>EXP(-LN(2)/25)*BQ180+(1-EXP(-LN(2)/25))/(LN(2)/25)*Calculateur!BL181*Calculateur!BN181*VLOOKUP('Données projet'!$B$11,Paramètres!$A$1:$I$89,3,0)*0.475*44/12</f>
        <v>0.10767395233428487</v>
      </c>
      <c r="BR181" s="23">
        <f>EXP(-LN(2)/2)*BR180+(1-EXP(-LN(2)/2))/(LN(2)/2)*BL181*BO181*VLOOKUP('Données projet'!$B$11,Paramètres!$A$1:$I$89,3,0)*0.475*44/12</f>
        <v>9.3533372600238096E-22</v>
      </c>
      <c r="BS181" s="24">
        <f t="shared" si="169"/>
        <v>0.46398532413717641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2">
        <f t="shared" si="140"/>
        <v>40.654527752930711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70">
        <f t="shared" si="110"/>
        <v>604.6888125030207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1.7053025658242404E-13</v>
      </c>
      <c r="O182" s="14">
        <f>N182*VLOOKUP('Données projet'!$B$9,Paramètres!$A$1:$I$89,3,0)*VLOOKUP('Données projet'!$B$9,Paramètres!$A$1:$I$89,5,0)</f>
        <v>1.4897523215040567E-13</v>
      </c>
      <c r="P182" s="14">
        <f t="shared" si="141"/>
        <v>2.136562777003313E-12</v>
      </c>
      <c r="Q182" s="22">
        <f t="shared" si="162"/>
        <v>3.9806453659427267E-12</v>
      </c>
      <c r="R182" s="62">
        <f t="shared" si="109"/>
        <v>293.33333333333729</v>
      </c>
      <c r="S182" s="62">
        <f ca="1">AVERAGE(OFFSET($R$3,0,0,'Données projet'!$E$9+1,1))-AVERAGE(OFFSET($H$3,0,0,'Données projet'!$E$9+1,1))</f>
        <v>149.01553333688895</v>
      </c>
      <c r="T182" s="62">
        <f t="shared" si="142"/>
        <v>180.75293059562205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7.3005702094163032E-22</v>
      </c>
      <c r="AC182" s="24">
        <f t="shared" si="163"/>
        <v>7.3005702094163032E-22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-3.4106051316484809E-13</v>
      </c>
      <c r="AJ182" s="14">
        <f>AI182*VLOOKUP('Données projet'!$B$10,Paramètres!$A$1:$I$89,3,0)*VLOOKUP('Données projet'!$B$10,Paramètres!$A$1:$I$89,5,0)</f>
        <v>-2.5006556825246659E-13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296.15681058372093</v>
      </c>
      <c r="AO182" s="62">
        <f t="shared" si="144"/>
        <v>304.69148609083879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8.7626331098950058E-2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8.7626331098950058E-2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-1.1368683772161603E-13</v>
      </c>
      <c r="BE182" s="14">
        <f>BD182*VLOOKUP('Données projet'!$B$11,Paramètres!$A$1:$I$89,3,0)*VLOOKUP('Données projet'!$B$11,Paramètres!$A$1:$I$89,5,0)</f>
        <v>-6.2073013396002357E-14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198.95219623447554</v>
      </c>
      <c r="BJ182" s="62">
        <f t="shared" si="146"/>
        <v>299.68918988634471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0.34932432313031425</v>
      </c>
      <c r="BQ182" s="23">
        <f>EXP(-LN(2)/25)*BQ181+(1-EXP(-LN(2)/25))/(LN(2)/25)*Calculateur!BL182*Calculateur!BN182*VLOOKUP('Données projet'!$B$11,Paramètres!$A$1:$I$89,3,0)*0.475*44/12</f>
        <v>0.10472960244537678</v>
      </c>
      <c r="BR182" s="23">
        <f>EXP(-LN(2)/2)*BR181+(1-EXP(-LN(2)/2))/(LN(2)/2)*BL182*BO182*VLOOKUP('Données projet'!$B$11,Paramètres!$A$1:$I$89,3,0)*0.475*44/12</f>
        <v>6.613808203287638E-22</v>
      </c>
      <c r="BS182" s="24">
        <f t="shared" si="169"/>
        <v>0.45405392557569102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2">
        <f t="shared" si="140"/>
        <v>40.855146105751388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70">
        <f t="shared" si="110"/>
        <v>606.58691280085009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1.7053025658242404E-13</v>
      </c>
      <c r="O183" s="14">
        <f>N183*VLOOKUP('Données projet'!$B$9,Paramètres!$A$1:$I$89,3,0)*VLOOKUP('Données projet'!$B$9,Paramètres!$A$1:$I$89,5,0)</f>
        <v>1.4897523215040567E-13</v>
      </c>
      <c r="P183" s="14">
        <f t="shared" si="141"/>
        <v>2.136562777003313E-12</v>
      </c>
      <c r="Q183" s="22">
        <f t="shared" si="162"/>
        <v>3.9806453659427267E-12</v>
      </c>
      <c r="R183" s="62">
        <f t="shared" si="109"/>
        <v>293.33333333333729</v>
      </c>
      <c r="S183" s="62">
        <f ca="1">AVERAGE(OFFSET($R$3,0,0,'Données projet'!$E$9+1,1))-AVERAGE(OFFSET($H$3,0,0,'Données projet'!$E$9+1,1))</f>
        <v>149.01553333688895</v>
      </c>
      <c r="T183" s="62">
        <f t="shared" si="142"/>
        <v>180.75293059562205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5.1622827016067613E-22</v>
      </c>
      <c r="AC183" s="24">
        <f t="shared" si="163"/>
        <v>5.1622827016067613E-22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-3.4106051316484809E-13</v>
      </c>
      <c r="AJ183" s="14">
        <f>AI183*VLOOKUP('Données projet'!$B$10,Paramètres!$A$1:$I$89,3,0)*VLOOKUP('Données projet'!$B$10,Paramètres!$A$1:$I$89,5,0)</f>
        <v>-2.5006556825246659E-13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296.15681058372093</v>
      </c>
      <c r="AO183" s="62">
        <f t="shared" si="144"/>
        <v>304.69148609083879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8.5230184466980788E-2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8.5230184466980788E-2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-1.1368683772161603E-13</v>
      </c>
      <c r="BE183" s="14">
        <f>BD183*VLOOKUP('Données projet'!$B$11,Paramètres!$A$1:$I$89,3,0)*VLOOKUP('Données projet'!$B$11,Paramètres!$A$1:$I$89,5,0)</f>
        <v>-6.2073013396002357E-14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198.95219623447554</v>
      </c>
      <c r="BJ183" s="62">
        <f t="shared" si="146"/>
        <v>299.68918988634471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0.34247428622052728</v>
      </c>
      <c r="BQ183" s="23">
        <f>EXP(-LN(2)/25)*BQ182+(1-EXP(-LN(2)/25))/(LN(2)/25)*Calculateur!BL183*Calculateur!BN183*VLOOKUP('Données projet'!$B$11,Paramètres!$A$1:$I$89,3,0)*0.475*44/12</f>
        <v>0.10186576595901753</v>
      </c>
      <c r="BR183" s="23">
        <f>EXP(-LN(2)/2)*BR182+(1-EXP(-LN(2)/2))/(LN(2)/2)*BL183*BO183*VLOOKUP('Données projet'!$B$11,Paramètres!$A$1:$I$89,3,0)*0.475*44/12</f>
        <v>4.6766686300119048E-22</v>
      </c>
      <c r="BS183" s="24">
        <f t="shared" si="169"/>
        <v>0.44434005217954481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2">
        <f t="shared" si="140"/>
        <v>41.055634766602871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70">
        <f t="shared" si="110"/>
        <v>608.48478721849972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1.7053025658242404E-13</v>
      </c>
      <c r="O184" s="14">
        <f>N184*VLOOKUP('Données projet'!$B$9,Paramètres!$A$1:$I$89,3,0)*VLOOKUP('Données projet'!$B$9,Paramètres!$A$1:$I$89,5,0)</f>
        <v>1.4897523215040567E-13</v>
      </c>
      <c r="P184" s="14">
        <f t="shared" si="141"/>
        <v>2.136562777003313E-12</v>
      </c>
      <c r="Q184" s="22">
        <f t="shared" si="162"/>
        <v>3.9806453659427267E-12</v>
      </c>
      <c r="R184" s="62">
        <f t="shared" si="109"/>
        <v>293.33333333333729</v>
      </c>
      <c r="S184" s="62">
        <f ca="1">AVERAGE(OFFSET($R$3,0,0,'Données projet'!$E$9+1,1))-AVERAGE(OFFSET($H$3,0,0,'Données projet'!$E$9+1,1))</f>
        <v>149.01553333688895</v>
      </c>
      <c r="T184" s="62">
        <f t="shared" si="142"/>
        <v>180.75293059562205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3.6502851047081516E-22</v>
      </c>
      <c r="AC184" s="24">
        <f t="shared" si="163"/>
        <v>3.6502851047081516E-22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-3.4106051316484809E-13</v>
      </c>
      <c r="AJ184" s="14">
        <f>AI184*VLOOKUP('Données projet'!$B$10,Paramètres!$A$1:$I$89,3,0)*VLOOKUP('Données projet'!$B$10,Paramètres!$A$1:$I$89,5,0)</f>
        <v>-2.5006556825246659E-13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296.15681058372093</v>
      </c>
      <c r="AO184" s="62">
        <f t="shared" si="144"/>
        <v>304.69148609083879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8.2899560590670593E-2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8.2899560590670593E-2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-1.1368683772161603E-13</v>
      </c>
      <c r="BE184" s="14">
        <f>BD184*VLOOKUP('Données projet'!$B$11,Paramètres!$A$1:$I$89,3,0)*VLOOKUP('Données projet'!$B$11,Paramètres!$A$1:$I$89,5,0)</f>
        <v>-6.2073013396002357E-14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198.95219623447554</v>
      </c>
      <c r="BJ184" s="62">
        <f t="shared" si="146"/>
        <v>299.68918988634471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0.33575857435643131</v>
      </c>
      <c r="BQ184" s="23">
        <f>EXP(-LN(2)/25)*BQ183+(1-EXP(-LN(2)/25))/(LN(2)/25)*Calculateur!BL184*Calculateur!BN184*VLOOKUP('Données projet'!$B$11,Paramètres!$A$1:$I$89,3,0)*0.475*44/12</f>
        <v>9.9080241231980379E-2</v>
      </c>
      <c r="BR184" s="23">
        <f>EXP(-LN(2)/2)*BR183+(1-EXP(-LN(2)/2))/(LN(2)/2)*BL184*BO184*VLOOKUP('Données projet'!$B$11,Paramètres!$A$1:$I$89,3,0)*0.475*44/12</f>
        <v>3.306904101643819E-22</v>
      </c>
      <c r="BS184" s="24">
        <f t="shared" si="169"/>
        <v>0.4348388155884117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2">
        <f t="shared" si="140"/>
        <v>41.255994535170444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70">
        <f t="shared" si="110"/>
        <v>610.38243714875489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1.7053025658242404E-13</v>
      </c>
      <c r="O185" s="14">
        <f>N185*VLOOKUP('Données projet'!$B$9,Paramètres!$A$1:$I$89,3,0)*VLOOKUP('Données projet'!$B$9,Paramètres!$A$1:$I$89,5,0)</f>
        <v>1.4897523215040567E-13</v>
      </c>
      <c r="P185" s="14">
        <f t="shared" si="141"/>
        <v>2.136562777003313E-12</v>
      </c>
      <c r="Q185" s="22">
        <f t="shared" si="162"/>
        <v>3.9806453659427267E-12</v>
      </c>
      <c r="R185" s="62">
        <f t="shared" si="109"/>
        <v>293.33333333333729</v>
      </c>
      <c r="S185" s="62">
        <f ca="1">AVERAGE(OFFSET($R$3,0,0,'Données projet'!$E$9+1,1))-AVERAGE(OFFSET($H$3,0,0,'Données projet'!$E$9+1,1))</f>
        <v>149.01553333688895</v>
      </c>
      <c r="T185" s="62">
        <f t="shared" si="142"/>
        <v>180.75293059562205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2.5811413508033807E-22</v>
      </c>
      <c r="AC185" s="24">
        <f t="shared" si="163"/>
        <v>2.5811413508033807E-22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-3.4106051316484809E-13</v>
      </c>
      <c r="AJ185" s="14">
        <f>AI185*VLOOKUP('Données projet'!$B$10,Paramètres!$A$1:$I$89,3,0)*VLOOKUP('Données projet'!$B$10,Paramètres!$A$1:$I$89,5,0)</f>
        <v>-2.5006556825246659E-13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296.15681058372093</v>
      </c>
      <c r="AO185" s="62">
        <f t="shared" si="144"/>
        <v>304.69148609083879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8.0632667746820277E-2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8.0632667746820277E-2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-1.1368683772161603E-13</v>
      </c>
      <c r="BE185" s="14">
        <f>BD185*VLOOKUP('Données projet'!$B$11,Paramètres!$A$1:$I$89,3,0)*VLOOKUP('Données projet'!$B$11,Paramètres!$A$1:$I$89,5,0)</f>
        <v>-6.2073013396002357E-14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198.95219623447554</v>
      </c>
      <c r="BJ185" s="62">
        <f t="shared" si="146"/>
        <v>299.68918988634471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0.32917455350581049</v>
      </c>
      <c r="BQ185" s="23">
        <f>EXP(-LN(2)/25)*BQ184+(1-EXP(-LN(2)/25))/(LN(2)/25)*Calculateur!BL185*Calculateur!BN185*VLOOKUP('Données projet'!$B$11,Paramètres!$A$1:$I$89,3,0)*0.475*44/12</f>
        <v>9.6370886825088445E-2</v>
      </c>
      <c r="BR185" s="23">
        <f>EXP(-LN(2)/2)*BR184+(1-EXP(-LN(2)/2))/(LN(2)/2)*BL185*BO185*VLOOKUP('Données projet'!$B$11,Paramètres!$A$1:$I$89,3,0)*0.475*44/12</f>
        <v>2.3383343150059524E-22</v>
      </c>
      <c r="BS185" s="24">
        <f t="shared" si="169"/>
        <v>0.42554544033089892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2">
        <f t="shared" si="140"/>
        <v>41.456226201843137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70">
        <f t="shared" si="110"/>
        <v>612.27986396820972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1.7053025658242404E-13</v>
      </c>
      <c r="O186" s="14">
        <f>N186*VLOOKUP('Données projet'!$B$9,Paramètres!$A$1:$I$89,3,0)*VLOOKUP('Données projet'!$B$9,Paramètres!$A$1:$I$89,5,0)</f>
        <v>1.4897523215040567E-13</v>
      </c>
      <c r="P186" s="14">
        <f t="shared" si="141"/>
        <v>2.136562777003313E-12</v>
      </c>
      <c r="Q186" s="22">
        <f t="shared" si="162"/>
        <v>3.9806453659427267E-12</v>
      </c>
      <c r="R186" s="62">
        <f t="shared" si="109"/>
        <v>293.33333333333729</v>
      </c>
      <c r="S186" s="62">
        <f ca="1">AVERAGE(OFFSET($R$3,0,0,'Données projet'!$E$9+1,1))-AVERAGE(OFFSET($H$3,0,0,'Données projet'!$E$9+1,1))</f>
        <v>149.01553333688895</v>
      </c>
      <c r="T186" s="62">
        <f t="shared" si="142"/>
        <v>180.75293059562205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1.8251425523540758E-22</v>
      </c>
      <c r="AC186" s="24">
        <f t="shared" si="163"/>
        <v>1.8251425523540758E-22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-3.4106051316484809E-13</v>
      </c>
      <c r="AJ186" s="14">
        <f>AI186*VLOOKUP('Données projet'!$B$10,Paramètres!$A$1:$I$89,3,0)*VLOOKUP('Données projet'!$B$10,Paramètres!$A$1:$I$89,5,0)</f>
        <v>-2.5006556825246659E-13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296.15681058372093</v>
      </c>
      <c r="AO186" s="62">
        <f t="shared" si="144"/>
        <v>304.69148609083879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7.8427763206995765E-2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7.8427763206995765E-2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-1.1368683772161603E-13</v>
      </c>
      <c r="BE186" s="14">
        <f>BD186*VLOOKUP('Données projet'!$B$11,Paramètres!$A$1:$I$89,3,0)*VLOOKUP('Données projet'!$B$11,Paramètres!$A$1:$I$89,5,0)</f>
        <v>-6.2073013396002357E-14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198.95219623447554</v>
      </c>
      <c r="BJ186" s="62">
        <f t="shared" si="146"/>
        <v>299.68918988634471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0.32271964128821412</v>
      </c>
      <c r="BQ186" s="23">
        <f>EXP(-LN(2)/25)*BQ185+(1-EXP(-LN(2)/25))/(LN(2)/25)*Calculateur!BL186*Calculateur!BN186*VLOOKUP('Données projet'!$B$11,Paramètres!$A$1:$I$89,3,0)*0.475*44/12</f>
        <v>9.3735619856931726E-2</v>
      </c>
      <c r="BR186" s="23">
        <f>EXP(-LN(2)/2)*BR185+(1-EXP(-LN(2)/2))/(LN(2)/2)*BL186*BO186*VLOOKUP('Données projet'!$B$11,Paramètres!$A$1:$I$89,3,0)*0.475*44/12</f>
        <v>1.6534520508219095E-22</v>
      </c>
      <c r="BS186" s="24">
        <f t="shared" si="169"/>
        <v>0.41645526114514586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2">
        <f t="shared" si="140"/>
        <v>41.656330547871768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70">
        <f t="shared" si="110"/>
        <v>614.17706903754288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1.7053025658242404E-13</v>
      </c>
      <c r="O187" s="14">
        <f>N187*VLOOKUP('Données projet'!$B$9,Paramètres!$A$1:$I$89,3,0)*VLOOKUP('Données projet'!$B$9,Paramètres!$A$1:$I$89,5,0)</f>
        <v>1.4897523215040567E-13</v>
      </c>
      <c r="P187" s="14">
        <f t="shared" si="141"/>
        <v>2.136562777003313E-12</v>
      </c>
      <c r="Q187" s="22">
        <f t="shared" si="162"/>
        <v>3.9806453659427267E-12</v>
      </c>
      <c r="R187" s="62">
        <f t="shared" si="109"/>
        <v>293.33333333333729</v>
      </c>
      <c r="S187" s="62">
        <f ca="1">AVERAGE(OFFSET($R$3,0,0,'Données projet'!$E$9+1,1))-AVERAGE(OFFSET($H$3,0,0,'Données projet'!$E$9+1,1))</f>
        <v>149.01553333688895</v>
      </c>
      <c r="T187" s="62">
        <f t="shared" si="142"/>
        <v>180.75293059562205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1.2905706754016903E-22</v>
      </c>
      <c r="AC187" s="24">
        <f t="shared" si="163"/>
        <v>1.2905706754016903E-22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-3.4106051316484809E-13</v>
      </c>
      <c r="AJ187" s="14">
        <f>AI187*VLOOKUP('Données projet'!$B$10,Paramètres!$A$1:$I$89,3,0)*VLOOKUP('Données projet'!$B$10,Paramètres!$A$1:$I$89,5,0)</f>
        <v>-2.5006556825246659E-13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296.15681058372093</v>
      </c>
      <c r="AO187" s="62">
        <f t="shared" si="144"/>
        <v>304.69148609083879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7.6283151897763649E-2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7.6283151897763649E-2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-1.1368683772161603E-13</v>
      </c>
      <c r="BE187" s="14">
        <f>BD187*VLOOKUP('Données projet'!$B$11,Paramètres!$A$1:$I$89,3,0)*VLOOKUP('Données projet'!$B$11,Paramètres!$A$1:$I$89,5,0)</f>
        <v>-6.2073013396002357E-14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198.95219623447554</v>
      </c>
      <c r="BJ187" s="62">
        <f t="shared" si="146"/>
        <v>299.68918988634471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0.31639130596209714</v>
      </c>
      <c r="BQ187" s="23">
        <f>EXP(-LN(2)/25)*BQ186+(1-EXP(-LN(2)/25))/(LN(2)/25)*Calculateur!BL187*Calculateur!BN187*VLOOKUP('Données projet'!$B$11,Paramètres!$A$1:$I$89,3,0)*0.475*44/12</f>
        <v>9.1172414402601917E-2</v>
      </c>
      <c r="BR187" s="23">
        <f>EXP(-LN(2)/2)*BR186+(1-EXP(-LN(2)/2))/(LN(2)/2)*BL187*BO187*VLOOKUP('Données projet'!$B$11,Paramètres!$A$1:$I$89,3,0)*0.475*44/12</f>
        <v>1.1691671575029762E-22</v>
      </c>
      <c r="BS187" s="24">
        <f t="shared" si="169"/>
        <v>0.40756372036469907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2">
        <f t="shared" si="140"/>
        <v>41.856308345523843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70">
        <f t="shared" si="110"/>
        <v>616.07405370178697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1.7053025658242404E-13</v>
      </c>
      <c r="O188" s="14">
        <f>N188*VLOOKUP('Données projet'!$B$9,Paramètres!$A$1:$I$89,3,0)*VLOOKUP('Données projet'!$B$9,Paramètres!$A$1:$I$89,5,0)</f>
        <v>1.4897523215040567E-13</v>
      </c>
      <c r="P188" s="14">
        <f t="shared" si="141"/>
        <v>2.136562777003313E-12</v>
      </c>
      <c r="Q188" s="22">
        <f t="shared" si="162"/>
        <v>3.9806453659427267E-12</v>
      </c>
      <c r="R188" s="62">
        <f t="shared" si="109"/>
        <v>293.33333333333729</v>
      </c>
      <c r="S188" s="62">
        <f ca="1">AVERAGE(OFFSET($R$3,0,0,'Données projet'!$E$9+1,1))-AVERAGE(OFFSET($H$3,0,0,'Données projet'!$E$9+1,1))</f>
        <v>149.01553333688895</v>
      </c>
      <c r="T188" s="62">
        <f t="shared" si="142"/>
        <v>180.75293059562205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9.125712761770379E-23</v>
      </c>
      <c r="AC188" s="24">
        <f t="shared" si="163"/>
        <v>9.125712761770379E-23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-3.4106051316484809E-13</v>
      </c>
      <c r="AJ188" s="14">
        <f>AI188*VLOOKUP('Données projet'!$B$10,Paramètres!$A$1:$I$89,3,0)*VLOOKUP('Données projet'!$B$10,Paramètres!$A$1:$I$89,5,0)</f>
        <v>-2.5006556825246659E-13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296.15681058372093</v>
      </c>
      <c r="AO188" s="62">
        <f t="shared" si="144"/>
        <v>304.69148609083879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7.4197185097562693E-2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7.4197185097562693E-2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-1.1368683772161603E-13</v>
      </c>
      <c r="BE188" s="14">
        <f>BD188*VLOOKUP('Données projet'!$B$11,Paramètres!$A$1:$I$89,3,0)*VLOOKUP('Données projet'!$B$11,Paramètres!$A$1:$I$89,5,0)</f>
        <v>-6.2073013396002357E-14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198.95219623447554</v>
      </c>
      <c r="BJ188" s="62">
        <f t="shared" si="146"/>
        <v>299.68918988634471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0.3101870654318219</v>
      </c>
      <c r="BQ188" s="23">
        <f>EXP(-LN(2)/25)*BQ187+(1-EXP(-LN(2)/25))/(LN(2)/25)*Calculateur!BL188*Calculateur!BN188*VLOOKUP('Données projet'!$B$11,Paramètres!$A$1:$I$89,3,0)*0.475*44/12</f>
        <v>8.8679299936213873E-2</v>
      </c>
      <c r="BR188" s="23">
        <f>EXP(-LN(2)/2)*BR187+(1-EXP(-LN(2)/2))/(LN(2)/2)*BL188*BO188*VLOOKUP('Données projet'!$B$11,Paramètres!$A$1:$I$89,3,0)*0.475*44/12</f>
        <v>8.2672602541095475E-23</v>
      </c>
      <c r="BS188" s="24">
        <f t="shared" si="169"/>
        <v>0.39886636536803577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2">
        <f t="shared" si="140"/>
        <v>42.056160358234798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70">
        <f t="shared" si="110"/>
        <v>617.97081929059186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1.7053025658242404E-13</v>
      </c>
      <c r="O189" s="14">
        <f>N189*VLOOKUP('Données projet'!$B$9,Paramètres!$A$1:$I$89,3,0)*VLOOKUP('Données projet'!$B$9,Paramètres!$A$1:$I$89,5,0)</f>
        <v>1.4897523215040567E-13</v>
      </c>
      <c r="P189" s="14">
        <f t="shared" si="141"/>
        <v>2.136562777003313E-12</v>
      </c>
      <c r="Q189" s="22">
        <f t="shared" si="162"/>
        <v>3.9806453659427267E-12</v>
      </c>
      <c r="R189" s="62">
        <f t="shared" si="109"/>
        <v>293.33333333333729</v>
      </c>
      <c r="S189" s="62">
        <f ca="1">AVERAGE(OFFSET($R$3,0,0,'Données projet'!$E$9+1,1))-AVERAGE(OFFSET($H$3,0,0,'Données projet'!$E$9+1,1))</f>
        <v>149.01553333688895</v>
      </c>
      <c r="T189" s="62">
        <f t="shared" si="142"/>
        <v>180.75293059562205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6.4528533770084516E-23</v>
      </c>
      <c r="AC189" s="24">
        <f t="shared" si="163"/>
        <v>6.4528533770084516E-23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-3.4106051316484809E-13</v>
      </c>
      <c r="AJ189" s="14">
        <f>AI189*VLOOKUP('Données projet'!$B$10,Paramètres!$A$1:$I$89,3,0)*VLOOKUP('Données projet'!$B$10,Paramètres!$A$1:$I$89,5,0)</f>
        <v>-2.5006556825246659E-13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296.15681058372093</v>
      </c>
      <c r="AO189" s="62">
        <f t="shared" si="144"/>
        <v>304.69148609083879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7.216825916920945E-2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7.216825916920945E-2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-1.1368683772161603E-13</v>
      </c>
      <c r="BE189" s="14">
        <f>BD189*VLOOKUP('Données projet'!$B$11,Paramètres!$A$1:$I$89,3,0)*VLOOKUP('Données projet'!$B$11,Paramètres!$A$1:$I$89,5,0)</f>
        <v>-6.2073013396002357E-14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198.95219623447554</v>
      </c>
      <c r="BJ189" s="62">
        <f t="shared" si="146"/>
        <v>299.68918988634471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0.30410448627413228</v>
      </c>
      <c r="BQ189" s="23">
        <f>EXP(-LN(2)/25)*BQ188+(1-EXP(-LN(2)/25))/(LN(2)/25)*Calculateur!BL189*Calculateur!BN189*VLOOKUP('Données projet'!$B$11,Paramètres!$A$1:$I$89,3,0)*0.475*44/12</f>
        <v>8.6254359816016396E-2</v>
      </c>
      <c r="BR189" s="23">
        <f>EXP(-LN(2)/2)*BR188+(1-EXP(-LN(2)/2))/(LN(2)/2)*BL189*BO189*VLOOKUP('Données projet'!$B$11,Paramètres!$A$1:$I$89,3,0)*0.475*44/12</f>
        <v>5.845835787514881E-23</v>
      </c>
      <c r="BS189" s="24">
        <f t="shared" si="169"/>
        <v>0.3903588460901487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2">
        <f t="shared" si="140"/>
        <v>42.255887340755834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70">
        <f t="shared" si="110"/>
        <v>619.86736711848266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1.7053025658242404E-13</v>
      </c>
      <c r="O190" s="14">
        <f>N190*VLOOKUP('Données projet'!$B$9,Paramètres!$A$1:$I$89,3,0)*VLOOKUP('Données projet'!$B$9,Paramètres!$A$1:$I$89,5,0)</f>
        <v>1.4897523215040567E-13</v>
      </c>
      <c r="P190" s="14">
        <f t="shared" si="141"/>
        <v>2.136562777003313E-12</v>
      </c>
      <c r="Q190" s="22">
        <f t="shared" si="162"/>
        <v>3.9806453659427267E-12</v>
      </c>
      <c r="R190" s="62">
        <f t="shared" si="109"/>
        <v>293.33333333333729</v>
      </c>
      <c r="S190" s="62">
        <f ca="1">AVERAGE(OFFSET($R$3,0,0,'Données projet'!$E$9+1,1))-AVERAGE(OFFSET($H$3,0,0,'Données projet'!$E$9+1,1))</f>
        <v>149.01553333688895</v>
      </c>
      <c r="T190" s="62">
        <f t="shared" si="142"/>
        <v>180.75293059562205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4.5628563808851895E-23</v>
      </c>
      <c r="AC190" s="24">
        <f t="shared" si="163"/>
        <v>4.5628563808851895E-23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-3.4106051316484809E-13</v>
      </c>
      <c r="AJ190" s="14">
        <f>AI190*VLOOKUP('Données projet'!$B$10,Paramètres!$A$1:$I$89,3,0)*VLOOKUP('Données projet'!$B$10,Paramètres!$A$1:$I$89,5,0)</f>
        <v>-2.5006556825246659E-13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296.15681058372093</v>
      </c>
      <c r="AO190" s="62">
        <f t="shared" si="144"/>
        <v>304.69148609083879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7.0194814327063607E-2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7.0194814327063607E-2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-1.1368683772161603E-13</v>
      </c>
      <c r="BE190" s="14">
        <f>BD190*VLOOKUP('Données projet'!$B$11,Paramètres!$A$1:$I$89,3,0)*VLOOKUP('Données projet'!$B$11,Paramètres!$A$1:$I$89,5,0)</f>
        <v>-6.2073013396002357E-14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198.95219623447554</v>
      </c>
      <c r="BJ190" s="62">
        <f t="shared" si="146"/>
        <v>299.68918988634471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0.29814118278371798</v>
      </c>
      <c r="BQ190" s="23">
        <f>EXP(-LN(2)/25)*BQ189+(1-EXP(-LN(2)/25))/(LN(2)/25)*Calculateur!BL190*Calculateur!BN190*VLOOKUP('Données projet'!$B$11,Paramètres!$A$1:$I$89,3,0)*0.475*44/12</f>
        <v>8.3895729810927785E-2</v>
      </c>
      <c r="BR190" s="23">
        <f>EXP(-LN(2)/2)*BR189+(1-EXP(-LN(2)/2))/(LN(2)/2)*BL190*BO190*VLOOKUP('Données projet'!$B$11,Paramètres!$A$1:$I$89,3,0)*0.475*44/12</f>
        <v>4.1336301270547737E-23</v>
      </c>
      <c r="BS190" s="24">
        <f t="shared" si="169"/>
        <v>0.38203691259464578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2">
        <f t="shared" si="140"/>
        <v>42.455490039298816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70">
        <f t="shared" si="110"/>
        <v>621.7636984851116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1.7053025658242404E-13</v>
      </c>
      <c r="O191" s="14">
        <f>N191*VLOOKUP('Données projet'!$B$9,Paramètres!$A$1:$I$89,3,0)*VLOOKUP('Données projet'!$B$9,Paramètres!$A$1:$I$89,5,0)</f>
        <v>1.4897523215040567E-13</v>
      </c>
      <c r="P191" s="14">
        <f t="shared" si="141"/>
        <v>2.136562777003313E-12</v>
      </c>
      <c r="Q191" s="22">
        <f t="shared" si="162"/>
        <v>3.9806453659427267E-12</v>
      </c>
      <c r="R191" s="62">
        <f t="shared" si="109"/>
        <v>293.33333333333729</v>
      </c>
      <c r="S191" s="62">
        <f ca="1">AVERAGE(OFFSET($R$3,0,0,'Données projet'!$E$9+1,1))-AVERAGE(OFFSET($H$3,0,0,'Données projet'!$E$9+1,1))</f>
        <v>149.01553333688895</v>
      </c>
      <c r="T191" s="62">
        <f t="shared" si="142"/>
        <v>180.75293059562205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3.2264266885042258E-23</v>
      </c>
      <c r="AC191" s="24">
        <f t="shared" si="163"/>
        <v>3.2264266885042258E-23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-3.4106051316484809E-13</v>
      </c>
      <c r="AJ191" s="14">
        <f>AI191*VLOOKUP('Données projet'!$B$10,Paramètres!$A$1:$I$89,3,0)*VLOOKUP('Données projet'!$B$10,Paramètres!$A$1:$I$89,5,0)</f>
        <v>-2.5006556825246659E-13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296.15681058372093</v>
      </c>
      <c r="AO191" s="62">
        <f t="shared" si="144"/>
        <v>304.69148609083879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6.8275333437905206E-2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6.8275333437905206E-2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-1.1368683772161603E-13</v>
      </c>
      <c r="BE191" s="14">
        <f>BD191*VLOOKUP('Données projet'!$B$11,Paramètres!$A$1:$I$89,3,0)*VLOOKUP('Données projet'!$B$11,Paramètres!$A$1:$I$89,5,0)</f>
        <v>-6.2073013396002357E-14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198.95219623447554</v>
      </c>
      <c r="BJ191" s="62">
        <f t="shared" si="146"/>
        <v>299.68918988634471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0.29229481603749474</v>
      </c>
      <c r="BQ191" s="23">
        <f>EXP(-LN(2)/25)*BQ190+(1-EXP(-LN(2)/25))/(LN(2)/25)*Calculateur!BL191*Calculateur!BN191*VLOOKUP('Données projet'!$B$11,Paramètres!$A$1:$I$89,3,0)*0.475*44/12</f>
        <v>8.1601596667363274E-2</v>
      </c>
      <c r="BR191" s="23">
        <f>EXP(-LN(2)/2)*BR190+(1-EXP(-LN(2)/2))/(LN(2)/2)*BL191*BO191*VLOOKUP('Données projet'!$B$11,Paramètres!$A$1:$I$89,3,0)*0.475*44/12</f>
        <v>2.9229178937574405E-23</v>
      </c>
      <c r="BS191" s="24">
        <f t="shared" si="169"/>
        <v>0.37389641270485802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2">
        <f t="shared" si="140"/>
        <v>42.65496919167748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70">
        <f t="shared" si="110"/>
        <v>623.65981467550444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1.7053025658242404E-13</v>
      </c>
      <c r="O192" s="14">
        <f>N192*VLOOKUP('Données projet'!$B$9,Paramètres!$A$1:$I$89,3,0)*VLOOKUP('Données projet'!$B$9,Paramètres!$A$1:$I$89,5,0)</f>
        <v>1.4897523215040567E-13</v>
      </c>
      <c r="P192" s="14">
        <f t="shared" si="141"/>
        <v>2.136562777003313E-12</v>
      </c>
      <c r="Q192" s="22">
        <f t="shared" si="162"/>
        <v>3.9806453659427267E-12</v>
      </c>
      <c r="R192" s="62">
        <f t="shared" si="109"/>
        <v>293.33333333333729</v>
      </c>
      <c r="S192" s="62">
        <f ca="1">AVERAGE(OFFSET($R$3,0,0,'Données projet'!$E$9+1,1))-AVERAGE(OFFSET($H$3,0,0,'Données projet'!$E$9+1,1))</f>
        <v>149.01553333688895</v>
      </c>
      <c r="T192" s="62">
        <f t="shared" si="142"/>
        <v>180.75293059562205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2.2814281904425947E-23</v>
      </c>
      <c r="AC192" s="24">
        <f t="shared" si="163"/>
        <v>2.2814281904425947E-23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-3.4106051316484809E-13</v>
      </c>
      <c r="AJ192" s="14">
        <f>AI192*VLOOKUP('Données projet'!$B$10,Paramètres!$A$1:$I$89,3,0)*VLOOKUP('Données projet'!$B$10,Paramètres!$A$1:$I$89,5,0)</f>
        <v>-2.5006556825246659E-13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296.15681058372093</v>
      </c>
      <c r="AO192" s="62">
        <f t="shared" si="144"/>
        <v>304.69148609083879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6.6408340854601941E-2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6.6408340854601941E-2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-1.1368683772161603E-13</v>
      </c>
      <c r="BE192" s="14">
        <f>BD192*VLOOKUP('Données projet'!$B$11,Paramètres!$A$1:$I$89,3,0)*VLOOKUP('Données projet'!$B$11,Paramètres!$A$1:$I$89,5,0)</f>
        <v>-6.2073013396002357E-14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198.95219623447554</v>
      </c>
      <c r="BJ192" s="62">
        <f t="shared" si="146"/>
        <v>299.68918988634471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0.28656309297723337</v>
      </c>
      <c r="BQ192" s="23">
        <f>EXP(-LN(2)/25)*BQ191+(1-EXP(-LN(2)/25))/(LN(2)/25)*Calculateur!BL192*Calculateur!BN192*VLOOKUP('Données projet'!$B$11,Paramètres!$A$1:$I$89,3,0)*0.475*44/12</f>
        <v>7.9370196715252764E-2</v>
      </c>
      <c r="BR192" s="23">
        <f>EXP(-LN(2)/2)*BR191+(1-EXP(-LN(2)/2))/(LN(2)/2)*BL192*BO192*VLOOKUP('Données projet'!$B$11,Paramètres!$A$1:$I$89,3,0)*0.475*44/12</f>
        <v>2.0668150635273869E-23</v>
      </c>
      <c r="BS192" s="24">
        <f t="shared" si="169"/>
        <v>0.36593328969248612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2">
        <f t="shared" si="140"/>
        <v>42.8543255274462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70">
        <f t="shared" si="110"/>
        <v>625.55571696030165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1.7053025658242404E-13</v>
      </c>
      <c r="O193" s="14">
        <f>N193*VLOOKUP('Données projet'!$B$9,Paramètres!$A$1:$I$89,3,0)*VLOOKUP('Données projet'!$B$9,Paramètres!$A$1:$I$89,5,0)</f>
        <v>1.4897523215040567E-13</v>
      </c>
      <c r="P193" s="14">
        <f t="shared" si="141"/>
        <v>2.136562777003313E-12</v>
      </c>
      <c r="Q193" s="22">
        <f t="shared" si="162"/>
        <v>3.9806453659427267E-12</v>
      </c>
      <c r="R193" s="62">
        <f t="shared" si="109"/>
        <v>293.33333333333729</v>
      </c>
      <c r="S193" s="62">
        <f ca="1">AVERAGE(OFFSET($R$3,0,0,'Données projet'!$E$9+1,1))-AVERAGE(OFFSET($H$3,0,0,'Données projet'!$E$9+1,1))</f>
        <v>149.01553333688895</v>
      </c>
      <c r="T193" s="62">
        <f t="shared" si="142"/>
        <v>180.75293059562205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1.6132133442521129E-23</v>
      </c>
      <c r="AC193" s="24">
        <f t="shared" si="163"/>
        <v>1.6132133442521129E-23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-3.4106051316484809E-13</v>
      </c>
      <c r="AJ193" s="14">
        <f>AI193*VLOOKUP('Données projet'!$B$10,Paramètres!$A$1:$I$89,3,0)*VLOOKUP('Données projet'!$B$10,Paramètres!$A$1:$I$89,5,0)</f>
        <v>-2.5006556825246659E-13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296.15681058372093</v>
      </c>
      <c r="AO193" s="62">
        <f t="shared" si="144"/>
        <v>304.69148609083879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6.4592401281669987E-2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6.4592401281669987E-2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-1.1368683772161603E-13</v>
      </c>
      <c r="BE193" s="14">
        <f>BD193*VLOOKUP('Données projet'!$B$11,Paramètres!$A$1:$I$89,3,0)*VLOOKUP('Données projet'!$B$11,Paramètres!$A$1:$I$89,5,0)</f>
        <v>-6.2073013396002357E-14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198.95219623447554</v>
      </c>
      <c r="BJ193" s="62">
        <f t="shared" si="146"/>
        <v>299.68918988634471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0.28094376551017786</v>
      </c>
      <c r="BQ193" s="23">
        <f>EXP(-LN(2)/25)*BQ192+(1-EXP(-LN(2)/25))/(LN(2)/25)*Calculateur!BL193*Calculateur!BN193*VLOOKUP('Données projet'!$B$11,Paramètres!$A$1:$I$89,3,0)*0.475*44/12</f>
        <v>7.7199814512176931E-2</v>
      </c>
      <c r="BR193" s="23">
        <f>EXP(-LN(2)/2)*BR192+(1-EXP(-LN(2)/2))/(LN(2)/2)*BL193*BO193*VLOOKUP('Données projet'!$B$11,Paramètres!$A$1:$I$89,3,0)*0.475*44/12</f>
        <v>1.4614589468787203E-23</v>
      </c>
      <c r="BS193" s="24">
        <f t="shared" si="169"/>
        <v>0.3581435800223548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2">
        <f t="shared" si="140"/>
        <v>43.053559768035143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70">
        <f t="shared" si="110"/>
        <v>627.45140659599406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1.7053025658242404E-13</v>
      </c>
      <c r="O194" s="14">
        <f>N194*VLOOKUP('Données projet'!$B$9,Paramètres!$A$1:$I$89,3,0)*VLOOKUP('Données projet'!$B$9,Paramètres!$A$1:$I$89,5,0)</f>
        <v>1.4897523215040567E-13</v>
      </c>
      <c r="P194" s="14">
        <f t="shared" si="141"/>
        <v>2.136562777003313E-12</v>
      </c>
      <c r="Q194" s="22">
        <f t="shared" si="162"/>
        <v>3.9806453659427267E-12</v>
      </c>
      <c r="R194" s="62">
        <f t="shared" si="109"/>
        <v>293.33333333333729</v>
      </c>
      <c r="S194" s="62">
        <f ca="1">AVERAGE(OFFSET($R$3,0,0,'Données projet'!$E$9+1,1))-AVERAGE(OFFSET($H$3,0,0,'Données projet'!$E$9+1,1))</f>
        <v>149.01553333688895</v>
      </c>
      <c r="T194" s="62">
        <f t="shared" si="142"/>
        <v>180.75293059562205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1.1407140952212974E-23</v>
      </c>
      <c r="AC194" s="24">
        <f t="shared" si="163"/>
        <v>1.1407140952212974E-23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-3.4106051316484809E-13</v>
      </c>
      <c r="AJ194" s="14">
        <f>AI194*VLOOKUP('Données projet'!$B$10,Paramètres!$A$1:$I$89,3,0)*VLOOKUP('Données projet'!$B$10,Paramètres!$A$1:$I$89,5,0)</f>
        <v>-2.5006556825246659E-13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296.15681058372093</v>
      </c>
      <c r="AO194" s="62">
        <f t="shared" si="144"/>
        <v>304.69148609083879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6.282611867185596E-2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6.282611867185596E-2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-1.1368683772161603E-13</v>
      </c>
      <c r="BE194" s="14">
        <f>BD194*VLOOKUP('Données projet'!$B$11,Paramètres!$A$1:$I$89,3,0)*VLOOKUP('Données projet'!$B$11,Paramètres!$A$1:$I$89,5,0)</f>
        <v>-6.2073013396002357E-14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198.95219623447554</v>
      </c>
      <c r="BJ194" s="62">
        <f t="shared" si="146"/>
        <v>299.68918988634471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0.27543462962729998</v>
      </c>
      <c r="BQ194" s="23">
        <f>EXP(-LN(2)/25)*BQ193+(1-EXP(-LN(2)/25))/(LN(2)/25)*Calculateur!BL194*Calculateur!BN194*VLOOKUP('Données projet'!$B$11,Paramètres!$A$1:$I$89,3,0)*0.475*44/12</f>
        <v>7.5088781524579651E-2</v>
      </c>
      <c r="BR194" s="23">
        <f>EXP(-LN(2)/2)*BR193+(1-EXP(-LN(2)/2))/(LN(2)/2)*BL194*BO194*VLOOKUP('Données projet'!$B$11,Paramètres!$A$1:$I$89,3,0)*0.475*44/12</f>
        <v>1.0334075317636934E-23</v>
      </c>
      <c r="BS194" s="24">
        <f t="shared" si="169"/>
        <v>0.35052341115187963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2">
        <f t="shared" si="140"/>
        <v>43.252672626882983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70">
        <f t="shared" si="110"/>
        <v>629.34688482515401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1.7053025658242404E-13</v>
      </c>
      <c r="O195" s="14">
        <f>N195*VLOOKUP('Données projet'!$B$9,Paramètres!$A$1:$I$89,3,0)*VLOOKUP('Données projet'!$B$9,Paramètres!$A$1:$I$89,5,0)</f>
        <v>1.4897523215040567E-13</v>
      </c>
      <c r="P195" s="14">
        <f t="shared" si="141"/>
        <v>2.136562777003313E-12</v>
      </c>
      <c r="Q195" s="22">
        <f t="shared" si="162"/>
        <v>3.9806453659427267E-12</v>
      </c>
      <c r="R195" s="62">
        <f t="shared" ref="R195:R203" si="191">Q195+(I195+J195)*44/12</f>
        <v>293.33333333333729</v>
      </c>
      <c r="S195" s="62">
        <f ca="1">AVERAGE(OFFSET($R$3,0,0,'Données projet'!$E$9+1,1))-AVERAGE(OFFSET($H$3,0,0,'Données projet'!$E$9+1,1))</f>
        <v>149.01553333688895</v>
      </c>
      <c r="T195" s="62">
        <f t="shared" si="142"/>
        <v>180.75293059562205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8.0660667212605645E-24</v>
      </c>
      <c r="AC195" s="24">
        <f t="shared" si="163"/>
        <v>8.0660667212605645E-24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-3.4106051316484809E-13</v>
      </c>
      <c r="AJ195" s="14">
        <f>AI195*VLOOKUP('Données projet'!$B$10,Paramètres!$A$1:$I$89,3,0)*VLOOKUP('Données projet'!$B$10,Paramètres!$A$1:$I$89,5,0)</f>
        <v>-2.5006556825246659E-13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296.15681058372093</v>
      </c>
      <c r="AO195" s="62">
        <f t="shared" si="144"/>
        <v>304.69148609083879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6.1108135152892068E-2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6.1108135152892068E-2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-1.1368683772161603E-13</v>
      </c>
      <c r="BE195" s="14">
        <f>BD195*VLOOKUP('Données projet'!$B$11,Paramètres!$A$1:$I$89,3,0)*VLOOKUP('Données projet'!$B$11,Paramètres!$A$1:$I$89,5,0)</f>
        <v>-6.2073013396002357E-14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198.95219623447554</v>
      </c>
      <c r="BJ195" s="62">
        <f t="shared" si="146"/>
        <v>299.68918988634471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0.27003352453884422</v>
      </c>
      <c r="BQ195" s="23">
        <f>EXP(-LN(2)/25)*BQ194+(1-EXP(-LN(2)/25))/(LN(2)/25)*Calculateur!BL195*Calculateur!BN195*VLOOKUP('Données projet'!$B$11,Paramètres!$A$1:$I$89,3,0)*0.475*44/12</f>
        <v>7.3035474845042622E-2</v>
      </c>
      <c r="BR195" s="23">
        <f>EXP(-LN(2)/2)*BR194+(1-EXP(-LN(2)/2))/(LN(2)/2)*BL195*BO195*VLOOKUP('Données projet'!$B$11,Paramètres!$A$1:$I$89,3,0)*0.475*44/12</f>
        <v>7.3072947343936013E-24</v>
      </c>
      <c r="BS195" s="24">
        <f t="shared" si="169"/>
        <v>0.34306899938388685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2">
        <f t="shared" si="140"/>
        <v>43.451664809566452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70">
        <f t="shared" ref="H196:H203" si="192">(B196+E196+F196)*44/12+(C196+D196)*0.475*44/12</f>
        <v>631.24215287666095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1.7053025658242404E-13</v>
      </c>
      <c r="O196" s="14">
        <f>N196*VLOOKUP('Données projet'!$B$9,Paramètres!$A$1:$I$89,3,0)*VLOOKUP('Données projet'!$B$9,Paramètres!$A$1:$I$89,5,0)</f>
        <v>1.4897523215040567E-13</v>
      </c>
      <c r="P196" s="14">
        <f t="shared" si="141"/>
        <v>2.136562777003313E-12</v>
      </c>
      <c r="Q196" s="22">
        <f t="shared" si="162"/>
        <v>3.9806453659427267E-12</v>
      </c>
      <c r="R196" s="62">
        <f t="shared" si="191"/>
        <v>293.33333333333729</v>
      </c>
      <c r="S196" s="62">
        <f ca="1">AVERAGE(OFFSET($R$3,0,0,'Données projet'!$E$9+1,1))-AVERAGE(OFFSET($H$3,0,0,'Données projet'!$E$9+1,1))</f>
        <v>149.01553333688895</v>
      </c>
      <c r="T196" s="62">
        <f t="shared" si="142"/>
        <v>180.75293059562205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5.7035704761064869E-24</v>
      </c>
      <c r="AC196" s="24">
        <f t="shared" si="163"/>
        <v>5.7035704761064869E-24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-3.4106051316484809E-13</v>
      </c>
      <c r="AJ196" s="14">
        <f>AI196*VLOOKUP('Données projet'!$B$10,Paramètres!$A$1:$I$89,3,0)*VLOOKUP('Données projet'!$B$10,Paramètres!$A$1:$I$89,5,0)</f>
        <v>-2.5006556825246659E-13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296.15681058372093</v>
      </c>
      <c r="AO196" s="62">
        <f t="shared" si="144"/>
        <v>304.69148609083879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5.9437129983599069E-2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5.9437129983599069E-2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-1.1368683772161603E-13</v>
      </c>
      <c r="BE196" s="14">
        <f>BD196*VLOOKUP('Données projet'!$B$11,Paramètres!$A$1:$I$89,3,0)*VLOOKUP('Données projet'!$B$11,Paramètres!$A$1:$I$89,5,0)</f>
        <v>-6.2073013396002357E-14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198.95219623447554</v>
      </c>
      <c r="BJ196" s="62">
        <f t="shared" si="146"/>
        <v>299.68918988634471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0.26473833182682427</v>
      </c>
      <c r="BQ196" s="23">
        <f>EXP(-LN(2)/25)*BQ195+(1-EXP(-LN(2)/25))/(LN(2)/25)*Calculateur!BL196*Calculateur!BN196*VLOOKUP('Données projet'!$B$11,Paramètres!$A$1:$I$89,3,0)*0.475*44/12</f>
        <v>7.1038315944636235E-2</v>
      </c>
      <c r="BR196" s="23">
        <f>EXP(-LN(2)/2)*BR195+(1-EXP(-LN(2)/2))/(LN(2)/2)*BL196*BO196*VLOOKUP('Données projet'!$B$11,Paramètres!$A$1:$I$89,3,0)*0.475*44/12</f>
        <v>5.1670376588184672E-24</v>
      </c>
      <c r="BS196" s="24">
        <f t="shared" si="169"/>
        <v>0.33577664777146049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2">
        <f t="shared" ref="D197:D203" si="202">IFERROR(EXP(-1.0587+0.8836*LN(C197)+0.284),0)</f>
        <v>43.650537013927277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70">
        <f t="shared" si="192"/>
        <v>633.13721196592269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1.7053025658242404E-13</v>
      </c>
      <c r="O197" s="14">
        <f>N197*VLOOKUP('Données projet'!$B$9,Paramètres!$A$1:$I$89,3,0)*VLOOKUP('Données projet'!$B$9,Paramètres!$A$1:$I$89,5,0)</f>
        <v>1.4897523215040567E-13</v>
      </c>
      <c r="P197" s="14">
        <f t="shared" ref="P197:P203" si="203">EXP(-1.0587+0.8836*LN(O197)+0.284)</f>
        <v>2.136562777003313E-12</v>
      </c>
      <c r="Q197" s="22">
        <f t="shared" si="162"/>
        <v>3.9806453659427267E-12</v>
      </c>
      <c r="R197" s="62">
        <f t="shared" si="191"/>
        <v>293.33333333333729</v>
      </c>
      <c r="S197" s="62">
        <f ca="1">AVERAGE(OFFSET($R$3,0,0,'Données projet'!$E$9+1,1))-AVERAGE(OFFSET($H$3,0,0,'Données projet'!$E$9+1,1))</f>
        <v>149.01553333688895</v>
      </c>
      <c r="T197" s="62">
        <f t="shared" ref="T197:T203" si="204">$T$3</f>
        <v>180.75293059562205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4.0330333606302823E-24</v>
      </c>
      <c r="AC197" s="24">
        <f t="shared" si="163"/>
        <v>4.0330333606302823E-24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-3.4106051316484809E-13</v>
      </c>
      <c r="AJ197" s="14">
        <f>AI197*VLOOKUP('Données projet'!$B$10,Paramètres!$A$1:$I$89,3,0)*VLOOKUP('Données projet'!$B$10,Paramètres!$A$1:$I$89,5,0)</f>
        <v>-2.5006556825246659E-13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296.15681058372093</v>
      </c>
      <c r="AO197" s="62">
        <f t="shared" ref="AO197:AO203" si="205">$AO$3</f>
        <v>304.69148609083879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5.7811818538534732E-2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5.7811818538534732E-2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-1.1368683772161603E-13</v>
      </c>
      <c r="BE197" s="14">
        <f>BD197*VLOOKUP('Données projet'!$B$11,Paramètres!$A$1:$I$89,3,0)*VLOOKUP('Données projet'!$B$11,Paramètres!$A$1:$I$89,5,0)</f>
        <v>-6.2073013396002357E-14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198.95219623447554</v>
      </c>
      <c r="BJ197" s="62">
        <f t="shared" ref="BJ197:BJ203" si="206">$BJ$3</f>
        <v>299.68918988634471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0.25954697461413839</v>
      </c>
      <c r="BQ197" s="23">
        <f>EXP(-LN(2)/25)*BQ196+(1-EXP(-LN(2)/25))/(LN(2)/25)*Calculateur!BL197*Calculateur!BN197*VLOOKUP('Données projet'!$B$11,Paramètres!$A$1:$I$89,3,0)*0.475*44/12</f>
        <v>6.9095769459387488E-2</v>
      </c>
      <c r="BR197" s="23">
        <f>EXP(-LN(2)/2)*BR196+(1-EXP(-LN(2)/2))/(LN(2)/2)*BL197*BO197*VLOOKUP('Données projet'!$B$11,Paramètres!$A$1:$I$89,3,0)*0.475*44/12</f>
        <v>3.6536473671968006E-24</v>
      </c>
      <c r="BS197" s="24">
        <f t="shared" si="169"/>
        <v>0.32864274407352589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2">
        <f t="shared" si="202"/>
        <v>43.849289930196555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70">
        <f t="shared" si="192"/>
        <v>635.0320632950918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1.7053025658242404E-13</v>
      </c>
      <c r="O198" s="14">
        <f>N198*VLOOKUP('Données projet'!$B$9,Paramètres!$A$1:$I$89,3,0)*VLOOKUP('Données projet'!$B$9,Paramètres!$A$1:$I$89,5,0)</f>
        <v>1.4897523215040567E-13</v>
      </c>
      <c r="P198" s="14">
        <f t="shared" si="203"/>
        <v>2.136562777003313E-12</v>
      </c>
      <c r="Q198" s="22">
        <f t="shared" si="162"/>
        <v>3.9806453659427267E-12</v>
      </c>
      <c r="R198" s="62">
        <f t="shared" si="191"/>
        <v>293.33333333333729</v>
      </c>
      <c r="S198" s="62">
        <f ca="1">AVERAGE(OFFSET($R$3,0,0,'Données projet'!$E$9+1,1))-AVERAGE(OFFSET($H$3,0,0,'Données projet'!$E$9+1,1))</f>
        <v>149.01553333688895</v>
      </c>
      <c r="T198" s="62">
        <f t="shared" si="204"/>
        <v>180.75293059562205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2.8517852380532434E-24</v>
      </c>
      <c r="AC198" s="24">
        <f t="shared" si="163"/>
        <v>2.8517852380532434E-24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-3.4106051316484809E-13</v>
      </c>
      <c r="AJ198" s="14">
        <f>AI198*VLOOKUP('Données projet'!$B$10,Paramètres!$A$1:$I$89,3,0)*VLOOKUP('Données projet'!$B$10,Paramètres!$A$1:$I$89,5,0)</f>
        <v>-2.5006556825246659E-13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296.15681058372093</v>
      </c>
      <c r="AO198" s="62">
        <f t="shared" si="205"/>
        <v>304.69148609083879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5.6230951320407091E-2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5.6230951320407091E-2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-1.1368683772161603E-13</v>
      </c>
      <c r="BE198" s="14">
        <f>BD198*VLOOKUP('Données projet'!$B$11,Paramètres!$A$1:$I$89,3,0)*VLOOKUP('Données projet'!$B$11,Paramètres!$A$1:$I$89,5,0)</f>
        <v>-6.2073013396002357E-14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198.95219623447554</v>
      </c>
      <c r="BJ198" s="62">
        <f t="shared" si="206"/>
        <v>299.68918988634471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0.25445741674997802</v>
      </c>
      <c r="BQ198" s="23">
        <f>EXP(-LN(2)/25)*BQ197+(1-EXP(-LN(2)/25))/(LN(2)/25)*Calculateur!BL198*Calculateur!BN198*VLOOKUP('Données projet'!$B$11,Paramètres!$A$1:$I$89,3,0)*0.475*44/12</f>
        <v>6.7206342009931946E-2</v>
      </c>
      <c r="BR198" s="23">
        <f>EXP(-LN(2)/2)*BR197+(1-EXP(-LN(2)/2))/(LN(2)/2)*BL198*BO198*VLOOKUP('Données projet'!$B$11,Paramètres!$A$1:$I$89,3,0)*0.475*44/12</f>
        <v>2.5835188294092336E-24</v>
      </c>
      <c r="BS198" s="24">
        <f t="shared" si="169"/>
        <v>0.32166375875990993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2">
        <f t="shared" si="202"/>
        <v>44.047924241116036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70">
        <f t="shared" si="192"/>
        <v>636.92670805327657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1.7053025658242404E-13</v>
      </c>
      <c r="O199" s="14">
        <f>N199*VLOOKUP('Données projet'!$B$9,Paramètres!$A$1:$I$89,3,0)*VLOOKUP('Données projet'!$B$9,Paramètres!$A$1:$I$89,5,0)</f>
        <v>1.4897523215040567E-13</v>
      </c>
      <c r="P199" s="14">
        <f t="shared" si="203"/>
        <v>2.136562777003313E-12</v>
      </c>
      <c r="Q199" s="22">
        <f t="shared" si="162"/>
        <v>3.9806453659427267E-12</v>
      </c>
      <c r="R199" s="62">
        <f t="shared" si="191"/>
        <v>293.33333333333729</v>
      </c>
      <c r="S199" s="62">
        <f ca="1">AVERAGE(OFFSET($R$3,0,0,'Données projet'!$E$9+1,1))-AVERAGE(OFFSET($H$3,0,0,'Données projet'!$E$9+1,1))</f>
        <v>149.01553333688895</v>
      </c>
      <c r="T199" s="62">
        <f t="shared" si="204"/>
        <v>180.75293059562205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2.0165166803151411E-24</v>
      </c>
      <c r="AC199" s="24">
        <f t="shared" si="163"/>
        <v>2.0165166803151411E-24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-3.4106051316484809E-13</v>
      </c>
      <c r="AJ199" s="14">
        <f>AI199*VLOOKUP('Données projet'!$B$10,Paramètres!$A$1:$I$89,3,0)*VLOOKUP('Données projet'!$B$10,Paramètres!$A$1:$I$89,5,0)</f>
        <v>-2.5006556825246659E-13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296.15681058372093</v>
      </c>
      <c r="AO199" s="62">
        <f t="shared" si="205"/>
        <v>304.69148609083879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5.469331299949335E-2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5.469331299949335E-2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-1.1368683772161603E-13</v>
      </c>
      <c r="BE199" s="14">
        <f>BD199*VLOOKUP('Données projet'!$B$11,Paramètres!$A$1:$I$89,3,0)*VLOOKUP('Données projet'!$B$11,Paramètres!$A$1:$I$89,5,0)</f>
        <v>-6.2073013396002357E-14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198.95219623447554</v>
      </c>
      <c r="BJ199" s="62">
        <f t="shared" si="206"/>
        <v>299.68918988634471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0.24946766201121007</v>
      </c>
      <c r="BQ199" s="23">
        <f>EXP(-LN(2)/25)*BQ198+(1-EXP(-LN(2)/25))/(LN(2)/25)*Calculateur!BL199*Calculateur!BN199*VLOOKUP('Données projet'!$B$11,Paramètres!$A$1:$I$89,3,0)*0.475*44/12</f>
        <v>6.536858105344244E-2</v>
      </c>
      <c r="BR199" s="23">
        <f>EXP(-LN(2)/2)*BR198+(1-EXP(-LN(2)/2))/(LN(2)/2)*BL199*BO199*VLOOKUP('Données projet'!$B$11,Paramètres!$A$1:$I$89,3,0)*0.475*44/12</f>
        <v>1.8268236835984003E-24</v>
      </c>
      <c r="BS199" s="24">
        <f t="shared" si="169"/>
        <v>0.31483624306465252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2">
        <f t="shared" si="202"/>
        <v>44.246440622057428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70">
        <f t="shared" si="192"/>
        <v>638.82114741674945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1.7053025658242404E-13</v>
      </c>
      <c r="O200" s="14">
        <f>N200*VLOOKUP('Données projet'!$B$9,Paramètres!$A$1:$I$89,3,0)*VLOOKUP('Données projet'!$B$9,Paramètres!$A$1:$I$89,5,0)</f>
        <v>1.4897523215040567E-13</v>
      </c>
      <c r="P200" s="14">
        <f t="shared" si="203"/>
        <v>2.136562777003313E-12</v>
      </c>
      <c r="Q200" s="22">
        <f t="shared" si="162"/>
        <v>3.9806453659427267E-12</v>
      </c>
      <c r="R200" s="62">
        <f t="shared" si="191"/>
        <v>293.33333333333729</v>
      </c>
      <c r="S200" s="62">
        <f ca="1">AVERAGE(OFFSET($R$3,0,0,'Données projet'!$E$9+1,1))-AVERAGE(OFFSET($H$3,0,0,'Données projet'!$E$9+1,1))</f>
        <v>149.01553333688895</v>
      </c>
      <c r="T200" s="62">
        <f t="shared" si="204"/>
        <v>180.75293059562205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1.4258926190266217E-24</v>
      </c>
      <c r="AC200" s="24">
        <f t="shared" si="163"/>
        <v>1.4258926190266217E-24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-3.4106051316484809E-13</v>
      </c>
      <c r="AJ200" s="14">
        <f>AI200*VLOOKUP('Données projet'!$B$10,Paramètres!$A$1:$I$89,3,0)*VLOOKUP('Données projet'!$B$10,Paramètres!$A$1:$I$89,5,0)</f>
        <v>-2.5006556825246659E-13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296.15681058372093</v>
      </c>
      <c r="AO200" s="62">
        <f t="shared" si="205"/>
        <v>304.69148609083879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5.3197721479325874E-2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5.3197721479325874E-2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-1.1368683772161603E-13</v>
      </c>
      <c r="BE200" s="14">
        <f>BD200*VLOOKUP('Données projet'!$B$11,Paramètres!$A$1:$I$89,3,0)*VLOOKUP('Données projet'!$B$11,Paramètres!$A$1:$I$89,5,0)</f>
        <v>-6.2073013396002357E-14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198.95219623447554</v>
      </c>
      <c r="BJ200" s="62">
        <f t="shared" si="206"/>
        <v>299.68918988634471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0.2445757533194195</v>
      </c>
      <c r="BQ200" s="23">
        <f>EXP(-LN(2)/25)*BQ199+(1-EXP(-LN(2)/25))/(LN(2)/25)*Calculateur!BL200*Calculateur!BN200*VLOOKUP('Données projet'!$B$11,Paramètres!$A$1:$I$89,3,0)*0.475*44/12</f>
        <v>6.3581073766951782E-2</v>
      </c>
      <c r="BR200" s="23">
        <f>EXP(-LN(2)/2)*BR199+(1-EXP(-LN(2)/2))/(LN(2)/2)*BL200*BO200*VLOOKUP('Données projet'!$B$11,Paramètres!$A$1:$I$89,3,0)*0.475*44/12</f>
        <v>1.2917594147046168E-24</v>
      </c>
      <c r="BS200" s="24">
        <f t="shared" si="169"/>
        <v>0.30815682708637127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2">
        <f t="shared" si="202"/>
        <v>44.44483974113885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70">
        <f t="shared" si="192"/>
        <v>640.71538254914947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1.7053025658242404E-13</v>
      </c>
      <c r="O201" s="14">
        <f>N201*VLOOKUP('Données projet'!$B$9,Paramètres!$A$1:$I$89,3,0)*VLOOKUP('Données projet'!$B$9,Paramètres!$A$1:$I$89,5,0)</f>
        <v>1.4897523215040567E-13</v>
      </c>
      <c r="P201" s="14">
        <f t="shared" si="203"/>
        <v>2.136562777003313E-12</v>
      </c>
      <c r="Q201" s="22">
        <f t="shared" si="162"/>
        <v>3.9806453659427267E-12</v>
      </c>
      <c r="R201" s="62">
        <f t="shared" si="191"/>
        <v>293.33333333333729</v>
      </c>
      <c r="S201" s="62">
        <f ca="1">AVERAGE(OFFSET($R$3,0,0,'Données projet'!$E$9+1,1))-AVERAGE(OFFSET($H$3,0,0,'Données projet'!$E$9+1,1))</f>
        <v>149.01553333688895</v>
      </c>
      <c r="T201" s="62">
        <f t="shared" si="204"/>
        <v>180.75293059562205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1.0082583401575706E-24</v>
      </c>
      <c r="AC201" s="24">
        <f t="shared" si="163"/>
        <v>1.0082583401575706E-24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-3.4106051316484809E-13</v>
      </c>
      <c r="AJ201" s="14">
        <f>AI201*VLOOKUP('Données projet'!$B$10,Paramètres!$A$1:$I$89,3,0)*VLOOKUP('Données projet'!$B$10,Paramètres!$A$1:$I$89,5,0)</f>
        <v>-2.5006556825246659E-13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296.15681058372093</v>
      </c>
      <c r="AO201" s="62">
        <f t="shared" si="205"/>
        <v>304.69148609083879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5.174302698792712E-2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5.174302698792712E-2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-1.1368683772161603E-13</v>
      </c>
      <c r="BE201" s="14">
        <f>BD201*VLOOKUP('Données projet'!$B$11,Paramètres!$A$1:$I$89,3,0)*VLOOKUP('Données projet'!$B$11,Paramètres!$A$1:$I$89,5,0)</f>
        <v>-6.2073013396002357E-14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198.95219623447554</v>
      </c>
      <c r="BJ201" s="62">
        <f t="shared" si="206"/>
        <v>299.68918988634471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0.23977977197330524</v>
      </c>
      <c r="BQ201" s="23">
        <f>EXP(-LN(2)/25)*BQ200+(1-EXP(-LN(2)/25))/(LN(2)/25)*Calculateur!BL201*Calculateur!BN201*VLOOKUP('Données projet'!$B$11,Paramètres!$A$1:$I$89,3,0)*0.475*44/12</f>
        <v>6.1842445961211134E-2</v>
      </c>
      <c r="BR201" s="23">
        <f>EXP(-LN(2)/2)*BR200+(1-EXP(-LN(2)/2))/(LN(2)/2)*BL201*BO201*VLOOKUP('Données projet'!$B$11,Paramètres!$A$1:$I$89,3,0)*0.475*44/12</f>
        <v>9.1341184179920016E-25</v>
      </c>
      <c r="BS201" s="24">
        <f t="shared" si="169"/>
        <v>0.30162221793451638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2">
        <f t="shared" si="202"/>
        <v>44.643122259339037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70">
        <f t="shared" si="192"/>
        <v>642.60941460168146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1.7053025658242404E-13</v>
      </c>
      <c r="O202" s="14">
        <f>N202*VLOOKUP('Données projet'!$B$9,Paramètres!$A$1:$I$89,3,0)*VLOOKUP('Données projet'!$B$9,Paramètres!$A$1:$I$89,5,0)</f>
        <v>1.4897523215040567E-13</v>
      </c>
      <c r="P202" s="14">
        <f t="shared" si="203"/>
        <v>2.136562777003313E-12</v>
      </c>
      <c r="Q202" s="22">
        <f t="shared" si="162"/>
        <v>3.9806453659427267E-12</v>
      </c>
      <c r="R202" s="62">
        <f t="shared" si="191"/>
        <v>293.33333333333729</v>
      </c>
      <c r="S202" s="62">
        <f ca="1">AVERAGE(OFFSET($R$3,0,0,'Données projet'!$E$9+1,1))-AVERAGE(OFFSET($H$3,0,0,'Données projet'!$E$9+1,1))</f>
        <v>149.01553333688895</v>
      </c>
      <c r="T202" s="62">
        <f t="shared" si="204"/>
        <v>180.75293059562205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7.1294630951331086E-25</v>
      </c>
      <c r="AC202" s="24">
        <f t="shared" si="163"/>
        <v>7.1294630951331086E-25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-3.4106051316484809E-13</v>
      </c>
      <c r="AJ202" s="14">
        <f>AI202*VLOOKUP('Données projet'!$B$10,Paramètres!$A$1:$I$89,3,0)*VLOOKUP('Données projet'!$B$10,Paramètres!$A$1:$I$89,5,0)</f>
        <v>-2.5006556825246659E-13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296.15681058372093</v>
      </c>
      <c r="AO202" s="62">
        <f t="shared" si="205"/>
        <v>304.69148609083879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5.0328111193894721E-2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5.0328111193894721E-2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-1.1368683772161603E-13</v>
      </c>
      <c r="BE202" s="14">
        <f>BD202*VLOOKUP('Données projet'!$B$11,Paramètres!$A$1:$I$89,3,0)*VLOOKUP('Données projet'!$B$11,Paramètres!$A$1:$I$89,5,0)</f>
        <v>-6.2073013396002357E-14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198.95219623447554</v>
      </c>
      <c r="BJ202" s="62">
        <f t="shared" si="206"/>
        <v>299.68918988634471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0.23507783689612852</v>
      </c>
      <c r="BQ202" s="23">
        <f>EXP(-LN(2)/25)*BQ201+(1-EXP(-LN(2)/25))/(LN(2)/25)*Calculateur!BL202*Calculateur!BN202*VLOOKUP('Données projet'!$B$11,Paramètres!$A$1:$I$89,3,0)*0.475*44/12</f>
        <v>6.0151361024248923E-2</v>
      </c>
      <c r="BR202" s="23">
        <f>EXP(-LN(2)/2)*BR201+(1-EXP(-LN(2)/2))/(LN(2)/2)*BL202*BO202*VLOOKUP('Données projet'!$B$11,Paramètres!$A$1:$I$89,3,0)*0.475*44/12</f>
        <v>6.458797073523084E-25</v>
      </c>
      <c r="BS202" s="24">
        <f t="shared" si="169"/>
        <v>0.29522919792037744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2">
        <f t="shared" si="202"/>
        <v>44.841288830609059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70">
        <f t="shared" si="192"/>
        <v>644.5032447133101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1.7053025658242404E-13</v>
      </c>
      <c r="O203" s="14">
        <f>N203*VLOOKUP('Données projet'!$B$9,Paramètres!$A$1:$I$89,3,0)*VLOOKUP('Données projet'!$B$9,Paramètres!$A$1:$I$89,5,0)</f>
        <v>1.4897523215040567E-13</v>
      </c>
      <c r="P203" s="14">
        <f t="shared" si="203"/>
        <v>2.136562777003313E-12</v>
      </c>
      <c r="Q203" s="22">
        <f t="shared" si="162"/>
        <v>3.9806453659427267E-12</v>
      </c>
      <c r="R203" s="62">
        <f t="shared" si="191"/>
        <v>293.33333333333729</v>
      </c>
      <c r="S203" s="62">
        <f ca="1">AVERAGE(OFFSET($R$3,0,0,'Données projet'!$E$9+1,1))-AVERAGE(OFFSET($H$3,0,0,'Données projet'!$E$9+1,1))</f>
        <v>149.01553333688895</v>
      </c>
      <c r="T203" s="62">
        <f t="shared" si="204"/>
        <v>180.75293059562205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5.0412917007878528E-25</v>
      </c>
      <c r="AC203" s="24">
        <f t="shared" si="163"/>
        <v>5.0412917007878528E-25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-3.4106051316484809E-13</v>
      </c>
      <c r="AJ203" s="14">
        <f>AI203*VLOOKUP('Données projet'!$B$10,Paramètres!$A$1:$I$89,3,0)*VLOOKUP('Données projet'!$B$10,Paramètres!$A$1:$I$89,5,0)</f>
        <v>-2.5006556825246659E-13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296.15681058372093</v>
      </c>
      <c r="AO203" s="62">
        <f t="shared" si="205"/>
        <v>304.69148609083879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4.8951886346657328E-2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4.8951886346657328E-2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-1.1368683772161603E-13</v>
      </c>
      <c r="BE203" s="14">
        <f>BD203*VLOOKUP('Données projet'!$B$11,Paramètres!$A$1:$I$89,3,0)*VLOOKUP('Données projet'!$B$11,Paramètres!$A$1:$I$89,5,0)</f>
        <v>-6.2073013396002357E-14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198.95219623447554</v>
      </c>
      <c r="BJ203" s="62">
        <f t="shared" si="206"/>
        <v>299.68918988634471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0.23046810389791803</v>
      </c>
      <c r="BQ203" s="23">
        <f>EXP(-LN(2)/25)*BQ202+(1-EXP(-LN(2)/25))/(LN(2)/25)*Calculateur!BL203*Calculateur!BN203*VLOOKUP('Données projet'!$B$11,Paramètres!$A$1:$I$89,3,0)*0.475*44/12</f>
        <v>5.8506518893818235E-2</v>
      </c>
      <c r="BR203" s="23">
        <f>EXP(-LN(2)/2)*BR202+(1-EXP(-LN(2)/2))/(LN(2)/2)*BL203*BO203*VLOOKUP('Données projet'!$B$11,Paramètres!$A$1:$I$89,3,0)*0.475*44/12</f>
        <v>4.5670592089960008E-25</v>
      </c>
      <c r="BS203" s="24">
        <f t="shared" si="169"/>
        <v>0.28897462279173625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1.2240347367580502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1.3423796509621049</v>
      </c>
      <c r="BA205" s="88">
        <f>EXP(LN('Données projet'!B88)/'Données projet'!A88)</f>
        <v>1.5180683844287584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I28" sqref="I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chêne rouge d'amérique</v>
      </c>
      <c r="B6" s="155">
        <f>'Données projet'!D9</f>
        <v>0.36963000000000007</v>
      </c>
      <c r="C6" s="156">
        <f ca="1">IF(OR('Données projet'!B9="",'Données projet'!C9="",'Données projet'!C9=0%),0,Calculateur!S3)</f>
        <v>149.01553333688895</v>
      </c>
      <c r="D6" s="156">
        <f>IF(OR('Données projet'!B9="",'Données projet'!C9="",'Données projet'!C9=0%),0,Calculateur!T3)</f>
        <v>180.75293059562205</v>
      </c>
      <c r="E6" s="156">
        <f ca="1">MIN(C6,D6)</f>
        <v>149.01553333688895</v>
      </c>
      <c r="F6" s="156">
        <f ca="1">E6*B6</f>
        <v>55.080611587314273</v>
      </c>
      <c r="G6" s="156">
        <f ca="1">F6*(100%-'Données projet'!$C$24)*(100%-'Données projet'!$C$25)*(100%-'Données projet'!$C$26)*(100%-'Données projet'!$C$27)</f>
        <v>49.572550428582844</v>
      </c>
      <c r="H6" s="157">
        <f>IF(OR('Données projet'!B9="",'Données projet'!C9="",'Données projet'!C9=0%),0,AVERAGE(Calculateur!$AC$3:$AC$33)*B6)</f>
        <v>0.9150396506300551</v>
      </c>
      <c r="I6" s="158">
        <f>H6*(100%-'Données projet'!$C$24)*(100%-'Données projet'!$C$25)*(100%-'Données projet'!$C$26)*(100%-'Données projet'!$C$27)</f>
        <v>0.82353568556704959</v>
      </c>
      <c r="J6" s="159">
        <f>IF(OR('Données projet'!B9="",'Données projet'!C9="",'Données projet'!C9=0%),0,SUM(Calculateur!$V$3:$V$33)*VLOOKUP('Données projet'!$B$9,Paramètres!$A$1:$I$89,9,0)*B6)</f>
        <v>4.0659300000000007</v>
      </c>
      <c r="K6" s="160">
        <f>J6*(100%-'Données projet'!$C$24)*(100%-'Données projet'!$C$25)*(100%-'Données projet'!$C$26)*(100%-'Données projet'!$C$27)</f>
        <v>3.6593370000000007</v>
      </c>
      <c r="L6" s="161">
        <f ca="1">G6+I6+K6</f>
        <v>54.055423114149896</v>
      </c>
      <c r="M6" s="25">
        <f ca="1">L6/B6</f>
        <v>146.24198012647753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Châtaignier</v>
      </c>
      <c r="B7" s="163">
        <f>'Données projet'!D10</f>
        <v>0.36963000000000007</v>
      </c>
      <c r="C7" s="156">
        <f ca="1">IF(OR('Données projet'!B10="",'Données projet'!C10="",'Données projet'!C10=0%),0,Calculateur!AN3)</f>
        <v>296.15681058372093</v>
      </c>
      <c r="D7" s="156">
        <f>IF(OR('Données projet'!B10="",'Données projet'!C10="",'Données projet'!C10=0%),0,Calculateur!AO3)</f>
        <v>304.69148609083879</v>
      </c>
      <c r="E7" s="156">
        <f t="shared" ref="E7:E15" ca="1" si="0">MIN(C7,D7)</f>
        <v>296.15681058372093</v>
      </c>
      <c r="F7" s="156">
        <f t="shared" ref="F7:F15" ca="1" si="1">E7*B7</f>
        <v>109.46844189606078</v>
      </c>
      <c r="G7" s="156">
        <f ca="1">F7*(100%-'Données projet'!$C$24)*(100%-'Données projet'!$C$25)*(100%-'Données projet'!$C$26)*(100%-'Données projet'!$C$27)</f>
        <v>98.521597706454699</v>
      </c>
      <c r="H7" s="164">
        <f>IF(OR('Données projet'!B10="",'Données projet'!C10="",'Données projet'!C10=0%),0,AVERAGE(Calculateur!$AX$3:$AX$33)*B7)</f>
        <v>0.22964015271763474</v>
      </c>
      <c r="I7" s="158">
        <f>H7*(100%-'Données projet'!$C$24)*(100%-'Données projet'!$C$25)*(100%-'Données projet'!$C$26)*(100%-'Données projet'!$C$27)</f>
        <v>0.20667613744587127</v>
      </c>
      <c r="J7" s="159">
        <f>IF(OR('Données projet'!B10="",'Données projet'!C10="",'Données projet'!C10=0%),0,SUM(Calculateur!$AQ$3:$AQ$33)*VLOOKUP('Données projet'!$B$10,Paramètres!$A$1:$I$89,9,0)*B7)</f>
        <v>16.171312500000003</v>
      </c>
      <c r="K7" s="160">
        <f>J7*(100%-'Données projet'!$C$24)*(100%-'Données projet'!$C$25)*(100%-'Données projet'!$C$26)*(100%-'Données projet'!$C$27)</f>
        <v>14.554181250000003</v>
      </c>
      <c r="L7" s="161">
        <f t="shared" ref="L7:L15" ca="1" si="2">G7+I7+K7</f>
        <v>113.28245509390057</v>
      </c>
      <c r="M7" s="25">
        <f ca="1">L7/B7</f>
        <v>306.47527282390644</v>
      </c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>Mélèze hybride</v>
      </c>
      <c r="B8" s="163">
        <f>'Données projet'!D11</f>
        <v>0.36963000000000007</v>
      </c>
      <c r="C8" s="156">
        <f ca="1">IF(OR('Données projet'!B11="",'Données projet'!C11="",'Données projet'!C11=0%),0,Calculateur!BI3)</f>
        <v>198.95219623447554</v>
      </c>
      <c r="D8" s="156">
        <f>IF(OR('Données projet'!B11="",'Données projet'!C11="",'Données projet'!C11=0%),0,Calculateur!BJ3)</f>
        <v>299.68918988634471</v>
      </c>
      <c r="E8" s="156">
        <f t="shared" ca="1" si="0"/>
        <v>198.95219623447554</v>
      </c>
      <c r="F8" s="156">
        <f t="shared" ca="1" si="1"/>
        <v>73.538700294149209</v>
      </c>
      <c r="G8" s="156">
        <f ca="1">F8*(100%-'Données projet'!$C$24)*(100%-'Données projet'!$C$25)*(100%-'Données projet'!$C$26)*(100%-'Données projet'!$C$27)</f>
        <v>66.184830264734288</v>
      </c>
      <c r="H8" s="164">
        <f>IF(OR('Données projet'!B11="",'Données projet'!C11="",'Données projet'!C11=0%),0,AVERAGE(Calculateur!$BS$3:$BS$33)*B8)</f>
        <v>3.9737898254552984</v>
      </c>
      <c r="I8" s="158">
        <f>H8*(100%-'Données projet'!$C$24)*(100%-'Données projet'!$C$25)*(100%-'Données projet'!$C$26)*(100%-'Données projet'!$C$27)</f>
        <v>3.5764108429097687</v>
      </c>
      <c r="J8" s="159">
        <f>IF(OR('Données projet'!B11="",'Données projet'!C11="",'Données projet'!C11=0%),0,SUM(Calculateur!$BL$3:$BL$33)*VLOOKUP('Données projet'!$B$11,Paramètres!$A$1:$I$89,9,0)*B8)</f>
        <v>29.721948300000005</v>
      </c>
      <c r="K8" s="160">
        <f>J8*(100%-'Données projet'!$C$24)*(100%-'Données projet'!$C$25)*(100%-'Données projet'!$C$26)*(100%-'Données projet'!$C$27)</f>
        <v>26.749753470000005</v>
      </c>
      <c r="L8" s="161">
        <f t="shared" ca="1" si="2"/>
        <v>96.510994577644055</v>
      </c>
      <c r="M8" s="25">
        <f ca="1">L8/B8</f>
        <v>261.10162751303744</v>
      </c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238.08775377752426</v>
      </c>
      <c r="G16" s="175">
        <f t="shared" ca="1" si="3"/>
        <v>214.2789783997718</v>
      </c>
      <c r="H16" s="176">
        <f t="shared" si="3"/>
        <v>5.1184696288029885</v>
      </c>
      <c r="I16" s="176">
        <f t="shared" si="3"/>
        <v>4.6066226659226892</v>
      </c>
      <c r="J16" s="177">
        <f t="shared" si="3"/>
        <v>49.959190800000009</v>
      </c>
      <c r="K16" s="177">
        <f t="shared" si="3"/>
        <v>44.963271720000009</v>
      </c>
      <c r="L16" s="178">
        <f t="shared" ca="1" si="3"/>
        <v>263.84887278569454</v>
      </c>
      <c r="M16" s="25">
        <f ca="1">L16/1.41</f>
        <v>187.12686013169827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chêne rouge d'amérique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Châtaignier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>Mélèze hybride</v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B1" zoomScale="90" zoomScaleNormal="90" workbookViewId="0">
      <selection activeCell="P22" sqref="P22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chêne rouge d'amérique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1077.829862093015</v>
      </c>
      <c r="U10" s="190">
        <f>'Données projet'!D9</f>
        <v>0.36963000000000007</v>
      </c>
      <c r="V10" s="189">
        <f>U10*T10</f>
        <v>398.39825192544123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Châtaignier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2657.2149072850334</v>
      </c>
      <c r="U11" s="190">
        <f>'Données projet'!D10</f>
        <v>0.36963000000000007</v>
      </c>
      <c r="V11" s="189">
        <f t="shared" ref="V11" si="0">U11*T11</f>
        <v>982.18634617976704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>Mélèze hybride</v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5776.9394821521073</v>
      </c>
      <c r="U12" s="190">
        <f>'Données projet'!D11</f>
        <v>0.36963000000000007</v>
      </c>
      <c r="V12" s="189">
        <f t="shared" ref="V12:V19" si="1">U12*T12</f>
        <v>2135.3301407878839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chêne rouge d'amérique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>
        <v>40</v>
      </c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40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>
        <v>20</v>
      </c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800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>
        <v>0</v>
      </c>
      <c r="I20" s="204">
        <v>2530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897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>
        <v>2</v>
      </c>
      <c r="I22" s="204">
        <v>907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20</v>
      </c>
      <c r="B23" s="193">
        <f>'Données projet'!D36</f>
        <v>4</v>
      </c>
      <c r="C23" s="206">
        <v>10</v>
      </c>
      <c r="D23" s="194">
        <f>B23*C23</f>
        <v>40</v>
      </c>
      <c r="E23" s="206"/>
      <c r="F23" s="261"/>
      <c r="H23" s="203">
        <v>3</v>
      </c>
      <c r="I23" s="204">
        <v>942</v>
      </c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-3088.8633292775994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25</v>
      </c>
      <c r="B24" s="193">
        <f>'Données projet'!D37</f>
        <v>20</v>
      </c>
      <c r="C24" s="206">
        <v>10</v>
      </c>
      <c r="D24" s="194">
        <f t="shared" ref="D24:D42" si="2">B24*C24</f>
        <v>200</v>
      </c>
      <c r="E24" s="206"/>
      <c r="F24" s="264"/>
      <c r="H24" s="203">
        <v>4</v>
      </c>
      <c r="I24" s="204">
        <v>552</v>
      </c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152.67268656562015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30</v>
      </c>
      <c r="B25" s="193">
        <f>'Données projet'!D38</f>
        <v>20</v>
      </c>
      <c r="C25" s="206">
        <v>10</v>
      </c>
      <c r="D25" s="194">
        <f t="shared" si="2"/>
        <v>200</v>
      </c>
      <c r="E25" s="206"/>
      <c r="F25" s="264"/>
      <c r="G25" s="1"/>
      <c r="H25" s="203">
        <v>5</v>
      </c>
      <c r="I25" s="204">
        <v>552</v>
      </c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-3241.5360158432195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35</v>
      </c>
      <c r="B26" s="193">
        <f>'Données projet'!D39</f>
        <v>20</v>
      </c>
      <c r="C26" s="206">
        <v>10</v>
      </c>
      <c r="D26" s="194">
        <f t="shared" si="2"/>
        <v>200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est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40</v>
      </c>
      <c r="B27" s="193">
        <f>'Données projet'!D40</f>
        <v>19</v>
      </c>
      <c r="C27" s="206">
        <v>20</v>
      </c>
      <c r="D27" s="194">
        <f t="shared" si="2"/>
        <v>380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45</v>
      </c>
      <c r="B28" s="193">
        <f>'Données projet'!D41</f>
        <v>17</v>
      </c>
      <c r="C28" s="206">
        <v>30</v>
      </c>
      <c r="D28" s="194">
        <f t="shared" si="2"/>
        <v>510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50</v>
      </c>
      <c r="B29" s="193">
        <f>'Données projet'!D42</f>
        <v>16</v>
      </c>
      <c r="C29" s="206">
        <v>30</v>
      </c>
      <c r="D29" s="194">
        <f t="shared" si="2"/>
        <v>480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55</v>
      </c>
      <c r="B30" s="193">
        <f>'Données projet'!D43</f>
        <v>14</v>
      </c>
      <c r="C30" s="206">
        <v>40</v>
      </c>
      <c r="D30" s="194">
        <f t="shared" si="2"/>
        <v>560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60</v>
      </c>
      <c r="B31" s="193">
        <f>'Données projet'!D44</f>
        <v>13</v>
      </c>
      <c r="C31" s="206">
        <v>50</v>
      </c>
      <c r="D31" s="194">
        <f t="shared" si="2"/>
        <v>650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65</v>
      </c>
      <c r="B32" s="193">
        <f>'Données projet'!D45</f>
        <v>11</v>
      </c>
      <c r="C32" s="206">
        <v>60</v>
      </c>
      <c r="D32" s="194">
        <f t="shared" si="2"/>
        <v>660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70</v>
      </c>
      <c r="B33" s="193">
        <f>'Données projet'!D46</f>
        <v>10</v>
      </c>
      <c r="C33" s="206">
        <v>70</v>
      </c>
      <c r="D33" s="194">
        <f t="shared" si="2"/>
        <v>700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75</v>
      </c>
      <c r="B34" s="193">
        <f>'Données projet'!D47</f>
        <v>9</v>
      </c>
      <c r="C34" s="206">
        <v>70</v>
      </c>
      <c r="D34" s="194">
        <f t="shared" si="2"/>
        <v>630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80</v>
      </c>
      <c r="B35" s="193">
        <f>'Données projet'!D48</f>
        <v>8</v>
      </c>
      <c r="C35" s="206">
        <v>80</v>
      </c>
      <c r="D35" s="194">
        <f t="shared" si="2"/>
        <v>640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85</v>
      </c>
      <c r="B36" s="193">
        <f>'Données projet'!D49</f>
        <v>7</v>
      </c>
      <c r="C36" s="206">
        <v>80</v>
      </c>
      <c r="D36" s="194">
        <f t="shared" si="2"/>
        <v>560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90</v>
      </c>
      <c r="B37" s="193">
        <f>'Données projet'!D50</f>
        <v>171</v>
      </c>
      <c r="C37" s="206">
        <v>150</v>
      </c>
      <c r="D37" s="194">
        <f t="shared" si="2"/>
        <v>25650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Châtaignier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/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/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10</v>
      </c>
      <c r="B54" s="193">
        <f>'Données projet'!D62</f>
        <v>7</v>
      </c>
      <c r="C54" s="206">
        <v>10</v>
      </c>
      <c r="D54" s="191">
        <f>B54*C54</f>
        <v>70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15</v>
      </c>
      <c r="B55" s="193">
        <f>'Données projet'!D63</f>
        <v>42</v>
      </c>
      <c r="C55" s="206">
        <v>10</v>
      </c>
      <c r="D55" s="191">
        <f t="shared" ref="D55:D73" si="4">B55*C55</f>
        <v>420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20</v>
      </c>
      <c r="B56" s="193">
        <f>'Données projet'!D64</f>
        <v>42</v>
      </c>
      <c r="C56" s="206">
        <v>20</v>
      </c>
      <c r="D56" s="191">
        <f t="shared" si="4"/>
        <v>840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25</v>
      </c>
      <c r="B57" s="193">
        <f>'Données projet'!D65</f>
        <v>42</v>
      </c>
      <c r="C57" s="206">
        <v>20</v>
      </c>
      <c r="D57" s="191">
        <f t="shared" si="4"/>
        <v>840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30</v>
      </c>
      <c r="B58" s="193">
        <f>'Données projet'!D66</f>
        <v>42</v>
      </c>
      <c r="C58" s="206">
        <v>20</v>
      </c>
      <c r="D58" s="191">
        <f t="shared" si="4"/>
        <v>840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35</v>
      </c>
      <c r="B59" s="193">
        <f>'Données projet'!D67</f>
        <v>42</v>
      </c>
      <c r="C59" s="206">
        <v>30</v>
      </c>
      <c r="D59" s="191">
        <f t="shared" si="4"/>
        <v>1260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40</v>
      </c>
      <c r="B60" s="193">
        <f>'Données projet'!D68</f>
        <v>40</v>
      </c>
      <c r="C60" s="206">
        <v>30</v>
      </c>
      <c r="D60" s="191">
        <f t="shared" si="4"/>
        <v>1200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45</v>
      </c>
      <c r="B61" s="193">
        <f>'Données projet'!D69</f>
        <v>26</v>
      </c>
      <c r="C61" s="204">
        <v>40</v>
      </c>
      <c r="D61" s="191">
        <f t="shared" si="4"/>
        <v>1040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50</v>
      </c>
      <c r="B62" s="193">
        <f>'Données projet'!D70</f>
        <v>21</v>
      </c>
      <c r="C62" s="204">
        <v>40</v>
      </c>
      <c r="D62" s="191">
        <f t="shared" si="4"/>
        <v>840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55</v>
      </c>
      <c r="B63" s="193">
        <f>'Données projet'!D71</f>
        <v>18</v>
      </c>
      <c r="C63" s="204">
        <v>40</v>
      </c>
      <c r="D63" s="191">
        <f t="shared" si="4"/>
        <v>720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60</v>
      </c>
      <c r="B64" s="193">
        <f>'Données projet'!D72</f>
        <v>17</v>
      </c>
      <c r="C64" s="204">
        <v>50</v>
      </c>
      <c r="D64" s="191">
        <f t="shared" si="4"/>
        <v>850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65</v>
      </c>
      <c r="B65" s="193">
        <f>'Données projet'!D73</f>
        <v>16</v>
      </c>
      <c r="C65" s="204">
        <v>60</v>
      </c>
      <c r="D65" s="191">
        <f t="shared" si="4"/>
        <v>960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70</v>
      </c>
      <c r="B66" s="193">
        <f>'Données projet'!D74</f>
        <v>15</v>
      </c>
      <c r="C66" s="204">
        <v>60</v>
      </c>
      <c r="D66" s="191">
        <f t="shared" si="4"/>
        <v>900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75</v>
      </c>
      <c r="B67" s="193">
        <f>'Données projet'!D75</f>
        <v>14</v>
      </c>
      <c r="C67" s="204">
        <v>70</v>
      </c>
      <c r="D67" s="191">
        <f t="shared" si="4"/>
        <v>980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80</v>
      </c>
      <c r="B68" s="193">
        <f>'Données projet'!D76</f>
        <v>382</v>
      </c>
      <c r="C68" s="204">
        <v>70</v>
      </c>
      <c r="D68" s="191">
        <f t="shared" si="4"/>
        <v>26740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>Mélèze hybride</v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str">
        <f>IF(O83+1&lt;=MIN('Données projet'!$E$9:$E$18),O83+1,"STOP")</f>
        <v>STOP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10</v>
      </c>
      <c r="B85" s="193">
        <f>'Données projet'!D88</f>
        <v>18</v>
      </c>
      <c r="C85" s="204">
        <v>10</v>
      </c>
      <c r="D85" s="191">
        <f>B85*C85</f>
        <v>180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15</v>
      </c>
      <c r="B86" s="193">
        <f>'Données projet'!D89</f>
        <v>41</v>
      </c>
      <c r="C86" s="204">
        <v>20</v>
      </c>
      <c r="D86" s="191">
        <f t="shared" ref="D86:D104" si="6">B86*C86</f>
        <v>820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20</v>
      </c>
      <c r="B87" s="193">
        <f>'Données projet'!D90</f>
        <v>47</v>
      </c>
      <c r="C87" s="204">
        <v>30</v>
      </c>
      <c r="D87" s="191">
        <f t="shared" si="6"/>
        <v>1410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25</v>
      </c>
      <c r="B88" s="193">
        <f>'Données projet'!D91</f>
        <v>44</v>
      </c>
      <c r="C88" s="204">
        <v>40</v>
      </c>
      <c r="D88" s="191">
        <f t="shared" si="6"/>
        <v>1760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30</v>
      </c>
      <c r="B89" s="193">
        <f>'Données projet'!D92</f>
        <v>37</v>
      </c>
      <c r="C89" s="204">
        <v>50</v>
      </c>
      <c r="D89" s="191">
        <f t="shared" si="6"/>
        <v>1850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35</v>
      </c>
      <c r="B90" s="193">
        <f>'Données projet'!D93</f>
        <v>29</v>
      </c>
      <c r="C90" s="204">
        <v>60</v>
      </c>
      <c r="D90" s="191">
        <f t="shared" si="6"/>
        <v>1740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40</v>
      </c>
      <c r="B91" s="193">
        <f>'Données projet'!D94</f>
        <v>22</v>
      </c>
      <c r="C91" s="204">
        <v>70</v>
      </c>
      <c r="D91" s="191">
        <f t="shared" si="6"/>
        <v>1540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45</v>
      </c>
      <c r="B92" s="193">
        <f>'Données projet'!D95</f>
        <v>16</v>
      </c>
      <c r="C92" s="204">
        <v>70</v>
      </c>
      <c r="D92" s="191">
        <f t="shared" si="6"/>
        <v>1120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50</v>
      </c>
      <c r="B93" s="193">
        <f>'Données projet'!D96</f>
        <v>314</v>
      </c>
      <c r="C93" s="204">
        <v>80</v>
      </c>
      <c r="D93" s="191">
        <f t="shared" si="6"/>
        <v>25120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TABORSKI Paul</cp:lastModifiedBy>
  <dcterms:created xsi:type="dcterms:W3CDTF">2021-02-01T08:22:39Z</dcterms:created>
  <dcterms:modified xsi:type="dcterms:W3CDTF">2025-08-07T11:41:00Z</dcterms:modified>
</cp:coreProperties>
</file>