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g-fs.cnpf.fr\Fleur.ALONSO\Alonso_rep C+FOR\Montage de projets\Projets\Actifs\Crécy-en-Ponthieu (80) Jacques Roulland - GT2i\Docs 0 à 9\"/>
    </mc:Choice>
  </mc:AlternateContent>
  <bookViews>
    <workbookView xWindow="0" yWindow="0" windowWidth="20496" windowHeight="7752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0" i="1" l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D208" i="1"/>
  <c r="D206" i="1"/>
  <c r="D204" i="1"/>
  <c r="D202" i="1"/>
  <c r="D200" i="1"/>
  <c r="D198" i="1"/>
  <c r="D196" i="1"/>
  <c r="D194" i="1"/>
  <c r="D192" i="1"/>
  <c r="D185" i="1" l="1"/>
  <c r="B185" i="1"/>
  <c r="D184" i="1"/>
  <c r="B184" i="1"/>
  <c r="D183" i="1"/>
  <c r="B183" i="1"/>
  <c r="D182" i="1"/>
  <c r="B182" i="1"/>
  <c r="D181" i="1"/>
  <c r="B181" i="1"/>
  <c r="D180" i="1"/>
  <c r="B180" i="1"/>
  <c r="D179" i="1"/>
  <c r="B179" i="1"/>
  <c r="D178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B55" i="1" l="1"/>
  <c r="B54" i="1"/>
  <c r="B53" i="1"/>
  <c r="B52" i="1"/>
  <c r="B51" i="1"/>
  <c r="B50" i="1"/>
  <c r="B49" i="1"/>
  <c r="B48" i="1"/>
  <c r="B47" i="1"/>
  <c r="B46" i="1"/>
  <c r="B45" i="1"/>
  <c r="B44" i="1"/>
  <c r="B43" i="1"/>
  <c r="D55" i="1"/>
  <c r="D54" i="1"/>
  <c r="D53" i="1"/>
  <c r="D52" i="1"/>
  <c r="D51" i="1"/>
  <c r="D50" i="1"/>
  <c r="D49" i="1"/>
  <c r="D48" i="1"/>
  <c r="D47" i="1"/>
  <c r="D45" i="1"/>
  <c r="D43" i="1"/>
  <c r="D41" i="1"/>
  <c r="D39" i="1"/>
  <c r="D37" i="1"/>
  <c r="B42" i="1"/>
  <c r="B41" i="1"/>
  <c r="B40" i="1"/>
  <c r="B39" i="1"/>
  <c r="B38" i="1"/>
  <c r="B37" i="1"/>
  <c r="B36" i="1"/>
  <c r="D127" i="1" l="1"/>
  <c r="D129" i="1"/>
  <c r="D125" i="1"/>
  <c r="D123" i="1"/>
  <c r="D121" i="1"/>
  <c r="D119" i="1"/>
  <c r="D117" i="1"/>
  <c r="D115" i="1"/>
  <c r="B125" i="1"/>
  <c r="B129" i="1"/>
  <c r="B128" i="1"/>
  <c r="B127" i="1"/>
  <c r="B126" i="1"/>
  <c r="B124" i="1"/>
  <c r="B123" i="1"/>
  <c r="B122" i="1"/>
  <c r="B121" i="1"/>
  <c r="B120" i="1"/>
  <c r="B119" i="1"/>
  <c r="B118" i="1"/>
  <c r="B117" i="1"/>
  <c r="B116" i="1"/>
  <c r="B115" i="1"/>
  <c r="B114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D101" i="1"/>
  <c r="D99" i="1"/>
  <c r="D97" i="1"/>
  <c r="D95" i="1"/>
  <c r="D93" i="1"/>
  <c r="D91" i="1"/>
  <c r="D89" i="1"/>
  <c r="D81" i="1"/>
  <c r="D80" i="1"/>
  <c r="D78" i="1"/>
  <c r="D76" i="1"/>
  <c r="D74" i="1"/>
  <c r="D72" i="1"/>
  <c r="D70" i="1"/>
  <c r="D68" i="1"/>
  <c r="D66" i="1"/>
  <c r="D64" i="1"/>
  <c r="D6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D159" i="1" l="1"/>
  <c r="B159" i="1"/>
  <c r="D158" i="1"/>
  <c r="B158" i="1"/>
  <c r="D157" i="1"/>
  <c r="B157" i="1"/>
  <c r="D156" i="1"/>
  <c r="B156" i="1"/>
  <c r="D155" i="1"/>
  <c r="B155" i="1"/>
  <c r="D154" i="1"/>
  <c r="B154" i="1"/>
  <c r="D153" i="1"/>
  <c r="B153" i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EC4" i="2"/>
  <c r="EA4" i="2"/>
  <c r="BR4" i="2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EC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HI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C14" i="2"/>
  <c r="EX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EV18" i="2"/>
  <c r="EX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HH20" i="2"/>
  <c r="FS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V28" i="2"/>
  <c r="EC28" i="2"/>
  <c r="HI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B33" i="2"/>
  <c r="EA33" i="2"/>
  <c r="HG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HI38" i="2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HH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A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G85" i="2"/>
  <c r="EC85" i="2"/>
  <c r="EV85" i="2"/>
  <c r="EW85" i="2"/>
  <c r="HI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FS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FQ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EB113" i="2"/>
  <c r="EC113" i="2"/>
  <c r="HI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HH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EW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EX130" i="2"/>
  <c r="FS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HH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HH140" i="2"/>
  <c r="FS140" i="2"/>
  <c r="HG140" i="2"/>
  <c r="FR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HG141" i="2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X144" i="2"/>
  <c r="HH144" i="2"/>
  <c r="HG144" i="2"/>
  <c r="FR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X145" i="2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EA146" i="2"/>
  <c r="HG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H149" i="2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C150" i="2"/>
  <c r="EV150" i="2"/>
  <c r="HG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HJ154" i="2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HH156" i="2" l="1"/>
  <c r="HG156" i="2"/>
  <c r="EY155" i="2"/>
  <c r="EX156" i="2"/>
  <c r="ED155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EX157" i="2"/>
  <c r="EB157" i="2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C158" i="2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DG160" i="2"/>
  <c r="EC160" i="2"/>
  <c r="ED159" i="2"/>
  <c r="HG160" i="2"/>
  <c r="FS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HG161" i="2"/>
  <c r="ED160" i="2"/>
  <c r="EX161" i="2"/>
  <c r="FS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ED161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HH163" i="2"/>
  <c r="HG163" i="2"/>
  <c r="HI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V164" i="2"/>
  <c r="EX164" i="2"/>
  <c r="HG164" i="2"/>
  <c r="DI163" i="2"/>
  <c r="FR164" i="2"/>
  <c r="FS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C166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EY166" i="2"/>
  <c r="EC167" i="2"/>
  <c r="EX167" i="2"/>
  <c r="HI167" i="2"/>
  <c r="HH167" i="2"/>
  <c r="FR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B169" i="2"/>
  <c r="EY168" i="2"/>
  <c r="EX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A172" i="2"/>
  <c r="ED171" i="2"/>
  <c r="EB172" i="2"/>
  <c r="EY171" i="2"/>
  <c r="EV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D172" i="2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A175" i="2"/>
  <c r="EB175" i="2"/>
  <c r="HI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D177" i="2"/>
  <c r="EW178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HG179" i="2"/>
  <c r="ED178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D179" i="2"/>
  <c r="EY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Y182" i="2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HI185" i="2"/>
  <c r="ED184" i="2"/>
  <c r="HG185" i="2"/>
  <c r="HH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B186" i="2"/>
  <c r="EA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HJ189" i="2"/>
  <c r="ED189" i="2"/>
  <c r="EB190" i="2"/>
  <c r="EV190" i="2"/>
  <c r="EY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HI192" i="2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HI193" i="2" l="1"/>
  <c r="EA193" i="2"/>
  <c r="ED192" i="2"/>
  <c r="EB193" i="2"/>
  <c r="EY192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D193" i="2"/>
  <c r="EB194" i="2"/>
  <c r="EA194" i="2"/>
  <c r="FQ194" i="2"/>
  <c r="HG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HI195" i="2"/>
  <c r="HG195" i="2"/>
  <c r="EB195" i="2"/>
  <c r="ED194" i="2"/>
  <c r="E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EV199" i="2"/>
  <c r="EY198" i="2"/>
  <c r="EB199" i="2"/>
  <c r="EW199" i="2"/>
  <c r="FS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HJ200" i="2"/>
  <c r="HH201" i="2"/>
  <c r="ED200" i="2"/>
  <c r="DI200" i="2"/>
  <c r="HG201" i="2"/>
  <c r="FS201" i="2"/>
  <c r="EB201" i="2"/>
  <c r="EA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FZ6" i="2" l="1"/>
  <c r="FS202" i="2"/>
  <c r="HG202" i="2"/>
  <c r="HH202" i="2"/>
  <c r="HI202" i="2"/>
  <c r="EY201" i="2"/>
  <c r="ED201" i="2"/>
  <c r="EW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CS38" i="2" a="1"/>
  <c r="CS38" i="2" s="1"/>
  <c r="CS185" i="2" a="1"/>
  <c r="CS185" i="2" s="1"/>
  <c r="CS56" i="2" a="1"/>
  <c r="CS56" i="2" s="1"/>
  <c r="DN6" i="2" a="1"/>
  <c r="DN6" i="2" s="1"/>
  <c r="DO6" i="2" s="1"/>
  <c r="CS24" i="2" a="1"/>
  <c r="CS24" i="2" s="1"/>
  <c r="CS72" i="2" a="1"/>
  <c r="CS72" i="2" s="1"/>
  <c r="BX107" i="2" a="1"/>
  <c r="BX107" i="2" s="1"/>
  <c r="AX200" i="2"/>
  <c r="EI20" i="2" l="1" a="1"/>
  <c r="EI20" i="2" s="1"/>
  <c r="EI34" i="2" a="1"/>
  <c r="EI34" i="2" s="1"/>
  <c r="EI36" i="2" a="1"/>
  <c r="EI36" i="2" s="1"/>
  <c r="EI87" i="2" a="1"/>
  <c r="EI87" i="2" s="1"/>
  <c r="CS120" i="2" a="1"/>
  <c r="CS120" i="2" s="1"/>
  <c r="CS134" i="2" a="1"/>
  <c r="CS134" i="2" s="1"/>
  <c r="CS77" i="2" a="1"/>
  <c r="CS77" i="2" s="1"/>
  <c r="CS161" i="2" a="1"/>
  <c r="CS161" i="2" s="1"/>
  <c r="CS114" i="2" a="1"/>
  <c r="CS114" i="2" s="1"/>
  <c r="CS137" i="2" a="1"/>
  <c r="CS137" i="2" s="1"/>
  <c r="FD48" i="2" a="1"/>
  <c r="FD48" i="2" s="1"/>
  <c r="EI35" i="2" a="1"/>
  <c r="EI35" i="2" s="1"/>
  <c r="EI139" i="2" a="1"/>
  <c r="EI139" i="2" s="1"/>
  <c r="EI113" i="2" a="1"/>
  <c r="EI113" i="2" s="1"/>
  <c r="FD44" i="2" a="1"/>
  <c r="FD44" i="2" s="1"/>
  <c r="AH90" i="2" a="1"/>
  <c r="AH90" i="2" s="1"/>
  <c r="CS105" i="2" a="1"/>
  <c r="CS105" i="2" s="1"/>
  <c r="CS52" i="2" a="1"/>
  <c r="CS52" i="2" s="1"/>
  <c r="CS66" i="2" a="1"/>
  <c r="CS66" i="2" s="1"/>
  <c r="FD188" i="2" a="1"/>
  <c r="FD188" i="2" s="1"/>
  <c r="FD82" i="2" a="1"/>
  <c r="FD82" i="2" s="1"/>
  <c r="FD131" i="2" a="1"/>
  <c r="FD131" i="2" s="1"/>
  <c r="FD187" i="2" a="1"/>
  <c r="FD187" i="2" s="1"/>
  <c r="FD194" i="2" a="1"/>
  <c r="FD194" i="2" s="1"/>
  <c r="FD19" i="2" a="1"/>
  <c r="FD19" i="2" s="1"/>
  <c r="FD160" i="2" a="1"/>
  <c r="FD160" i="2" s="1"/>
  <c r="FD137" i="2" a="1"/>
  <c r="FD137" i="2" s="1"/>
  <c r="FD159" i="2" a="1"/>
  <c r="FD159" i="2" s="1"/>
  <c r="FD107" i="2" a="1"/>
  <c r="FD107" i="2" s="1"/>
  <c r="FD167" i="2" a="1"/>
  <c r="FD167" i="2" s="1"/>
  <c r="FD43" i="2" a="1"/>
  <c r="FD43" i="2" s="1"/>
  <c r="FD64" i="2" a="1"/>
  <c r="FD64" i="2" s="1"/>
  <c r="FD189" i="2" a="1"/>
  <c r="FD189" i="2" s="1"/>
  <c r="FD14" i="2" a="1"/>
  <c r="FD14" i="2" s="1"/>
  <c r="FD59" i="2" a="1"/>
  <c r="FD59" i="2" s="1"/>
  <c r="FD144" i="2" a="1"/>
  <c r="FD144" i="2" s="1"/>
  <c r="FD21" i="2" a="1"/>
  <c r="FD21" i="2" s="1"/>
  <c r="FD60" i="2" a="1"/>
  <c r="FD60" i="2" s="1"/>
  <c r="EI37" i="2" a="1"/>
  <c r="EI37" i="2" s="1"/>
  <c r="EI145" i="2" a="1"/>
  <c r="EI145" i="2" s="1"/>
  <c r="EI162" i="2" a="1"/>
  <c r="EI162" i="2" s="1"/>
  <c r="EI67" i="2" a="1"/>
  <c r="EI67" i="2" s="1"/>
  <c r="EI170" i="2" a="1"/>
  <c r="EI170" i="2" s="1"/>
  <c r="EI16" i="2" a="1"/>
  <c r="EI16" i="2" s="1"/>
  <c r="EI178" i="2" a="1"/>
  <c r="EI178" i="2" s="1"/>
  <c r="EI150" i="2" a="1"/>
  <c r="EI150" i="2" s="1"/>
  <c r="EI29" i="2" a="1"/>
  <c r="EI29" i="2" s="1"/>
  <c r="EI165" i="2" a="1"/>
  <c r="EI165" i="2" s="1"/>
  <c r="EI71" i="2" a="1"/>
  <c r="EI71" i="2" s="1"/>
  <c r="EI57" i="2" a="1"/>
  <c r="EI57" i="2" s="1"/>
  <c r="EI106" i="2" a="1"/>
  <c r="EI106" i="2" s="1"/>
  <c r="EI153" i="2" a="1"/>
  <c r="EI153" i="2" s="1"/>
  <c r="EI109" i="2" a="1"/>
  <c r="EI109" i="2" s="1"/>
  <c r="EI38" i="2" a="1"/>
  <c r="EI38" i="2" s="1"/>
  <c r="EI195" i="2" a="1"/>
  <c r="EI195" i="2" s="1"/>
  <c r="EI166" i="2" a="1"/>
  <c r="EI166" i="2" s="1"/>
  <c r="EI198" i="2" a="1"/>
  <c r="EI198" i="2" s="1"/>
  <c r="EI128" i="2" a="1"/>
  <c r="EI128" i="2" s="1"/>
  <c r="EI142" i="2" a="1"/>
  <c r="EI142" i="2" s="1"/>
  <c r="CS116" i="2" a="1"/>
  <c r="CS116" i="2" s="1"/>
  <c r="CS129" i="2" a="1"/>
  <c r="CS129" i="2" s="1"/>
  <c r="FS203" i="2"/>
  <c r="EY202" i="2"/>
  <c r="HJ202" i="2"/>
  <c r="FR203" i="2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GT51" i="2" a="1"/>
  <c r="GT51" i="2" s="1"/>
  <c r="GT138" i="2" a="1"/>
  <c r="GT138" i="2" s="1"/>
  <c r="GT178" i="2" a="1"/>
  <c r="GT178" i="2" s="1"/>
  <c r="GT15" i="2" a="1"/>
  <c r="GT15" i="2" s="1"/>
  <c r="GT74" i="2" a="1"/>
  <c r="GT74" i="2" s="1"/>
  <c r="GT133" i="2" a="1"/>
  <c r="GT133" i="2" s="1"/>
  <c r="GT107" i="2" a="1"/>
  <c r="GT107" i="2" s="1"/>
  <c r="GT189" i="2" a="1"/>
  <c r="GT189" i="2" s="1"/>
  <c r="GT184" i="2" a="1"/>
  <c r="GT184" i="2" s="1"/>
  <c r="GT174" i="2" a="1"/>
  <c r="GT174" i="2" s="1"/>
  <c r="GT198" i="2" a="1"/>
  <c r="GT198" i="2" s="1"/>
  <c r="GT11" i="2" a="1"/>
  <c r="GT11" i="2" s="1"/>
  <c r="GT102" i="2" a="1"/>
  <c r="GT102" i="2" s="1"/>
  <c r="GT190" i="2" a="1"/>
  <c r="GT190" i="2" s="1"/>
  <c r="GT191" i="2" a="1"/>
  <c r="GT191" i="2" s="1"/>
  <c r="GT12" i="2" a="1"/>
  <c r="GT12" i="2" s="1"/>
  <c r="GT147" i="2" a="1"/>
  <c r="GT147" i="2" s="1"/>
  <c r="GT21" i="2" a="1"/>
  <c r="GT21" i="2" s="1"/>
  <c r="GT152" i="2" a="1"/>
  <c r="GT152" i="2" s="1"/>
  <c r="GT38" i="2" a="1"/>
  <c r="GT38" i="2" s="1"/>
  <c r="GT126" i="2" a="1"/>
  <c r="GT126" i="2" s="1"/>
  <c r="GT33" i="2" a="1"/>
  <c r="GT33" i="2" s="1"/>
  <c r="GT181" i="2" a="1"/>
  <c r="GT181" i="2" s="1"/>
  <c r="GT115" i="2" a="1"/>
  <c r="GT115" i="2" s="1"/>
  <c r="GT121" i="2" a="1"/>
  <c r="GT121" i="2" s="1"/>
  <c r="GT122" i="2" a="1"/>
  <c r="GT122" i="2" s="1"/>
  <c r="GT68" i="2" a="1"/>
  <c r="GT68" i="2" s="1"/>
  <c r="HH203" i="2"/>
  <c r="HG203" i="2"/>
  <c r="DN135" i="2" a="1"/>
  <c r="DN135" i="2" s="1"/>
  <c r="DN55" i="2" a="1"/>
  <c r="DN55" i="2" s="1"/>
  <c r="DN132" i="2" a="1"/>
  <c r="DN132" i="2" s="1"/>
  <c r="DN177" i="2" a="1"/>
  <c r="DN177" i="2" s="1"/>
  <c r="DN30" i="2" a="1"/>
  <c r="DN30" i="2" s="1"/>
  <c r="DN184" i="2" a="1"/>
  <c r="DN184" i="2" s="1"/>
  <c r="DN164" i="2" a="1"/>
  <c r="DN164" i="2" s="1"/>
  <c r="DN31" i="2" a="1"/>
  <c r="DN31" i="2" s="1"/>
  <c r="DN115" i="2" a="1"/>
  <c r="DN115" i="2" s="1"/>
  <c r="DN170" i="2" a="1"/>
  <c r="DN170" i="2" s="1"/>
  <c r="DN46" i="2" a="1"/>
  <c r="DN46" i="2" s="1"/>
  <c r="DN43" i="2" a="1"/>
  <c r="DN43" i="2" s="1"/>
  <c r="DN123" i="2" a="1"/>
  <c r="DN123" i="2" s="1"/>
  <c r="DN187" i="2" a="1"/>
  <c r="DN187" i="2" s="1"/>
  <c r="DN65" i="2" a="1"/>
  <c r="DN65" i="2" s="1"/>
  <c r="DN70" i="2" a="1"/>
  <c r="DN70" i="2" s="1"/>
  <c r="DN63" i="2" a="1"/>
  <c r="DN63" i="2" s="1"/>
  <c r="DN150" i="2" a="1"/>
  <c r="DN150" i="2" s="1"/>
  <c r="DN152" i="2" a="1"/>
  <c r="DN152" i="2" s="1"/>
  <c r="DN110" i="2" a="1"/>
  <c r="DN110" i="2" s="1"/>
  <c r="DN38" i="2" a="1"/>
  <c r="DN38" i="2" s="1"/>
  <c r="DN153" i="2" a="1"/>
  <c r="DN153" i="2" s="1"/>
  <c r="DN41" i="2" a="1"/>
  <c r="DN41" i="2" s="1"/>
  <c r="DN176" i="2" a="1"/>
  <c r="DN176" i="2" s="1"/>
  <c r="DN167" i="2" a="1"/>
  <c r="DN167" i="2" s="1"/>
  <c r="DN114" i="2" a="1"/>
  <c r="DN114" i="2" s="1"/>
  <c r="DN192" i="2" a="1"/>
  <c r="DN192" i="2" s="1"/>
  <c r="DN129" i="2" a="1"/>
  <c r="DN129" i="2" s="1"/>
  <c r="DN16" i="2" a="1"/>
  <c r="DN16" i="2" s="1"/>
  <c r="DN80" i="2" a="1"/>
  <c r="DN80" i="2" s="1"/>
  <c r="DN103" i="2" a="1"/>
  <c r="DN103" i="2" s="1"/>
  <c r="DN66" i="2" a="1"/>
  <c r="DN66" i="2" s="1"/>
  <c r="DN50" i="2" a="1"/>
  <c r="DN50" i="2" s="1"/>
  <c r="DN45" i="2" a="1"/>
  <c r="DN45" i="2" s="1"/>
  <c r="DN190" i="2" a="1"/>
  <c r="DN190" i="2" s="1"/>
  <c r="DN133" i="2" a="1"/>
  <c r="DN133" i="2" s="1"/>
  <c r="DN162" i="2" a="1"/>
  <c r="DN162" i="2" s="1"/>
  <c r="DN188" i="2" a="1"/>
  <c r="DN188" i="2" s="1"/>
  <c r="DN113" i="2" a="1"/>
  <c r="DN113" i="2" s="1"/>
  <c r="DN49" i="2" a="1"/>
  <c r="DN49" i="2" s="1"/>
  <c r="DN168" i="2" a="1"/>
  <c r="DN168" i="2" s="1"/>
  <c r="DN86" i="2" a="1"/>
  <c r="DN86" i="2" s="1"/>
  <c r="DN25" i="2" a="1"/>
  <c r="DN25" i="2" s="1"/>
  <c r="DN155" i="2" a="1"/>
  <c r="DN155" i="2" s="1"/>
  <c r="DN186" i="2" a="1"/>
  <c r="DN186" i="2" s="1"/>
  <c r="DN137" i="2" a="1"/>
  <c r="DN137" i="2" s="1"/>
  <c r="DN124" i="2" a="1"/>
  <c r="DN124" i="2" s="1"/>
  <c r="DN29" i="2" a="1"/>
  <c r="DN29" i="2" s="1"/>
  <c r="DN56" i="2" a="1"/>
  <c r="DN56" i="2" s="1"/>
  <c r="BC38" i="2" a="1"/>
  <c r="BC38" i="2" s="1"/>
  <c r="BC32" i="2" a="1"/>
  <c r="BC32" i="2" s="1"/>
  <c r="BC83" i="2" a="1"/>
  <c r="BC83" i="2" s="1"/>
  <c r="BC181" i="2" a="1"/>
  <c r="BC181" i="2" s="1"/>
  <c r="BC58" i="2" a="1"/>
  <c r="BC58" i="2" s="1"/>
  <c r="BC164" i="2" a="1"/>
  <c r="BC164" i="2" s="1"/>
  <c r="BC117" i="2" a="1"/>
  <c r="BC117" i="2" s="1"/>
  <c r="BC18" i="2" a="1"/>
  <c r="BC18" i="2" s="1"/>
  <c r="BC84" i="2" a="1"/>
  <c r="BC84" i="2" s="1"/>
  <c r="BC68" i="2" a="1"/>
  <c r="BC68" i="2" s="1"/>
  <c r="BC151" i="2" a="1"/>
  <c r="BC151" i="2" s="1"/>
  <c r="BC192" i="2" a="1"/>
  <c r="BC192" i="2" s="1"/>
  <c r="BC65" i="2" a="1"/>
  <c r="BC65" i="2" s="1"/>
  <c r="BC55" i="2" a="1"/>
  <c r="BC55" i="2" s="1"/>
  <c r="BC114" i="2" a="1"/>
  <c r="BC114" i="2" s="1"/>
  <c r="BC185" i="2" a="1"/>
  <c r="BC185" i="2" s="1"/>
  <c r="BC130" i="2" a="1"/>
  <c r="BC130" i="2" s="1"/>
  <c r="BC126" i="2" a="1"/>
  <c r="BC126" i="2" s="1"/>
  <c r="BC143" i="2" a="1"/>
  <c r="BC143" i="2" s="1"/>
  <c r="BC82" i="2" a="1"/>
  <c r="BC82" i="2" s="1"/>
  <c r="BC7" i="2" a="1"/>
  <c r="BC7" i="2" s="1"/>
  <c r="BD7" i="2" s="1"/>
  <c r="BC31" i="2" a="1"/>
  <c r="BC31" i="2" s="1"/>
  <c r="BC47" i="2" a="1"/>
  <c r="BC47" i="2" s="1"/>
  <c r="FY142" i="2" a="1"/>
  <c r="FY142" i="2" s="1"/>
  <c r="FY167" i="2" a="1"/>
  <c r="FY167" i="2" s="1"/>
  <c r="FY58" i="2" a="1"/>
  <c r="FY58" i="2" s="1"/>
  <c r="FY82" i="2" a="1"/>
  <c r="FY82" i="2" s="1"/>
  <c r="FY121" i="2" a="1"/>
  <c r="FY121" i="2" s="1"/>
  <c r="FY30" i="2" a="1"/>
  <c r="FY30" i="2" s="1"/>
  <c r="FY42" i="2" a="1"/>
  <c r="FY42" i="2" s="1"/>
  <c r="FY196" i="2" a="1"/>
  <c r="FY196" i="2" s="1"/>
  <c r="FY172" i="2" a="1"/>
  <c r="FY172" i="2" s="1"/>
  <c r="FY104" i="2" a="1"/>
  <c r="FY104" i="2" s="1"/>
  <c r="FY80" i="2" a="1"/>
  <c r="FY80" i="2" s="1"/>
  <c r="FY115" i="2" a="1"/>
  <c r="FY115" i="2" s="1"/>
  <c r="FY86" i="2" a="1"/>
  <c r="FY86" i="2" s="1"/>
  <c r="FY34" i="2" a="1"/>
  <c r="FY34" i="2" s="1"/>
  <c r="FY149" i="2" a="1"/>
  <c r="FY149" i="2" s="1"/>
  <c r="FY182" i="2" a="1"/>
  <c r="FY182" i="2" s="1"/>
  <c r="FY169" i="2" a="1"/>
  <c r="FY169" i="2" s="1"/>
  <c r="FY62" i="2" a="1"/>
  <c r="FY62" i="2" s="1"/>
  <c r="FY72" i="2" a="1"/>
  <c r="FY72" i="2" s="1"/>
  <c r="FY55" i="2" a="1"/>
  <c r="FY55" i="2" s="1"/>
  <c r="FY28" i="2" a="1"/>
  <c r="FY28" i="2" s="1"/>
  <c r="FY174" i="2" a="1"/>
  <c r="FY174" i="2" s="1"/>
  <c r="FY24" i="2" a="1"/>
  <c r="FY24" i="2" s="1"/>
  <c r="FY188" i="2" a="1"/>
  <c r="FY188" i="2" s="1"/>
  <c r="FY190" i="2" a="1"/>
  <c r="FY190" i="2" s="1"/>
  <c r="FY78" i="2" a="1"/>
  <c r="FY78" i="2" s="1"/>
  <c r="FY164" i="2" a="1"/>
  <c r="FY164" i="2" s="1"/>
  <c r="FY99" i="2" a="1"/>
  <c r="FY99" i="2" s="1"/>
  <c r="FY178" i="2" a="1"/>
  <c r="FY178" i="2" s="1"/>
  <c r="FY152" i="2" a="1"/>
  <c r="FY152" i="2" s="1"/>
  <c r="FY47" i="2" a="1"/>
  <c r="FY47" i="2" s="1"/>
  <c r="FY124" i="2" a="1"/>
  <c r="FY124" i="2" s="1"/>
  <c r="FY126" i="2" a="1"/>
  <c r="FY126" i="2" s="1"/>
  <c r="FY92" i="2" a="1"/>
  <c r="FY92" i="2" s="1"/>
  <c r="FY111" i="2" a="1"/>
  <c r="FY111" i="2" s="1"/>
  <c r="FY73" i="2" a="1"/>
  <c r="FY73" i="2" s="1"/>
  <c r="FY186" i="2" a="1"/>
  <c r="FY186" i="2" s="1"/>
  <c r="FY110" i="2" a="1"/>
  <c r="FY110" i="2" s="1"/>
  <c r="FY116" i="2" a="1"/>
  <c r="FY116" i="2" s="1"/>
  <c r="FY159" i="2" a="1"/>
  <c r="FY159" i="2" s="1"/>
  <c r="FY143" i="2" a="1"/>
  <c r="FY143" i="2" s="1"/>
  <c r="FY191" i="2" a="1"/>
  <c r="FY191" i="2" s="1"/>
  <c r="FY102" i="2" a="1"/>
  <c r="FY102" i="2" s="1"/>
  <c r="FY18" i="2" a="1"/>
  <c r="FY18" i="2" s="1"/>
  <c r="FY173" i="2" a="1"/>
  <c r="FY173" i="2" s="1"/>
  <c r="FY66" i="2" a="1"/>
  <c r="FY66" i="2" s="1"/>
  <c r="FY120" i="2" a="1"/>
  <c r="FY120" i="2" s="1"/>
  <c r="FY71" i="2" a="1"/>
  <c r="FY71" i="2" s="1"/>
  <c r="FY133" i="2" a="1"/>
  <c r="FY133" i="2" s="1"/>
  <c r="FY153" i="2" a="1"/>
  <c r="FY153" i="2" s="1"/>
  <c r="FY146" i="2" a="1"/>
  <c r="FY146" i="2" s="1"/>
  <c r="FY69" i="2" a="1"/>
  <c r="FY69" i="2" s="1"/>
  <c r="FY29" i="2" a="1"/>
  <c r="FY29" i="2" s="1"/>
  <c r="FY35" i="2" a="1"/>
  <c r="FY35" i="2" s="1"/>
  <c r="FY165" i="2" a="1"/>
  <c r="FY165" i="2" s="1"/>
  <c r="FY32" i="2" a="1"/>
  <c r="FY32" i="2" s="1"/>
  <c r="FY50" i="2" a="1"/>
  <c r="FY50" i="2" s="1"/>
  <c r="FY140" i="2" a="1"/>
  <c r="FY140" i="2" s="1"/>
  <c r="FY90" i="2" a="1"/>
  <c r="FY90" i="2" s="1"/>
  <c r="FY57" i="2" a="1"/>
  <c r="FY57" i="2" s="1"/>
  <c r="FY54" i="2" a="1"/>
  <c r="FY54" i="2" s="1"/>
  <c r="FY109" i="2" a="1"/>
  <c r="FY109" i="2" s="1"/>
  <c r="FY79" i="2" a="1"/>
  <c r="FY79" i="2" s="1"/>
  <c r="FY22" i="2" a="1"/>
  <c r="FY22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FT203" i="2"/>
  <c r="DI203" i="2"/>
  <c r="CN203" i="2"/>
  <c r="EY203" i="2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GE25" i="2" l="1"/>
  <c r="GE178" i="2"/>
  <c r="GE139" i="2"/>
  <c r="GE142" i="2"/>
  <c r="GE151" i="2"/>
  <c r="GE199" i="2"/>
  <c r="GE113" i="2"/>
  <c r="GE116" i="2"/>
  <c r="GE168" i="2"/>
  <c r="GE82" i="2"/>
  <c r="GE32" i="2"/>
  <c r="GE106" i="2"/>
  <c r="GE105" i="2"/>
  <c r="GE34" i="2"/>
  <c r="GE63" i="2"/>
  <c r="GE130" i="2"/>
  <c r="GE60" i="2"/>
  <c r="GE158" i="2"/>
  <c r="GE17" i="2"/>
  <c r="GE30" i="2"/>
  <c r="GE110" i="2"/>
  <c r="GE93" i="2"/>
  <c r="GE90" i="2"/>
  <c r="GE121" i="2"/>
  <c r="GE73" i="2"/>
  <c r="GE37" i="2"/>
  <c r="GE50" i="2"/>
  <c r="GE47" i="2"/>
  <c r="GE5" i="2"/>
  <c r="GE10" i="2"/>
  <c r="GE161" i="2"/>
  <c r="GE7" i="2"/>
  <c r="GE20" i="2"/>
  <c r="GE15" i="2"/>
  <c r="GE94" i="2"/>
  <c r="GE3" i="2"/>
  <c r="C14" i="4" s="1"/>
  <c r="E14" i="4" s="1"/>
  <c r="F14" i="4" s="1"/>
  <c r="G14" i="4" s="1"/>
  <c r="L14" i="4" s="1"/>
  <c r="GE147" i="2"/>
  <c r="GE102" i="2"/>
  <c r="GE76" i="2"/>
  <c r="GE38" i="2"/>
  <c r="GE156" i="2"/>
  <c r="GE174" i="2"/>
  <c r="GE22" i="2"/>
  <c r="GE57" i="2"/>
  <c r="GE190" i="2"/>
  <c r="GE197" i="2"/>
  <c r="GE100" i="2"/>
  <c r="GE56" i="2"/>
  <c r="GE176" i="2"/>
  <c r="GE148" i="2"/>
  <c r="GE95" i="2"/>
  <c r="GE169" i="2"/>
  <c r="GE31" i="2"/>
  <c r="GE192" i="2"/>
  <c r="GE173" i="2"/>
  <c r="GE36" i="2"/>
  <c r="GE75" i="2"/>
  <c r="GE35" i="2"/>
  <c r="GE48" i="2"/>
  <c r="GE11" i="2"/>
  <c r="GE187" i="2"/>
  <c r="GE13" i="2"/>
  <c r="GE193" i="2"/>
  <c r="GE171" i="2"/>
  <c r="GE98" i="2"/>
  <c r="GE200" i="2"/>
  <c r="GE59" i="2"/>
  <c r="GE88" i="2"/>
  <c r="GE42" i="2"/>
  <c r="GE96" i="2"/>
  <c r="GE195" i="2"/>
  <c r="GE69" i="2"/>
  <c r="GE55" i="2"/>
  <c r="GE160" i="2"/>
  <c r="GE159" i="2"/>
  <c r="GE182" i="2"/>
  <c r="GE149" i="2"/>
  <c r="GE184" i="2"/>
  <c r="GE137" i="2"/>
  <c r="GE109" i="2"/>
  <c r="GE115" i="2"/>
  <c r="GE118" i="2"/>
  <c r="GE166" i="2"/>
  <c r="GE87" i="2"/>
  <c r="GE201" i="2"/>
  <c r="GE111" i="2"/>
  <c r="GE16" i="2"/>
  <c r="GE49" i="2"/>
  <c r="GE179" i="2"/>
  <c r="GE53" i="2"/>
  <c r="GE80" i="2"/>
  <c r="GE92" i="2"/>
  <c r="GE185" i="2"/>
  <c r="GE33" i="2"/>
  <c r="GE134" i="2"/>
  <c r="GE140" i="2"/>
  <c r="GE146" i="2"/>
  <c r="GE189" i="2"/>
  <c r="GE153" i="2"/>
  <c r="GE155" i="2"/>
  <c r="GE52" i="2"/>
  <c r="GE203" i="2"/>
  <c r="GE107" i="2"/>
  <c r="GE180" i="2"/>
  <c r="GE150" i="2"/>
  <c r="GE133" i="2"/>
  <c r="GE64" i="2"/>
  <c r="GE165" i="2"/>
  <c r="GE175" i="2"/>
  <c r="GE97" i="2"/>
  <c r="GE62" i="2"/>
  <c r="GE112" i="2"/>
  <c r="GE162" i="2"/>
  <c r="GE152" i="2"/>
  <c r="GE123" i="2"/>
  <c r="GE28" i="2"/>
  <c r="GE131" i="2"/>
  <c r="GE89" i="2"/>
  <c r="GE188" i="2"/>
  <c r="GE127" i="2"/>
  <c r="GE183" i="2"/>
  <c r="GE54" i="2"/>
  <c r="GE19" i="2"/>
  <c r="GE99" i="2"/>
  <c r="GE45" i="2"/>
  <c r="GE164" i="2"/>
  <c r="GE65" i="2"/>
  <c r="GE67" i="2"/>
  <c r="GE14" i="2"/>
  <c r="GE66" i="2"/>
  <c r="GE104" i="2"/>
  <c r="GE119" i="2"/>
  <c r="GE44" i="2"/>
  <c r="GE40" i="2"/>
  <c r="GE51" i="2"/>
  <c r="GE27" i="2"/>
  <c r="GE78" i="2"/>
  <c r="GE39" i="2"/>
  <c r="GE8" i="2"/>
  <c r="GE85" i="2"/>
  <c r="GE41" i="2"/>
  <c r="GE125" i="2"/>
  <c r="GE61" i="2"/>
  <c r="GE43" i="2"/>
  <c r="GE21" i="2"/>
  <c r="GE124" i="2"/>
  <c r="GE18" i="2"/>
  <c r="GE9" i="2"/>
  <c r="GE84" i="2"/>
  <c r="GE141" i="2"/>
  <c r="GE101" i="2"/>
  <c r="GE120" i="2"/>
  <c r="GE126" i="2"/>
  <c r="GE72" i="2"/>
  <c r="GE6" i="2"/>
  <c r="GE181" i="2"/>
  <c r="GE26" i="2"/>
  <c r="GE157" i="2"/>
  <c r="GE74" i="2"/>
  <c r="GE132" i="2"/>
  <c r="GE24" i="2"/>
  <c r="GE191" i="2"/>
  <c r="GE177" i="2"/>
  <c r="GE143" i="2"/>
  <c r="GE77" i="2"/>
  <c r="GE70" i="2"/>
  <c r="GE23" i="2"/>
  <c r="GE135" i="2"/>
  <c r="GE129" i="2"/>
  <c r="GE103" i="2"/>
  <c r="GE114" i="2"/>
  <c r="GE46" i="2"/>
  <c r="GE136" i="2"/>
  <c r="GE29" i="2"/>
  <c r="GE198" i="2"/>
  <c r="GE202" i="2"/>
  <c r="GE170" i="2"/>
  <c r="GE71" i="2"/>
  <c r="GE186" i="2"/>
  <c r="GE172" i="2"/>
  <c r="GE144" i="2"/>
  <c r="GE79" i="2"/>
  <c r="GE122" i="2"/>
  <c r="GE4" i="2"/>
  <c r="GE128" i="2"/>
  <c r="GE91" i="2"/>
  <c r="GE68" i="2"/>
  <c r="GE163" i="2"/>
  <c r="GE81" i="2"/>
  <c r="GE196" i="2"/>
  <c r="GE12" i="2"/>
  <c r="GE167" i="2"/>
  <c r="GE58" i="2"/>
  <c r="GE138" i="2"/>
  <c r="GE194" i="2"/>
  <c r="GE86" i="2"/>
  <c r="GE83" i="2"/>
  <c r="GE145" i="2"/>
  <c r="GE154" i="2"/>
  <c r="GE108" i="2"/>
  <c r="GE11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CD197" i="2" l="1"/>
  <c r="CD38" i="2"/>
  <c r="CD108" i="2"/>
  <c r="CD78" i="2"/>
  <c r="CD8" i="2"/>
  <c r="CD23" i="2"/>
  <c r="CD21" i="2"/>
  <c r="CD138" i="2"/>
  <c r="CD113" i="2"/>
  <c r="CD165" i="2"/>
  <c r="CD114" i="2"/>
  <c r="CD35" i="2"/>
  <c r="CD203" i="2"/>
  <c r="CD145" i="2"/>
  <c r="CD39" i="2"/>
  <c r="CD5" i="2"/>
  <c r="CD142" i="2"/>
  <c r="CD129" i="2"/>
  <c r="CD202" i="2"/>
  <c r="CD65" i="2"/>
  <c r="CD183" i="2"/>
  <c r="CD53" i="2"/>
  <c r="CD105" i="2"/>
  <c r="CD177" i="2"/>
  <c r="CD72" i="2"/>
  <c r="CD37" i="2"/>
  <c r="CD192" i="2"/>
  <c r="CD89" i="2"/>
  <c r="CD83" i="2"/>
  <c r="CD128" i="2"/>
  <c r="CD132" i="2"/>
  <c r="CD110" i="2"/>
  <c r="CD3" i="2"/>
  <c r="C9" i="4" s="1"/>
  <c r="E9" i="4" s="1"/>
  <c r="F9" i="4" s="1"/>
  <c r="G9" i="4" s="1"/>
  <c r="L9" i="4" s="1"/>
  <c r="CD97" i="2"/>
  <c r="CD125" i="2"/>
  <c r="CD172" i="2"/>
  <c r="CD144" i="2"/>
  <c r="CD155" i="2"/>
  <c r="CD52" i="2"/>
  <c r="CD10" i="2"/>
  <c r="CD62" i="2"/>
  <c r="CD133" i="2"/>
  <c r="CD190" i="2"/>
  <c r="CD55" i="2"/>
  <c r="CD28" i="2"/>
  <c r="CD134" i="2"/>
  <c r="CD164" i="2"/>
  <c r="CD102" i="2"/>
  <c r="CD68" i="2"/>
  <c r="CD194" i="2"/>
  <c r="CD140" i="2"/>
  <c r="CD73" i="2"/>
  <c r="CD4" i="2"/>
  <c r="CD31" i="2"/>
  <c r="CD118" i="2"/>
  <c r="CD42" i="2"/>
  <c r="CD75" i="2"/>
  <c r="CD124" i="2"/>
  <c r="CD27" i="2"/>
  <c r="CD90" i="2"/>
  <c r="CD119" i="2"/>
  <c r="CD51" i="2"/>
  <c r="CD147" i="2"/>
  <c r="CD25" i="2"/>
  <c r="CD185" i="2"/>
  <c r="CD46" i="2"/>
  <c r="CD58" i="2"/>
  <c r="CD92" i="2"/>
  <c r="CD12" i="2"/>
  <c r="CD70" i="2"/>
  <c r="CD17" i="2"/>
  <c r="CD167" i="2"/>
  <c r="CD122" i="2"/>
  <c r="CD40" i="2"/>
  <c r="CD193" i="2"/>
  <c r="CD152" i="2"/>
  <c r="CD67" i="2"/>
  <c r="CD54" i="2"/>
  <c r="CD29" i="2"/>
  <c r="CD96" i="2"/>
  <c r="CD104" i="2"/>
  <c r="CD153" i="2"/>
  <c r="CD11" i="2"/>
  <c r="CD32" i="2"/>
  <c r="CD123" i="2"/>
  <c r="CD86" i="2"/>
  <c r="CD137" i="2"/>
  <c r="CD101" i="2"/>
  <c r="CD33" i="2"/>
  <c r="CD6" i="2"/>
  <c r="CD94" i="2"/>
  <c r="CD20" i="2"/>
  <c r="CD13" i="2"/>
  <c r="CD44" i="2"/>
  <c r="CD107" i="2"/>
  <c r="CD16" i="2"/>
  <c r="CD121" i="2"/>
  <c r="CD61" i="2"/>
  <c r="CD139" i="2"/>
  <c r="CD120" i="2"/>
  <c r="CD57" i="2"/>
  <c r="CD109" i="2"/>
  <c r="CD36" i="2"/>
  <c r="CD162" i="2"/>
  <c r="CD168" i="2"/>
  <c r="CD198" i="2"/>
  <c r="CD136" i="2"/>
  <c r="CD64" i="2"/>
  <c r="CD130" i="2"/>
  <c r="CD200" i="2"/>
  <c r="CD150" i="2"/>
  <c r="CD149" i="2"/>
  <c r="CD14" i="2"/>
  <c r="CD115" i="2"/>
  <c r="CD18" i="2"/>
  <c r="CD99" i="2"/>
  <c r="CD195" i="2"/>
  <c r="CD47" i="2"/>
  <c r="CD76" i="2"/>
  <c r="CD85" i="2"/>
  <c r="CD201" i="2"/>
  <c r="CD148" i="2"/>
  <c r="CD66" i="2"/>
  <c r="CD71" i="2"/>
  <c r="CD30" i="2"/>
  <c r="CD186" i="2"/>
  <c r="CD74" i="2"/>
  <c r="CD80" i="2"/>
  <c r="CD43" i="2"/>
  <c r="CD156" i="2"/>
  <c r="CD48" i="2"/>
  <c r="CD19" i="2"/>
  <c r="CD82" i="2"/>
  <c r="CD59" i="2"/>
  <c r="CD159" i="2"/>
  <c r="CD171" i="2"/>
  <c r="CD160" i="2"/>
  <c r="CD187" i="2"/>
  <c r="CD34" i="2"/>
  <c r="CD79" i="2"/>
  <c r="CD126" i="2"/>
  <c r="CD131" i="2"/>
  <c r="CD158" i="2"/>
  <c r="CD191" i="2"/>
  <c r="CD176" i="2"/>
  <c r="CD81" i="2"/>
  <c r="CD135" i="2"/>
  <c r="CD45" i="2"/>
  <c r="CD127" i="2"/>
  <c r="CD141" i="2"/>
  <c r="CD50" i="2"/>
  <c r="CD98" i="2"/>
  <c r="CD181" i="2"/>
  <c r="CD60" i="2"/>
  <c r="CD188" i="2"/>
  <c r="CD189" i="2"/>
  <c r="CD63" i="2"/>
  <c r="CD196" i="2"/>
  <c r="CD7" i="2"/>
  <c r="CD154" i="2"/>
  <c r="CD9" i="2"/>
  <c r="CD157" i="2"/>
  <c r="CD117" i="2"/>
  <c r="CD69" i="2"/>
  <c r="CD170" i="2"/>
  <c r="CD49" i="2"/>
  <c r="CD95" i="2"/>
  <c r="CD26" i="2"/>
  <c r="CD112" i="2"/>
  <c r="CD93" i="2"/>
  <c r="CD180" i="2"/>
  <c r="CD24" i="2"/>
  <c r="CD178" i="2"/>
  <c r="CD106" i="2"/>
  <c r="CD56" i="2"/>
  <c r="CD146" i="2"/>
  <c r="CD116" i="2"/>
  <c r="CD169" i="2"/>
  <c r="CD143" i="2"/>
  <c r="CD163" i="2"/>
  <c r="CD199" i="2"/>
  <c r="CD100" i="2"/>
  <c r="CD103" i="2"/>
  <c r="CD41" i="2"/>
  <c r="CD166" i="2"/>
  <c r="CD173" i="2"/>
  <c r="CD91" i="2"/>
  <c r="CD175" i="2"/>
  <c r="CD174" i="2"/>
  <c r="CD179" i="2"/>
  <c r="CD77" i="2"/>
  <c r="CD22" i="2"/>
  <c r="CD182" i="2"/>
  <c r="CD84" i="2"/>
  <c r="CD87" i="2"/>
  <c r="CD15" i="2"/>
  <c r="CD151" i="2"/>
  <c r="CD161" i="2"/>
  <c r="CD111" i="2"/>
  <c r="CD88" i="2"/>
  <c r="CD184" i="2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05" i="2" l="1"/>
  <c r="DT13" i="2"/>
  <c r="DT132" i="2"/>
  <c r="DT124" i="2"/>
  <c r="DT72" i="2"/>
  <c r="DT111" i="2"/>
  <c r="DT116" i="2"/>
  <c r="DT186" i="2"/>
  <c r="DT54" i="2"/>
  <c r="DT40" i="2"/>
  <c r="DT107" i="2"/>
  <c r="DT164" i="2"/>
  <c r="DT195" i="2"/>
  <c r="DT181" i="2"/>
  <c r="DT48" i="2"/>
  <c r="DT85" i="2"/>
  <c r="DT182" i="2"/>
  <c r="DT10" i="2"/>
  <c r="DT80" i="2"/>
  <c r="DT167" i="2"/>
  <c r="DT123" i="2"/>
  <c r="DT53" i="2"/>
  <c r="DT173" i="2"/>
  <c r="DT97" i="2"/>
  <c r="DT27" i="2"/>
  <c r="DT180" i="2"/>
  <c r="DT172" i="2"/>
  <c r="DT161" i="2"/>
  <c r="DT192" i="2"/>
  <c r="DT126" i="2"/>
  <c r="DT94" i="2"/>
  <c r="DT35" i="2"/>
  <c r="DT151" i="2"/>
  <c r="DT193" i="2"/>
  <c r="DT141" i="2"/>
  <c r="DT187" i="2"/>
  <c r="DT114" i="2"/>
  <c r="DT144" i="2"/>
  <c r="DT165" i="2"/>
  <c r="DT15" i="2"/>
  <c r="DT19" i="2"/>
  <c r="DT197" i="2"/>
  <c r="DT184" i="2"/>
  <c r="DT140" i="2"/>
  <c r="DT120" i="2"/>
  <c r="DT89" i="2"/>
  <c r="DT49" i="2"/>
  <c r="DT47" i="2"/>
  <c r="DT60" i="2"/>
  <c r="DT81" i="2"/>
  <c r="DT56" i="2"/>
  <c r="DT128" i="2"/>
  <c r="DT65" i="2"/>
  <c r="DT99" i="2"/>
  <c r="DT6" i="2"/>
  <c r="DT64" i="2"/>
  <c r="DT87" i="2"/>
  <c r="DT55" i="2"/>
  <c r="DT41" i="2"/>
  <c r="DT131" i="2"/>
  <c r="DT58" i="2"/>
  <c r="DT61" i="2"/>
  <c r="DT196" i="2"/>
  <c r="DT33" i="2"/>
  <c r="DT190" i="2"/>
  <c r="DT67" i="2"/>
  <c r="DT176" i="2"/>
  <c r="DT23" i="2"/>
  <c r="DT119" i="2"/>
  <c r="DT156" i="2"/>
  <c r="DT138" i="2"/>
  <c r="DT45" i="2"/>
  <c r="DT73" i="2"/>
  <c r="DT174" i="2"/>
  <c r="DT20" i="2"/>
  <c r="DT37" i="2"/>
  <c r="DT66" i="2"/>
  <c r="DT103" i="2"/>
  <c r="DT125" i="2"/>
  <c r="DT166" i="2"/>
  <c r="DT69" i="2"/>
  <c r="DT9" i="2"/>
  <c r="DT179" i="2"/>
  <c r="DT34" i="2"/>
  <c r="DT110" i="2"/>
  <c r="DT70" i="2"/>
  <c r="DT83" i="2"/>
  <c r="DT150" i="2"/>
  <c r="DT162" i="2"/>
  <c r="DT91" i="2"/>
  <c r="DT155" i="2"/>
  <c r="DT21" i="2"/>
  <c r="DT31" i="2"/>
  <c r="DT178" i="2"/>
  <c r="DT5" i="2"/>
  <c r="DT92" i="2"/>
  <c r="DT127" i="2"/>
  <c r="DT93" i="2"/>
  <c r="DT104" i="2"/>
  <c r="DT25" i="2"/>
  <c r="DT203" i="2"/>
  <c r="DT149" i="2"/>
  <c r="DT130" i="2"/>
  <c r="DT79" i="2"/>
  <c r="DT12" i="2"/>
  <c r="DT115" i="2"/>
  <c r="DT96" i="2"/>
  <c r="DT90" i="2"/>
  <c r="DT39" i="2"/>
  <c r="DT22" i="2"/>
  <c r="DT160" i="2"/>
  <c r="DT16" i="2"/>
  <c r="DT122" i="2"/>
  <c r="DT202" i="2"/>
  <c r="DT38" i="2"/>
  <c r="DT14" i="2"/>
  <c r="DT11" i="2"/>
  <c r="DT136" i="2"/>
  <c r="DT8" i="2"/>
  <c r="DT24" i="2"/>
  <c r="DT152" i="2"/>
  <c r="DT32" i="2"/>
  <c r="DT175" i="2"/>
  <c r="DT147" i="2"/>
  <c r="DT201" i="2"/>
  <c r="DT137" i="2"/>
  <c r="DT112" i="2"/>
  <c r="DT188" i="2"/>
  <c r="DT71" i="2"/>
  <c r="DT17" i="2"/>
  <c r="DT42" i="2"/>
  <c r="DT63" i="2"/>
  <c r="DT3" i="2"/>
  <c r="C11" i="4" s="1"/>
  <c r="E11" i="4" s="1"/>
  <c r="F11" i="4" s="1"/>
  <c r="G11" i="4" s="1"/>
  <c r="L11" i="4" s="1"/>
  <c r="DT102" i="2"/>
  <c r="DT100" i="2"/>
  <c r="DT113" i="2"/>
  <c r="DT158" i="2"/>
  <c r="DT101" i="2"/>
  <c r="DT84" i="2"/>
  <c r="DT198" i="2"/>
  <c r="DT98" i="2"/>
  <c r="DT7" i="2"/>
  <c r="DT189" i="2"/>
  <c r="DT18" i="2"/>
  <c r="DT170" i="2"/>
  <c r="DT68" i="2"/>
  <c r="DT74" i="2"/>
  <c r="DT75" i="2"/>
  <c r="DT134" i="2"/>
  <c r="DT36" i="2"/>
  <c r="DT76" i="2"/>
  <c r="DT145" i="2"/>
  <c r="DT78" i="2"/>
  <c r="DT109" i="2"/>
  <c r="DT199" i="2"/>
  <c r="DT29" i="2"/>
  <c r="DT154" i="2"/>
  <c r="DT153" i="2"/>
  <c r="DT185" i="2"/>
  <c r="DT59" i="2"/>
  <c r="DT117" i="2"/>
  <c r="DT148" i="2"/>
  <c r="DT106" i="2"/>
  <c r="DT82" i="2"/>
  <c r="DT135" i="2"/>
  <c r="DT129" i="2"/>
  <c r="DT62" i="2"/>
  <c r="DT163" i="2"/>
  <c r="DT142" i="2"/>
  <c r="DT133" i="2"/>
  <c r="DT95" i="2"/>
  <c r="DT43" i="2"/>
  <c r="DT121" i="2"/>
  <c r="DT86" i="2"/>
  <c r="DT139" i="2"/>
  <c r="DT168" i="2"/>
  <c r="DT200" i="2"/>
  <c r="DT28" i="2"/>
  <c r="DT50" i="2"/>
  <c r="DT191" i="2"/>
  <c r="DT30" i="2"/>
  <c r="DT77" i="2"/>
  <c r="DT157" i="2"/>
  <c r="DT44" i="2"/>
  <c r="DT194" i="2"/>
  <c r="DT171" i="2"/>
  <c r="DT169" i="2"/>
  <c r="DT46" i="2"/>
  <c r="DT143" i="2"/>
  <c r="DT88" i="2"/>
  <c r="DT57" i="2"/>
  <c r="DT146" i="2"/>
  <c r="DT52" i="2"/>
  <c r="DT4" i="2"/>
  <c r="DT183" i="2"/>
  <c r="DT118" i="2"/>
  <c r="DT51" i="2"/>
  <c r="DT159" i="2"/>
  <c r="DT26" i="2"/>
  <c r="DT177" i="2"/>
  <c r="DT108" i="2"/>
  <c r="FJ81" i="2"/>
  <c r="FJ154" i="2"/>
  <c r="FJ121" i="2"/>
  <c r="FJ96" i="2"/>
  <c r="FJ114" i="2"/>
  <c r="FJ57" i="2"/>
  <c r="FJ190" i="2"/>
  <c r="FJ160" i="2"/>
  <c r="FJ30" i="2"/>
  <c r="FJ161" i="2"/>
  <c r="FJ82" i="2"/>
  <c r="FJ169" i="2"/>
  <c r="FJ68" i="2"/>
  <c r="FJ100" i="2"/>
  <c r="FJ126" i="2"/>
  <c r="FJ112" i="2"/>
  <c r="FJ140" i="2"/>
  <c r="FJ109" i="2"/>
  <c r="FJ116" i="2"/>
  <c r="FJ33" i="2"/>
  <c r="FJ118" i="2"/>
  <c r="FJ49" i="2"/>
  <c r="FJ120" i="2"/>
  <c r="FJ158" i="2"/>
  <c r="FJ52" i="2"/>
  <c r="FJ196" i="2"/>
  <c r="FJ4" i="2"/>
  <c r="FJ40" i="2"/>
  <c r="FJ137" i="2"/>
  <c r="FJ195" i="2"/>
  <c r="FJ198" i="2"/>
  <c r="FJ159" i="2"/>
  <c r="FJ175" i="2"/>
  <c r="FJ86" i="2"/>
  <c r="FJ103" i="2"/>
  <c r="FJ168" i="2"/>
  <c r="FJ186" i="2"/>
  <c r="FJ46" i="2"/>
  <c r="FJ124" i="2"/>
  <c r="FJ122" i="2"/>
  <c r="FJ62" i="2"/>
  <c r="FJ98" i="2"/>
  <c r="FJ127" i="2"/>
  <c r="FJ56" i="2"/>
  <c r="FJ15" i="2"/>
  <c r="FJ176" i="2"/>
  <c r="FJ157" i="2"/>
  <c r="FJ119" i="2"/>
  <c r="FJ199" i="2"/>
  <c r="FJ32" i="2"/>
  <c r="FJ189" i="2"/>
  <c r="FJ104" i="2"/>
  <c r="FJ167" i="2"/>
  <c r="FJ12" i="2"/>
  <c r="FJ39" i="2"/>
  <c r="FJ148" i="2"/>
  <c r="FJ172" i="2"/>
  <c r="FJ63" i="2"/>
  <c r="FJ182" i="2"/>
  <c r="FJ192" i="2"/>
  <c r="FJ26" i="2"/>
  <c r="FJ141" i="2"/>
  <c r="FJ18" i="2"/>
  <c r="FJ133" i="2"/>
  <c r="FJ80" i="2"/>
  <c r="FJ99" i="2"/>
  <c r="FJ147" i="2"/>
  <c r="FJ89" i="2"/>
  <c r="FJ201" i="2"/>
  <c r="FJ75" i="2"/>
  <c r="FJ165" i="2"/>
  <c r="FJ50" i="2"/>
  <c r="FJ150" i="2"/>
  <c r="FJ97" i="2"/>
  <c r="FJ129" i="2"/>
  <c r="FJ19" i="2"/>
  <c r="FJ187" i="2"/>
  <c r="FJ146" i="2"/>
  <c r="FJ108" i="2"/>
  <c r="FJ123" i="2"/>
  <c r="FJ55" i="2"/>
  <c r="FJ85" i="2"/>
  <c r="FJ47" i="2"/>
  <c r="FJ27" i="2"/>
  <c r="FJ53" i="2"/>
  <c r="FJ178" i="2"/>
  <c r="FJ66" i="2"/>
  <c r="FJ110" i="2"/>
  <c r="FJ94" i="2"/>
  <c r="FJ164" i="2"/>
  <c r="FJ24" i="2"/>
  <c r="FJ76" i="2"/>
  <c r="FJ151" i="2"/>
  <c r="FJ188" i="2"/>
  <c r="FJ117" i="2"/>
  <c r="FJ193" i="2"/>
  <c r="FJ113" i="2"/>
  <c r="FJ78" i="2"/>
  <c r="FJ3" i="2"/>
  <c r="C13" i="4" s="1"/>
  <c r="E13" i="4" s="1"/>
  <c r="F13" i="4" s="1"/>
  <c r="G13" i="4" s="1"/>
  <c r="L13" i="4" s="1"/>
  <c r="FJ128" i="2"/>
  <c r="FJ131" i="2"/>
  <c r="FJ74" i="2"/>
  <c r="FJ153" i="2"/>
  <c r="FJ31" i="2"/>
  <c r="FJ65" i="2"/>
  <c r="FJ88" i="2"/>
  <c r="FJ17" i="2"/>
  <c r="FJ111" i="2"/>
  <c r="FJ64" i="2"/>
  <c r="FJ139" i="2"/>
  <c r="FJ69" i="2"/>
  <c r="FJ179" i="2"/>
  <c r="FJ202" i="2"/>
  <c r="FJ84" i="2"/>
  <c r="FJ72" i="2"/>
  <c r="FJ59" i="2"/>
  <c r="FJ142" i="2"/>
  <c r="FJ185" i="2"/>
  <c r="FJ106" i="2"/>
  <c r="FJ91" i="2"/>
  <c r="FJ79" i="2"/>
  <c r="FJ16" i="2"/>
  <c r="FJ45" i="2"/>
  <c r="FJ174" i="2"/>
  <c r="FJ115" i="2"/>
  <c r="FJ29" i="2"/>
  <c r="FJ125" i="2"/>
  <c r="FJ200" i="2"/>
  <c r="FJ194" i="2"/>
  <c r="FJ13" i="2"/>
  <c r="FJ149" i="2"/>
  <c r="FJ23" i="2"/>
  <c r="FJ77" i="2"/>
  <c r="FJ132" i="2"/>
  <c r="FJ173" i="2"/>
  <c r="FJ36" i="2"/>
  <c r="FJ70" i="2"/>
  <c r="FJ44" i="2"/>
  <c r="FJ51" i="2"/>
  <c r="FJ184" i="2"/>
  <c r="FJ25" i="2"/>
  <c r="FJ181" i="2"/>
  <c r="FJ35" i="2"/>
  <c r="FJ177" i="2"/>
  <c r="FJ60" i="2"/>
  <c r="FJ170" i="2"/>
  <c r="FJ41" i="2"/>
  <c r="FJ21" i="2"/>
  <c r="FJ42" i="2"/>
  <c r="FJ138" i="2"/>
  <c r="FJ130" i="2"/>
  <c r="FJ136" i="2"/>
  <c r="FJ83" i="2"/>
  <c r="FJ152" i="2"/>
  <c r="FJ163" i="2"/>
  <c r="FJ203" i="2"/>
  <c r="FJ162" i="2"/>
  <c r="FJ67" i="2"/>
  <c r="FJ90" i="2"/>
  <c r="FJ102" i="2"/>
  <c r="FJ155" i="2"/>
  <c r="FJ171" i="2"/>
  <c r="FJ28" i="2"/>
  <c r="FJ8" i="2"/>
  <c r="FJ143" i="2"/>
  <c r="FJ156" i="2"/>
  <c r="FJ54" i="2"/>
  <c r="FJ101" i="2"/>
  <c r="FJ38" i="2"/>
  <c r="FJ37" i="2"/>
  <c r="FJ9" i="2"/>
  <c r="FJ92" i="2"/>
  <c r="FJ61" i="2"/>
  <c r="FJ135" i="2"/>
  <c r="FJ93" i="2"/>
  <c r="FJ58" i="2"/>
  <c r="FJ183" i="2"/>
  <c r="FJ87" i="2"/>
  <c r="FJ20" i="2"/>
  <c r="FJ43" i="2"/>
  <c r="FJ48" i="2"/>
  <c r="FJ5" i="2"/>
  <c r="FJ34" i="2"/>
  <c r="FJ105" i="2"/>
  <c r="FJ107" i="2"/>
  <c r="FJ95" i="2"/>
  <c r="FJ134" i="2"/>
  <c r="FJ11" i="2"/>
  <c r="FJ22" i="2"/>
  <c r="FJ144" i="2"/>
  <c r="FJ71" i="2"/>
  <c r="FJ191" i="2"/>
  <c r="FJ180" i="2"/>
  <c r="FJ14" i="2"/>
  <c r="FJ73" i="2"/>
  <c r="FJ166" i="2"/>
  <c r="FJ10" i="2"/>
  <c r="FJ197" i="2"/>
  <c r="FJ6" i="2"/>
  <c r="FJ145" i="2"/>
  <c r="FJ7" i="2"/>
  <c r="GZ173" i="2"/>
  <c r="GZ112" i="2"/>
  <c r="GZ14" i="2"/>
  <c r="GZ28" i="2"/>
  <c r="GZ29" i="2"/>
  <c r="GZ147" i="2"/>
  <c r="GZ198" i="2"/>
  <c r="GZ199" i="2"/>
  <c r="GZ46" i="2"/>
  <c r="GZ177" i="2"/>
  <c r="GZ178" i="2"/>
  <c r="GZ25" i="2"/>
  <c r="GZ140" i="2"/>
  <c r="GZ141" i="2"/>
  <c r="GZ126" i="2"/>
  <c r="GZ111" i="2"/>
  <c r="GZ116" i="2"/>
  <c r="GZ105" i="2"/>
  <c r="GZ90" i="2"/>
  <c r="GZ6" i="2"/>
  <c r="GZ68" i="2"/>
  <c r="GZ53" i="2"/>
  <c r="GZ184" i="2"/>
  <c r="GZ39" i="2"/>
  <c r="GZ32" i="2"/>
  <c r="GZ187" i="2"/>
  <c r="GZ63" i="2"/>
  <c r="GZ202" i="2"/>
  <c r="GZ118" i="2"/>
  <c r="GZ42" i="2"/>
  <c r="GZ165" i="2"/>
  <c r="GZ97" i="2"/>
  <c r="GZ5" i="2"/>
  <c r="GZ144" i="2"/>
  <c r="GZ60" i="2"/>
  <c r="GZ175" i="2"/>
  <c r="GZ51" i="2"/>
  <c r="GZ31" i="2"/>
  <c r="GZ154" i="2"/>
  <c r="GZ78" i="2"/>
  <c r="GZ10" i="2"/>
  <c r="GZ117" i="2"/>
  <c r="GZ8" i="2"/>
  <c r="GZ172" i="2"/>
  <c r="GZ96" i="2"/>
  <c r="GZ81" i="2"/>
  <c r="GZ143" i="2"/>
  <c r="GZ181" i="2"/>
  <c r="GZ44" i="2"/>
  <c r="GZ122" i="2"/>
  <c r="GZ160" i="2"/>
  <c r="GZ15" i="2"/>
  <c r="GZ85" i="2"/>
  <c r="GZ179" i="2"/>
  <c r="GZ18" i="2"/>
  <c r="GZ64" i="2"/>
  <c r="GZ94" i="2"/>
  <c r="GZ180" i="2"/>
  <c r="GZ11" i="2"/>
  <c r="GZ73" i="2"/>
  <c r="GZ151" i="2"/>
  <c r="GZ197" i="2"/>
  <c r="GZ36" i="2"/>
  <c r="GZ130" i="2"/>
  <c r="GZ176" i="2"/>
  <c r="GZ7" i="2"/>
  <c r="GZ93" i="2"/>
  <c r="GZ35" i="2"/>
  <c r="GZ185" i="2"/>
  <c r="GZ72" i="2"/>
  <c r="GZ57" i="2"/>
  <c r="GZ148" i="2"/>
  <c r="GZ75" i="2"/>
  <c r="GZ20" i="2"/>
  <c r="GZ119" i="2"/>
  <c r="GZ136" i="2"/>
  <c r="GZ190" i="2"/>
  <c r="GZ41" i="2"/>
  <c r="GZ98" i="2"/>
  <c r="GZ155" i="2"/>
  <c r="GZ169" i="2"/>
  <c r="GZ61" i="2"/>
  <c r="GZ70" i="2"/>
  <c r="GZ193" i="2"/>
  <c r="GZ40" i="2"/>
  <c r="GZ49" i="2"/>
  <c r="GZ156" i="2"/>
  <c r="GZ67" i="2"/>
  <c r="GZ12" i="2"/>
  <c r="GZ127" i="2"/>
  <c r="GZ19" i="2"/>
  <c r="GZ182" i="2"/>
  <c r="GZ106" i="2"/>
  <c r="GZ30" i="2"/>
  <c r="GZ161" i="2"/>
  <c r="GZ69" i="2"/>
  <c r="GZ9" i="2"/>
  <c r="GZ124" i="2"/>
  <c r="GZ48" i="2"/>
  <c r="GZ99" i="2"/>
  <c r="GZ95" i="2"/>
  <c r="GZ131" i="2"/>
  <c r="GZ89" i="2"/>
  <c r="GZ74" i="2"/>
  <c r="GZ189" i="2"/>
  <c r="GZ52" i="2"/>
  <c r="GZ37" i="2"/>
  <c r="GZ168" i="2"/>
  <c r="GZ23" i="2"/>
  <c r="GZ16" i="2"/>
  <c r="GZ171" i="2"/>
  <c r="GZ132" i="2"/>
  <c r="GZ186" i="2"/>
  <c r="GZ102" i="2"/>
  <c r="GZ103" i="2"/>
  <c r="GZ149" i="2"/>
  <c r="GZ123" i="2"/>
  <c r="GZ82" i="2"/>
  <c r="GZ128" i="2"/>
  <c r="GZ158" i="2"/>
  <c r="GZ110" i="2"/>
  <c r="GZ91" i="2"/>
  <c r="GZ137" i="2"/>
  <c r="GZ24" i="2"/>
  <c r="GZ62" i="2"/>
  <c r="GZ100" i="2"/>
  <c r="GZ194" i="2"/>
  <c r="GZ71" i="2"/>
  <c r="GZ157" i="2"/>
  <c r="GZ142" i="2"/>
  <c r="GZ50" i="2"/>
  <c r="GZ203" i="2"/>
  <c r="GZ121" i="2"/>
  <c r="GZ13" i="2"/>
  <c r="GZ22" i="2"/>
  <c r="GZ84" i="2"/>
  <c r="GZ183" i="2"/>
  <c r="GZ200" i="2"/>
  <c r="GZ201" i="2"/>
  <c r="GZ162" i="2"/>
  <c r="GZ59" i="2"/>
  <c r="GZ164" i="2"/>
  <c r="GZ125" i="2"/>
  <c r="GZ134" i="2"/>
  <c r="GZ135" i="2"/>
  <c r="GZ104" i="2"/>
  <c r="GZ113" i="2"/>
  <c r="GZ114" i="2"/>
  <c r="GZ83" i="2"/>
  <c r="GZ76" i="2"/>
  <c r="GZ77" i="2"/>
  <c r="GZ38" i="2"/>
  <c r="GZ47" i="2"/>
  <c r="GZ56" i="2"/>
  <c r="GZ17" i="2"/>
  <c r="GZ26" i="2"/>
  <c r="GZ195" i="2"/>
  <c r="GZ4" i="2"/>
  <c r="GZ188" i="2"/>
  <c r="GZ120" i="2"/>
  <c r="GZ174" i="2"/>
  <c r="GZ159" i="2"/>
  <c r="GZ27" i="2"/>
  <c r="GZ153" i="2"/>
  <c r="GZ138" i="2"/>
  <c r="GZ54" i="2"/>
  <c r="GZ55" i="2"/>
  <c r="GZ101" i="2"/>
  <c r="GZ33" i="2"/>
  <c r="GZ34" i="2"/>
  <c r="GZ80" i="2"/>
  <c r="GZ163" i="2"/>
  <c r="GZ196" i="2"/>
  <c r="GZ139" i="2"/>
  <c r="GZ166" i="2"/>
  <c r="GZ167" i="2"/>
  <c r="GZ145" i="2"/>
  <c r="GZ146" i="2"/>
  <c r="GZ192" i="2"/>
  <c r="GZ108" i="2"/>
  <c r="GZ109" i="2"/>
  <c r="GZ43" i="2"/>
  <c r="GZ79" i="2"/>
  <c r="GZ88" i="2"/>
  <c r="GZ107" i="2"/>
  <c r="GZ58" i="2"/>
  <c r="GZ45" i="2"/>
  <c r="GZ150" i="2"/>
  <c r="GZ21" i="2"/>
  <c r="GZ152" i="2"/>
  <c r="GZ129" i="2"/>
  <c r="GZ191" i="2"/>
  <c r="GZ115" i="2"/>
  <c r="GZ92" i="2"/>
  <c r="GZ170" i="2"/>
  <c r="GZ86" i="2"/>
  <c r="GZ87" i="2"/>
  <c r="GZ133" i="2"/>
  <c r="GZ65" i="2"/>
  <c r="GZ66" i="2"/>
  <c r="GZ3" i="2"/>
  <c r="C15" i="4" s="1"/>
  <c r="E15" i="4" s="1"/>
  <c r="F15" i="4" s="1"/>
  <c r="G15" i="4" s="1"/>
  <c r="L15" i="4" s="1"/>
  <c r="CY20" i="2"/>
  <c r="CY43" i="2"/>
  <c r="CY24" i="2"/>
  <c r="CY21" i="2"/>
  <c r="CY153" i="2"/>
  <c r="CY45" i="2"/>
  <c r="CY83" i="2"/>
  <c r="CY39" i="2"/>
  <c r="CY71" i="2"/>
  <c r="CY141" i="2"/>
  <c r="CY193" i="2"/>
  <c r="CY72" i="2"/>
  <c r="CY19" i="2"/>
  <c r="CY172" i="2"/>
  <c r="CY59" i="2"/>
  <c r="CY77" i="2"/>
  <c r="CY94" i="2"/>
  <c r="CY17" i="2"/>
  <c r="CY146" i="2"/>
  <c r="CY65" i="2"/>
  <c r="CY87" i="2"/>
  <c r="CY23" i="2"/>
  <c r="CY40" i="2"/>
  <c r="CY63" i="2"/>
  <c r="CY150" i="2"/>
  <c r="CY156" i="2"/>
  <c r="CY12" i="2"/>
  <c r="CY198" i="2"/>
  <c r="CY203" i="2"/>
  <c r="CY179" i="2"/>
  <c r="CY143" i="2"/>
  <c r="CY189" i="2"/>
  <c r="CY171" i="2"/>
  <c r="CY26" i="2"/>
  <c r="CY97" i="2"/>
  <c r="CY164" i="2"/>
  <c r="CY78" i="2"/>
  <c r="CY47" i="2"/>
  <c r="CY42" i="2"/>
  <c r="CY145" i="2"/>
  <c r="CY85" i="2"/>
  <c r="CY88" i="2"/>
  <c r="CY5" i="2"/>
  <c r="CY144" i="2"/>
  <c r="CY98" i="2"/>
  <c r="CY51" i="2"/>
  <c r="CY6" i="2"/>
  <c r="CY66" i="2"/>
  <c r="CY60" i="2"/>
  <c r="CY157" i="2"/>
  <c r="CY99" i="2"/>
  <c r="CY190" i="2"/>
  <c r="CY133" i="2"/>
  <c r="CY33" i="2"/>
  <c r="CY188" i="2"/>
  <c r="CY70" i="2"/>
  <c r="CY166" i="2"/>
  <c r="CY149" i="2"/>
  <c r="CY58" i="2"/>
  <c r="CY132" i="2"/>
  <c r="CY184" i="2"/>
  <c r="CY16" i="2"/>
  <c r="CY44" i="2"/>
  <c r="CY82" i="2"/>
  <c r="CY191" i="2"/>
  <c r="CY167" i="2"/>
  <c r="CY195" i="2"/>
  <c r="CY112" i="2"/>
  <c r="CY11" i="2"/>
  <c r="CY117" i="2"/>
  <c r="CY22" i="2"/>
  <c r="CY103" i="2"/>
  <c r="CY32" i="2"/>
  <c r="CY170" i="2"/>
  <c r="CY7" i="2"/>
  <c r="CY50" i="2"/>
  <c r="CY163" i="2"/>
  <c r="CY116" i="2"/>
  <c r="CY139" i="2"/>
  <c r="CY123" i="2"/>
  <c r="CY126" i="2"/>
  <c r="CY106" i="2"/>
  <c r="CY131" i="2"/>
  <c r="CY31" i="2"/>
  <c r="CY124" i="2"/>
  <c r="CY9" i="2"/>
  <c r="CY201" i="2"/>
  <c r="CY192" i="2"/>
  <c r="CY80" i="2"/>
  <c r="CY154" i="2"/>
  <c r="CY152" i="2"/>
  <c r="CY177" i="2"/>
  <c r="CY199" i="2"/>
  <c r="CY125" i="2"/>
  <c r="CY127" i="2"/>
  <c r="CY119" i="2"/>
  <c r="CY181" i="2"/>
  <c r="CY62" i="2"/>
  <c r="CY95" i="2"/>
  <c r="CY49" i="2"/>
  <c r="CY130" i="2"/>
  <c r="CY54" i="2"/>
  <c r="CY53" i="2"/>
  <c r="CY64" i="2"/>
  <c r="CY183" i="2"/>
  <c r="CY134" i="2"/>
  <c r="CY160" i="2"/>
  <c r="CY67" i="2"/>
  <c r="CY121" i="2"/>
  <c r="CY81" i="2"/>
  <c r="CY111" i="2"/>
  <c r="CY38" i="2"/>
  <c r="CY165" i="2"/>
  <c r="CY69" i="2"/>
  <c r="CY173" i="2"/>
  <c r="CY122" i="2"/>
  <c r="CY102" i="2"/>
  <c r="CY56" i="2"/>
  <c r="CY108" i="2"/>
  <c r="CY10" i="2"/>
  <c r="CY96" i="2"/>
  <c r="CY168" i="2"/>
  <c r="CY76" i="2"/>
  <c r="CY194" i="2"/>
  <c r="CY15" i="2"/>
  <c r="CY73" i="2"/>
  <c r="CY8" i="2"/>
  <c r="CY28" i="2"/>
  <c r="CY113" i="2"/>
  <c r="CY36" i="2"/>
  <c r="CY57" i="2"/>
  <c r="CY180" i="2"/>
  <c r="CY55" i="2"/>
  <c r="CY109" i="2"/>
  <c r="CY176" i="2"/>
  <c r="CY120" i="2"/>
  <c r="CY147" i="2"/>
  <c r="CY107" i="2"/>
  <c r="CY104" i="2"/>
  <c r="CY142" i="2"/>
  <c r="CY138" i="2"/>
  <c r="CY187" i="2"/>
  <c r="CY68" i="2"/>
  <c r="CY91" i="2"/>
  <c r="CY159" i="2"/>
  <c r="CY115" i="2"/>
  <c r="CY89" i="2"/>
  <c r="CY140" i="2"/>
  <c r="CY52" i="2"/>
  <c r="CY128" i="2"/>
  <c r="CY79" i="2"/>
  <c r="CY84" i="2"/>
  <c r="CY25" i="2"/>
  <c r="CY182" i="2"/>
  <c r="CY35" i="2"/>
  <c r="CY148" i="2"/>
  <c r="CY155" i="2"/>
  <c r="CY3" i="2"/>
  <c r="C10" i="4" s="1"/>
  <c r="E10" i="4" s="1"/>
  <c r="F10" i="4" s="1"/>
  <c r="G10" i="4" s="1"/>
  <c r="L10" i="4" s="1"/>
  <c r="CY162" i="2"/>
  <c r="CY169" i="2"/>
  <c r="CY74" i="2"/>
  <c r="CY129" i="2"/>
  <c r="CY178" i="2"/>
  <c r="CY110" i="2"/>
  <c r="CY29" i="2"/>
  <c r="CY48" i="2"/>
  <c r="CY46" i="2"/>
  <c r="CY14" i="2"/>
  <c r="CY105" i="2"/>
  <c r="CY137" i="2"/>
  <c r="CY18" i="2"/>
  <c r="CY114" i="2"/>
  <c r="CY100" i="2"/>
  <c r="CY135" i="2"/>
  <c r="CY37" i="2"/>
  <c r="CY185" i="2"/>
  <c r="CY13" i="2"/>
  <c r="CY186" i="2"/>
  <c r="CY136" i="2"/>
  <c r="CY61" i="2"/>
  <c r="CY101" i="2"/>
  <c r="CY197" i="2"/>
  <c r="CY92" i="2"/>
  <c r="CY158" i="2"/>
  <c r="CY30" i="2"/>
  <c r="CY175" i="2"/>
  <c r="CY27" i="2"/>
  <c r="CY41" i="2"/>
  <c r="CY90" i="2"/>
  <c r="CY93" i="2"/>
  <c r="CY118" i="2"/>
  <c r="CY34" i="2"/>
  <c r="CY86" i="2"/>
  <c r="CY161" i="2"/>
  <c r="CY200" i="2"/>
  <c r="CY174" i="2"/>
  <c r="CY196" i="2"/>
  <c r="CY202" i="2"/>
  <c r="CY4" i="2"/>
  <c r="CY75" i="2"/>
  <c r="CY15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0" i="2"/>
  <c r="BI150" i="2"/>
  <c r="BI155" i="2"/>
  <c r="BI78" i="2"/>
  <c r="BI127" i="2"/>
  <c r="BI85" i="2"/>
  <c r="BI163" i="2"/>
  <c r="BI133" i="2"/>
  <c r="BI104" i="2"/>
  <c r="BI168" i="2"/>
  <c r="BI77" i="2"/>
  <c r="BI109" i="2"/>
  <c r="BI119" i="2"/>
  <c r="BI51" i="2"/>
  <c r="BI165" i="2"/>
  <c r="BI199" i="2"/>
  <c r="BI148" i="2"/>
  <c r="BI176" i="2"/>
  <c r="BI196" i="2"/>
  <c r="BI68" i="2"/>
  <c r="BI80" i="2"/>
  <c r="BI144" i="2"/>
  <c r="BI158" i="2"/>
  <c r="BI101" i="2"/>
  <c r="BI145" i="2"/>
  <c r="BI166" i="2"/>
  <c r="BI34" i="2"/>
  <c r="BI30" i="2"/>
  <c r="BI202" i="2"/>
  <c r="BI124" i="2"/>
  <c r="BI96" i="2"/>
  <c r="BI161" i="2"/>
  <c r="BI36" i="2"/>
  <c r="BI115" i="2"/>
  <c r="BI37" i="2"/>
  <c r="BI187" i="2"/>
  <c r="BI159" i="2"/>
  <c r="BI201" i="2"/>
  <c r="BI103" i="2"/>
  <c r="BI42" i="2"/>
  <c r="BI191" i="2"/>
  <c r="BI21" i="2"/>
  <c r="BI67" i="2"/>
  <c r="BI9" i="2"/>
  <c r="BI134" i="2"/>
  <c r="BI6" i="2"/>
  <c r="BI169" i="2"/>
  <c r="BI106" i="2"/>
  <c r="BI46" i="2"/>
  <c r="BI183" i="2"/>
  <c r="BI121" i="2"/>
  <c r="BI44" i="2"/>
  <c r="BI178" i="2"/>
  <c r="BI41" i="2"/>
  <c r="BI22" i="2"/>
  <c r="BI79" i="2"/>
  <c r="BI186" i="2"/>
  <c r="BI162" i="2"/>
  <c r="BI76" i="2"/>
  <c r="BI86" i="2"/>
  <c r="BI20" i="2"/>
  <c r="BI179" i="2"/>
  <c r="BI50" i="2"/>
  <c r="BI100" i="2"/>
  <c r="BI142" i="2"/>
  <c r="BI89" i="2"/>
  <c r="BI117" i="2"/>
  <c r="BI194" i="2"/>
  <c r="BI140" i="2"/>
  <c r="BI143" i="2"/>
  <c r="BI175" i="2"/>
  <c r="BI102" i="2"/>
  <c r="BI123" i="2"/>
  <c r="BI48" i="2"/>
  <c r="BI136" i="2"/>
  <c r="BI118" i="2"/>
  <c r="BI24" i="2"/>
  <c r="BI132" i="2"/>
  <c r="BI53" i="2"/>
  <c r="BI84" i="2"/>
  <c r="BI157" i="2"/>
  <c r="BI184" i="2"/>
  <c r="BI7" i="2"/>
  <c r="BI14" i="2"/>
  <c r="BI107" i="2"/>
  <c r="BI147" i="2"/>
  <c r="BI188" i="2"/>
  <c r="BI56" i="2"/>
  <c r="BI3" i="2"/>
  <c r="C8" i="4" s="1"/>
  <c r="E8" i="4" s="1"/>
  <c r="F8" i="4" s="1"/>
  <c r="G8" i="4" s="1"/>
  <c r="L8" i="4" s="1"/>
  <c r="BI8" i="2"/>
  <c r="BI40" i="2"/>
  <c r="BI74" i="2"/>
  <c r="BI64" i="2"/>
  <c r="BI62" i="2"/>
  <c r="BI112" i="2"/>
  <c r="BI193" i="2"/>
  <c r="BI75" i="2"/>
  <c r="BI126" i="2"/>
  <c r="BI154" i="2"/>
  <c r="BI95" i="2"/>
  <c r="BI18" i="2"/>
  <c r="BI116" i="2"/>
  <c r="BI149" i="2"/>
  <c r="BI135" i="2"/>
  <c r="BI87" i="2"/>
  <c r="BI182" i="2"/>
  <c r="BI55" i="2"/>
  <c r="BI83" i="2"/>
  <c r="BI17" i="2"/>
  <c r="BI19" i="2"/>
  <c r="BI4" i="2"/>
  <c r="BI10" i="2"/>
  <c r="BI151" i="2"/>
  <c r="BI66" i="2"/>
  <c r="BI128" i="2"/>
  <c r="BI181" i="2"/>
  <c r="BI192" i="2"/>
  <c r="BI105" i="2"/>
  <c r="BI73" i="2"/>
  <c r="BI58" i="2"/>
  <c r="BI13" i="2"/>
  <c r="BI57" i="2"/>
  <c r="BI65" i="2"/>
  <c r="BI122" i="2"/>
  <c r="BI200" i="2"/>
  <c r="BI25" i="2"/>
  <c r="BI190" i="2"/>
  <c r="BI170" i="2"/>
  <c r="BI43" i="2"/>
  <c r="BI11" i="2"/>
  <c r="BI129" i="2"/>
  <c r="BI173" i="2"/>
  <c r="BI38" i="2"/>
  <c r="BI180" i="2"/>
  <c r="BI82" i="2"/>
  <c r="BI152" i="2"/>
  <c r="BI63" i="2"/>
  <c r="BI114" i="2"/>
  <c r="BI91" i="2"/>
  <c r="BI59" i="2"/>
  <c r="BI137" i="2"/>
  <c r="BI49" i="2"/>
  <c r="BI92" i="2"/>
  <c r="BI54" i="2"/>
  <c r="BI111" i="2"/>
  <c r="BI16" i="2"/>
  <c r="BI156" i="2"/>
  <c r="BI12" i="2"/>
  <c r="BI52" i="2"/>
  <c r="BI33" i="2"/>
  <c r="BI189" i="2"/>
  <c r="BI108" i="2"/>
  <c r="BI69" i="2"/>
  <c r="BI99" i="2"/>
  <c r="BI120" i="2"/>
  <c r="BI27" i="2"/>
  <c r="BI5" i="2"/>
  <c r="BI61" i="2"/>
  <c r="BI113" i="2"/>
  <c r="BI39" i="2"/>
  <c r="BI185" i="2"/>
  <c r="BI172" i="2"/>
  <c r="BI26" i="2"/>
  <c r="BI32" i="2"/>
  <c r="BI35" i="2"/>
  <c r="BI72" i="2"/>
  <c r="BI90" i="2"/>
  <c r="BI15" i="2"/>
  <c r="BI139" i="2"/>
  <c r="BI23" i="2"/>
  <c r="BI60" i="2"/>
  <c r="BI71" i="2"/>
  <c r="BI45" i="2"/>
  <c r="BI171" i="2"/>
  <c r="BI131" i="2"/>
  <c r="BI203" i="2"/>
  <c r="BI93" i="2"/>
  <c r="BI177" i="2"/>
  <c r="BI153" i="2"/>
  <c r="BI31" i="2"/>
  <c r="BI130" i="2"/>
  <c r="BI197" i="2"/>
  <c r="BI146" i="2"/>
  <c r="BI164" i="2"/>
  <c r="BI167" i="2"/>
  <c r="BI94" i="2"/>
  <c r="BI138" i="2"/>
  <c r="BI174" i="2"/>
  <c r="BI70" i="2"/>
  <c r="BI195" i="2"/>
  <c r="BI28" i="2"/>
  <c r="BI141" i="2"/>
  <c r="BI81" i="2"/>
  <c r="BI98" i="2"/>
  <c r="BI198" i="2"/>
  <c r="BI125" i="2"/>
  <c r="BI110" i="2"/>
  <c r="BI88" i="2"/>
  <c r="BI97" i="2"/>
  <c r="BI2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<sst xmlns="http://schemas.openxmlformats.org/spreadsheetml/2006/main" count="1154" uniqueCount="324">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</sst>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235.06877345752704</c:v>
                </c:pt>
                <c:pt idx="32">
                  <c:v>252.52418390174873</c:v>
                </c:pt>
                <c:pt idx="33">
                  <c:v>269.95226599479992</c:v>
                </c:pt>
                <c:pt idx="34">
                  <c:v>287.35503217179337</c:v>
                </c:pt>
                <c:pt idx="35">
                  <c:v>304.73423115701871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322.95870071836066</c:v>
                </c:pt>
                <c:pt idx="42">
                  <c:v>341.16043929184929</c:v>
                </c:pt>
                <c:pt idx="43">
                  <c:v>359.34082988600289</c:v>
                </c:pt>
                <c:pt idx="44">
                  <c:v>377.50110417225511</c:v>
                </c:pt>
                <c:pt idx="45">
                  <c:v>395.64236567985591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410.74628007457642</c:v>
                </c:pt>
                <c:pt idx="52">
                  <c:v>427.99324784652981</c:v>
                </c:pt>
                <c:pt idx="53">
                  <c:v>445.22527789057045</c:v>
                </c:pt>
                <c:pt idx="54">
                  <c:v>462.44302949249573</c:v>
                </c:pt>
                <c:pt idx="55">
                  <c:v>479.64710886178597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486.52503910078349</c:v>
                </c:pt>
                <c:pt idx="62">
                  <c:v>501.99288641186791</c:v>
                </c:pt>
                <c:pt idx="63">
                  <c:v>517.45065135367156</c:v>
                </c:pt>
                <c:pt idx="64">
                  <c:v>532.8986774086593</c:v>
                </c:pt>
                <c:pt idx="65">
                  <c:v>548.33728653000776</c:v>
                </c:pt>
                <c:pt idx="66">
                  <c:v>472.76708100439259</c:v>
                </c:pt>
                <c:pt idx="67">
                  <c:v>487.38463458913111</c:v>
                </c:pt>
                <c:pt idx="68">
                  <c:v>501.99288641186786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544.47850023404101</c:v>
                </c:pt>
                <c:pt idx="72">
                  <c:v>557.76748661196802</c:v>
                </c:pt>
                <c:pt idx="73">
                  <c:v>571.04984509200233</c:v>
                </c:pt>
                <c:pt idx="74">
                  <c:v>584.32575150478135</c:v>
                </c:pt>
                <c:pt idx="75">
                  <c:v>597.59537304263756</c:v>
                </c:pt>
                <c:pt idx="76">
                  <c:v>520.24058909412281</c:v>
                </c:pt>
                <c:pt idx="77">
                  <c:v>532.89867740865918</c:v>
                </c:pt>
                <c:pt idx="78">
                  <c:v>545.55044271381507</c:v>
                </c:pt>
                <c:pt idx="79">
                  <c:v>558.19605227369811</c:v>
                </c:pt>
                <c:pt idx="80">
                  <c:v>570.83566515785787</c:v>
                </c:pt>
                <c:pt idx="81">
                  <c:v>583.46943281911661</c:v>
                </c:pt>
                <c:pt idx="82">
                  <c:v>596.09749961876616</c:v>
                </c:pt>
                <c:pt idx="83">
                  <c:v>608.72000330496201</c:v>
                </c:pt>
                <c:pt idx="84">
                  <c:v>621.33707544939125</c:v>
                </c:pt>
                <c:pt idx="85">
                  <c:v>633.94884184663977</c:v>
                </c:pt>
                <c:pt idx="86">
                  <c:v>555.19594761174415</c:v>
                </c:pt>
                <c:pt idx="87">
                  <c:v>566.33749757672797</c:v>
                </c:pt>
                <c:pt idx="88">
                  <c:v>577.47446592353469</c:v>
                </c:pt>
                <c:pt idx="89">
                  <c:v>588.6069534508764</c:v>
                </c:pt>
                <c:pt idx="90">
                  <c:v>599.73505683441056</c:v>
                </c:pt>
                <c:pt idx="91">
                  <c:v>610.85886887037998</c:v>
                </c:pt>
                <c:pt idx="92">
                  <c:v>621.97847870058888</c:v>
                </c:pt>
                <c:pt idx="93">
                  <c:v>633.09397202046136</c:v>
                </c:pt>
                <c:pt idx="94">
                  <c:v>644.20543127172925</c:v>
                </c:pt>
                <c:pt idx="95">
                  <c:v>655.31293582114552</c:v>
                </c:pt>
                <c:pt idx="96">
                  <c:v>575.54723712647092</c:v>
                </c:pt>
                <c:pt idx="97">
                  <c:v>585.61018050264533</c:v>
                </c:pt>
                <c:pt idx="98">
                  <c:v>595.66952141128684</c:v>
                </c:pt>
                <c:pt idx="99">
                  <c:v>605.72532925827045</c:v>
                </c:pt>
                <c:pt idx="100">
                  <c:v>615.77767095740739</c:v>
                </c:pt>
                <c:pt idx="101">
                  <c:v>625.82661106001206</c:v>
                </c:pt>
                <c:pt idx="102">
                  <c:v>635.87221187571447</c:v>
                </c:pt>
                <c:pt idx="103">
                  <c:v>645.91453358524438</c:v>
                </c:pt>
                <c:pt idx="104">
                  <c:v>655.95363434584067</c:v>
                </c:pt>
                <c:pt idx="105">
                  <c:v>665.98957038987078</c:v>
                </c:pt>
                <c:pt idx="106">
                  <c:v>586.89455079472839</c:v>
                </c:pt>
                <c:pt idx="107">
                  <c:v>595.45552990892475</c:v>
                </c:pt>
                <c:pt idx="108">
                  <c:v>604.01394898352987</c:v>
                </c:pt>
                <c:pt idx="109">
                  <c:v>612.56984940724078</c:v>
                </c:pt>
                <c:pt idx="110">
                  <c:v>621.12327131831069</c:v>
                </c:pt>
                <c:pt idx="111">
                  <c:v>629.67425365939516</c:v>
                </c:pt>
                <c:pt idx="112">
                  <c:v>638.22283422926796</c:v>
                </c:pt>
                <c:pt idx="113">
                  <c:v>646.76904973161959</c:v>
                </c:pt>
                <c:pt idx="114">
                  <c:v>655.31293582114529</c:v>
                </c:pt>
                <c:pt idx="115">
                  <c:v>663.85452714710391</c:v>
                </c:pt>
                <c:pt idx="116">
                  <c:v>592.03144782908782</c:v>
                </c:pt>
                <c:pt idx="117">
                  <c:v>599.30713279218173</c:v>
                </c:pt>
                <c:pt idx="118">
                  <c:v>606.5809817190169</c:v>
                </c:pt>
                <c:pt idx="119">
                  <c:v>613.85301973416608</c:v>
                </c:pt>
                <c:pt idx="120">
                  <c:v>621.12327131831046</c:v>
                </c:pt>
                <c:pt idx="121">
                  <c:v>628.39176033224692</c:v>
                </c:pt>
                <c:pt idx="122">
                  <c:v>635.65851003972909</c:v>
                </c:pt>
                <c:pt idx="123">
                  <c:v>642.92354312920827</c:v>
                </c:pt>
                <c:pt idx="124">
                  <c:v>650.18688173454188</c:v>
                </c:pt>
                <c:pt idx="125">
                  <c:v>657.44854745472628</c:v>
                </c:pt>
                <c:pt idx="126">
                  <c:v>593.31552677912521</c:v>
                </c:pt>
                <c:pt idx="127">
                  <c:v>599.73505683440965</c:v>
                </c:pt>
                <c:pt idx="128">
                  <c:v>606.15315862414116</c:v>
                </c:pt>
                <c:pt idx="129">
                  <c:v>612.56984940724044</c:v>
                </c:pt>
                <c:pt idx="130">
                  <c:v>618.98514605149035</c:v>
                </c:pt>
                <c:pt idx="131">
                  <c:v>625.39906504645319</c:v>
                </c:pt>
                <c:pt idx="132">
                  <c:v>631.81162251582498</c:v>
                </c:pt>
                <c:pt idx="133">
                  <c:v>638.22283422926751</c:v>
                </c:pt>
                <c:pt idx="134">
                  <c:v>644.63271561373597</c:v>
                </c:pt>
                <c:pt idx="135">
                  <c:v>651.04128176433551</c:v>
                </c:pt>
                <c:pt idx="136">
                  <c:v>594.59954789333835</c:v>
                </c:pt>
                <c:pt idx="137">
                  <c:v>600.16297452894037</c:v>
                </c:pt>
                <c:pt idx="138">
                  <c:v>605.72532925826988</c:v>
                </c:pt>
                <c:pt idx="139">
                  <c:v>611.28662331597127</c:v>
                </c:pt>
                <c:pt idx="140">
                  <c:v>616.84686771553879</c:v>
                </c:pt>
                <c:pt idx="141">
                  <c:v>622.40607325566725</c:v>
                </c:pt>
                <c:pt idx="142">
                  <c:v>627.96425052636596</c:v>
                </c:pt>
                <c:pt idx="143">
                  <c:v>633.52140991484077</c:v>
                </c:pt>
                <c:pt idx="144">
                  <c:v>639.07756161116481</c:v>
                </c:pt>
                <c:pt idx="145">
                  <c:v>644.63271561373642</c:v>
                </c:pt>
                <c:pt idx="146">
                  <c:v>599.30713279218173</c:v>
                </c:pt>
                <c:pt idx="147">
                  <c:v>609.57556821855678</c:v>
                </c:pt>
                <c:pt idx="148">
                  <c:v>619.84041449272502</c:v>
                </c:pt>
                <c:pt idx="149">
                  <c:v>630.10173942049676</c:v>
                </c:pt>
                <c:pt idx="150">
                  <c:v>640.35960841959104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260928"/>
        <c:axId val="-2012258208"/>
      </c:scatterChart>
      <c:valAx>
        <c:axId val="-201226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58208"/>
        <c:crosses val="autoZero"/>
        <c:crossBetween val="midCat"/>
      </c:valAx>
      <c:valAx>
        <c:axId val="-201225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6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37664"/>
        <c:axId val="-1967737120"/>
      </c:scatterChart>
      <c:valAx>
        <c:axId val="-196773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7120"/>
        <c:crosses val="autoZero"/>
        <c:crossBetween val="midCat"/>
      </c:valAx>
      <c:valAx>
        <c:axId val="-1967737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2.8917869968136802</c:v>
                </c:pt>
                <c:pt idx="2">
                  <c:v>3.4479362785791992</c:v>
                </c:pt>
                <c:pt idx="3">
                  <c:v>4.1114393980410258</c:v>
                </c:pt>
                <c:pt idx="4">
                  <c:v>4.9030908843119052</c:v>
                </c:pt>
                <c:pt idx="5">
                  <c:v>5.847726240897507</c:v>
                </c:pt>
                <c:pt idx="6">
                  <c:v>6.9750095841756732</c:v>
                </c:pt>
                <c:pt idx="7">
                  <c:v>8.3203752284435524</c:v>
                </c:pt>
                <c:pt idx="8">
                  <c:v>9.9261533833838858</c:v>
                </c:pt>
                <c:pt idx="9">
                  <c:v>11.842916054510725</c:v>
                </c:pt>
                <c:pt idx="10">
                  <c:v>14.131086327953852</c:v>
                </c:pt>
                <c:pt idx="11">
                  <c:v>16.862862707773889</c:v>
                </c:pt>
                <c:pt idx="12">
                  <c:v>20.124520332233033</c:v>
                </c:pt>
                <c:pt idx="13">
                  <c:v>24.019163054851447</c:v>
                </c:pt>
                <c:pt idx="14">
                  <c:v>28.670014931602825</c:v>
                </c:pt>
                <c:pt idx="15">
                  <c:v>34.22435708026277</c:v>
                </c:pt>
                <c:pt idx="16">
                  <c:v>40.858236738266719</c:v>
                </c:pt>
                <c:pt idx="17">
                  <c:v>48.782100320055271</c:v>
                </c:pt>
                <c:pt idx="18">
                  <c:v>58.247532176617135</c:v>
                </c:pt>
                <c:pt idx="19">
                  <c:v>69.555316562449207</c:v>
                </c:pt>
                <c:pt idx="20">
                  <c:v>83.065083184801949</c:v>
                </c:pt>
                <c:pt idx="21">
                  <c:v>79.830820315756085</c:v>
                </c:pt>
                <c:pt idx="22">
                  <c:v>90.061923640029207</c:v>
                </c:pt>
                <c:pt idx="23">
                  <c:v>100.26389220108642</c:v>
                </c:pt>
                <c:pt idx="24">
                  <c:v>110.44011402239944</c:v>
                </c:pt>
                <c:pt idx="25">
                  <c:v>120.59329974671448</c:v>
                </c:pt>
                <c:pt idx="26">
                  <c:v>130.72566505837239</c:v>
                </c:pt>
                <c:pt idx="27">
                  <c:v>140.83905331674956</c:v>
                </c:pt>
                <c:pt idx="28">
                  <c:v>150.93502097988926</c:v>
                </c:pt>
                <c:pt idx="29">
                  <c:v>161.0148988976209</c:v>
                </c:pt>
                <c:pt idx="30">
                  <c:v>171.07983740751908</c:v>
                </c:pt>
                <c:pt idx="31">
                  <c:v>146.68612059071086</c:v>
                </c:pt>
                <c:pt idx="32">
                  <c:v>156.77262338649481</c:v>
                </c:pt>
                <c:pt idx="33">
                  <c:v>166.8437220380155</c:v>
                </c:pt>
                <c:pt idx="34">
                  <c:v>176.90047843894641</c:v>
                </c:pt>
                <c:pt idx="35">
                  <c:v>186.94382371193379</c:v>
                </c:pt>
                <c:pt idx="36">
                  <c:v>196.97458062885696</c:v>
                </c:pt>
                <c:pt idx="37">
                  <c:v>206.99348121648256</c:v>
                </c:pt>
                <c:pt idx="38">
                  <c:v>217.00118076933953</c:v>
                </c:pt>
                <c:pt idx="39">
                  <c:v>226.99826913836412</c:v>
                </c:pt>
                <c:pt idx="40">
                  <c:v>236.98527992410141</c:v>
                </c:pt>
                <c:pt idx="41">
                  <c:v>203.04002493666977</c:v>
                </c:pt>
                <c:pt idx="42">
                  <c:v>212.52539750355837</c:v>
                </c:pt>
                <c:pt idx="43">
                  <c:v>222.00101677905187</c:v>
                </c:pt>
                <c:pt idx="44">
                  <c:v>231.46735815462409</c:v>
                </c:pt>
                <c:pt idx="45">
                  <c:v>240.92485492099104</c:v>
                </c:pt>
                <c:pt idx="46">
                  <c:v>250.11154074210029</c:v>
                </c:pt>
                <c:pt idx="47">
                  <c:v>259.29057630253919</c:v>
                </c:pt>
                <c:pt idx="48">
                  <c:v>268.46227085543052</c:v>
                </c:pt>
                <c:pt idx="49">
                  <c:v>277.62691077865378</c:v>
                </c:pt>
                <c:pt idx="50">
                  <c:v>286.78476198270408</c:v>
                </c:pt>
                <c:pt idx="51">
                  <c:v>249.5867964105208</c:v>
                </c:pt>
                <c:pt idx="52">
                  <c:v>258.24192081308109</c:v>
                </c:pt>
                <c:pt idx="53">
                  <c:v>266.89048905327525</c:v>
                </c:pt>
                <c:pt idx="54">
                  <c:v>275.53274374757109</c:v>
                </c:pt>
                <c:pt idx="55">
                  <c:v>284.16891103549472</c:v>
                </c:pt>
                <c:pt idx="56">
                  <c:v>292.53776259751845</c:v>
                </c:pt>
                <c:pt idx="57">
                  <c:v>300.90126931604573</c:v>
                </c:pt>
                <c:pt idx="58">
                  <c:v>309.25960083487433</c:v>
                </c:pt>
                <c:pt idx="59">
                  <c:v>317.61291687130336</c:v>
                </c:pt>
                <c:pt idx="60">
                  <c:v>325.96136804849988</c:v>
                </c:pt>
                <c:pt idx="61">
                  <c:v>286.78476198270425</c:v>
                </c:pt>
                <c:pt idx="62">
                  <c:v>294.62913355147111</c:v>
                </c:pt>
                <c:pt idx="63">
                  <c:v>302.46884573442321</c:v>
                </c:pt>
                <c:pt idx="64">
                  <c:v>310.30403645044635</c:v>
                </c:pt>
                <c:pt idx="65">
                  <c:v>318.13483607832245</c:v>
                </c:pt>
                <c:pt idx="66">
                  <c:v>325.70055115362692</c:v>
                </c:pt>
                <c:pt idx="67">
                  <c:v>333.26238416035682</c:v>
                </c:pt>
                <c:pt idx="68">
                  <c:v>340.820435689308</c:v>
                </c:pt>
                <c:pt idx="69">
                  <c:v>348.37480150178311</c:v>
                </c:pt>
                <c:pt idx="70">
                  <c:v>355.92557286347369</c:v>
                </c:pt>
                <c:pt idx="71">
                  <c:v>318.6567363203373</c:v>
                </c:pt>
                <c:pt idx="72">
                  <c:v>325.70055115362692</c:v>
                </c:pt>
                <c:pt idx="73">
                  <c:v>332.74100096197282</c:v>
                </c:pt>
                <c:pt idx="74">
                  <c:v>339.77816706116704</c:v>
                </c:pt>
                <c:pt idx="75">
                  <c:v>346.81212712055481</c:v>
                </c:pt>
                <c:pt idx="76">
                  <c:v>353.58260936094621</c:v>
                </c:pt>
                <c:pt idx="77">
                  <c:v>360.35025103245766</c:v>
                </c:pt>
                <c:pt idx="78">
                  <c:v>367.11511305928917</c:v>
                </c:pt>
                <c:pt idx="79">
                  <c:v>373.87725393504837</c:v>
                </c:pt>
                <c:pt idx="80">
                  <c:v>380.63672986290339</c:v>
                </c:pt>
                <c:pt idx="81">
                  <c:v>343.1652841216889</c:v>
                </c:pt>
                <c:pt idx="82">
                  <c:v>349.93732203259304</c:v>
                </c:pt>
                <c:pt idx="83">
                  <c:v>356.70648550985533</c:v>
                </c:pt>
                <c:pt idx="84">
                  <c:v>363.47283684851033</c:v>
                </c:pt>
                <c:pt idx="85">
                  <c:v>370.23643583282063</c:v>
                </c:pt>
                <c:pt idx="86">
                  <c:v>376.21737131771539</c:v>
                </c:pt>
                <c:pt idx="87">
                  <c:v>382.19623621810462</c:v>
                </c:pt>
                <c:pt idx="88">
                  <c:v>388.17306752692554</c:v>
                </c:pt>
                <c:pt idx="89">
                  <c:v>394.14790100388473</c:v>
                </c:pt>
                <c:pt idx="90">
                  <c:v>400.12077123505838</c:v>
                </c:pt>
                <c:pt idx="91">
                  <c:v>364.51356822165263</c:v>
                </c:pt>
                <c:pt idx="92">
                  <c:v>370.4965200762411</c:v>
                </c:pt>
                <c:pt idx="93">
                  <c:v>376.47736474914001</c:v>
                </c:pt>
                <c:pt idx="94">
                  <c:v>382.45614047241384</c:v>
                </c:pt>
                <c:pt idx="95">
                  <c:v>388.43288418408815</c:v>
                </c:pt>
                <c:pt idx="96">
                  <c:v>394.14790100388495</c:v>
                </c:pt>
                <c:pt idx="97">
                  <c:v>399.86112159092869</c:v>
                </c:pt>
                <c:pt idx="98">
                  <c:v>405.57257525542019</c:v>
                </c:pt>
                <c:pt idx="99">
                  <c:v>411.2822904139145</c:v>
                </c:pt>
                <c:pt idx="100">
                  <c:v>416.99029462887302</c:v>
                </c:pt>
                <c:pt idx="101">
                  <c:v>383.4957191090636</c:v>
                </c:pt>
                <c:pt idx="102">
                  <c:v>388.95250618065296</c:v>
                </c:pt>
                <c:pt idx="103">
                  <c:v>394.40763159163043</c:v>
                </c:pt>
                <c:pt idx="104">
                  <c:v>399.86112159092863</c:v>
                </c:pt>
                <c:pt idx="105">
                  <c:v>405.31300165235763</c:v>
                </c:pt>
                <c:pt idx="106">
                  <c:v>410.50379424613175</c:v>
                </c:pt>
                <c:pt idx="107">
                  <c:v>415.69316978100943</c:v>
                </c:pt>
                <c:pt idx="108">
                  <c:v>420.88114846037814</c:v>
                </c:pt>
                <c:pt idx="109">
                  <c:v>426.06774994843931</c:v>
                </c:pt>
                <c:pt idx="110">
                  <c:v>431.25299339113513</c:v>
                </c:pt>
                <c:pt idx="111">
                  <c:v>398.56281855829531</c:v>
                </c:pt>
                <c:pt idx="112">
                  <c:v>403.49588563895804</c:v>
                </c:pt>
                <c:pt idx="113">
                  <c:v>408.42764840569271</c:v>
                </c:pt>
                <c:pt idx="114">
                  <c:v>413.35812484685715</c:v>
                </c:pt>
                <c:pt idx="115">
                  <c:v>418.28733248623325</c:v>
                </c:pt>
                <c:pt idx="116">
                  <c:v>423.21528840048194</c:v>
                </c:pt>
                <c:pt idx="117">
                  <c:v>428.14200923574214</c:v>
                </c:pt>
                <c:pt idx="118">
                  <c:v>433.06751122342547</c:v>
                </c:pt>
                <c:pt idx="119">
                  <c:v>437.99181019525417</c:v>
                </c:pt>
                <c:pt idx="120">
                  <c:v>442.91492159758741</c:v>
                </c:pt>
                <c:pt idx="121">
                  <c:v>4.9286308419323191E-12</c:v>
                </c:pt>
                <c:pt idx="122">
                  <c:v>4.9286308419323191E-12</c:v>
                </c:pt>
                <c:pt idx="123">
                  <c:v>4.9286308419323191E-12</c:v>
                </c:pt>
                <c:pt idx="124">
                  <c:v>4.9286308419323191E-12</c:v>
                </c:pt>
                <c:pt idx="125">
                  <c:v>4.9286308419323191E-12</c:v>
                </c:pt>
                <c:pt idx="126">
                  <c:v>4.9286308419323191E-12</c:v>
                </c:pt>
                <c:pt idx="127">
                  <c:v>4.9286308419323191E-12</c:v>
                </c:pt>
                <c:pt idx="128">
                  <c:v>4.9286308419323191E-12</c:v>
                </c:pt>
                <c:pt idx="129">
                  <c:v>4.9286308419323191E-12</c:v>
                </c:pt>
                <c:pt idx="130">
                  <c:v>4.9286308419323191E-12</c:v>
                </c:pt>
                <c:pt idx="131">
                  <c:v>4.9286308419323191E-12</c:v>
                </c:pt>
                <c:pt idx="132">
                  <c:v>4.9286308419323191E-12</c:v>
                </c:pt>
                <c:pt idx="133">
                  <c:v>4.9286308419323191E-12</c:v>
                </c:pt>
                <c:pt idx="134">
                  <c:v>4.9286308419323191E-12</c:v>
                </c:pt>
                <c:pt idx="135">
                  <c:v>4.9286308419323191E-12</c:v>
                </c:pt>
                <c:pt idx="136">
                  <c:v>4.9286308419323191E-12</c:v>
                </c:pt>
                <c:pt idx="137">
                  <c:v>4.9286308419323191E-12</c:v>
                </c:pt>
                <c:pt idx="138">
                  <c:v>4.9286308419323191E-12</c:v>
                </c:pt>
                <c:pt idx="139">
                  <c:v>4.9286308419323191E-12</c:v>
                </c:pt>
                <c:pt idx="140">
                  <c:v>4.9286308419323191E-12</c:v>
                </c:pt>
                <c:pt idx="141">
                  <c:v>4.9286308419323191E-12</c:v>
                </c:pt>
                <c:pt idx="142">
                  <c:v>4.9286308419323191E-12</c:v>
                </c:pt>
                <c:pt idx="143">
                  <c:v>4.9286308419323191E-12</c:v>
                </c:pt>
                <c:pt idx="144">
                  <c:v>4.9286308419323191E-12</c:v>
                </c:pt>
                <c:pt idx="145">
                  <c:v>4.9286308419323191E-12</c:v>
                </c:pt>
                <c:pt idx="146">
                  <c:v>4.9286308419323191E-12</c:v>
                </c:pt>
                <c:pt idx="147">
                  <c:v>4.9286308419323191E-12</c:v>
                </c:pt>
                <c:pt idx="148">
                  <c:v>4.9286308419323191E-12</c:v>
                </c:pt>
                <c:pt idx="149">
                  <c:v>4.9286308419323191E-12</c:v>
                </c:pt>
                <c:pt idx="150">
                  <c:v>4.9286308419323191E-12</c:v>
                </c:pt>
                <c:pt idx="151">
                  <c:v>4.9286308419323191E-12</c:v>
                </c:pt>
                <c:pt idx="152">
                  <c:v>4.9286308419323191E-12</c:v>
                </c:pt>
                <c:pt idx="153">
                  <c:v>4.9286308419323191E-12</c:v>
                </c:pt>
                <c:pt idx="154">
                  <c:v>4.9286308419323191E-12</c:v>
                </c:pt>
                <c:pt idx="155">
                  <c:v>4.9286308419323191E-12</c:v>
                </c:pt>
                <c:pt idx="156">
                  <c:v>4.9286308419323191E-12</c:v>
                </c:pt>
                <c:pt idx="157">
                  <c:v>4.9286308419323191E-12</c:v>
                </c:pt>
                <c:pt idx="158">
                  <c:v>4.9286308419323191E-12</c:v>
                </c:pt>
                <c:pt idx="159">
                  <c:v>4.9286308419323191E-12</c:v>
                </c:pt>
                <c:pt idx="160">
                  <c:v>4.9286308419323191E-12</c:v>
                </c:pt>
                <c:pt idx="161">
                  <c:v>4.9286308419323191E-12</c:v>
                </c:pt>
                <c:pt idx="162">
                  <c:v>4.9286308419323191E-12</c:v>
                </c:pt>
                <c:pt idx="163">
                  <c:v>4.9286308419323191E-12</c:v>
                </c:pt>
                <c:pt idx="164">
                  <c:v>4.9286308419323191E-12</c:v>
                </c:pt>
                <c:pt idx="165">
                  <c:v>4.9286308419323191E-12</c:v>
                </c:pt>
                <c:pt idx="166">
                  <c:v>4.9286308419323191E-12</c:v>
                </c:pt>
                <c:pt idx="167">
                  <c:v>4.9286308419323191E-12</c:v>
                </c:pt>
                <c:pt idx="168">
                  <c:v>4.9286308419323191E-12</c:v>
                </c:pt>
                <c:pt idx="169">
                  <c:v>4.9286308419323191E-12</c:v>
                </c:pt>
                <c:pt idx="170">
                  <c:v>4.9286308419323191E-12</c:v>
                </c:pt>
                <c:pt idx="171">
                  <c:v>4.9286308419323191E-12</c:v>
                </c:pt>
                <c:pt idx="172">
                  <c:v>4.9286308419323191E-12</c:v>
                </c:pt>
                <c:pt idx="173">
                  <c:v>4.9286308419323191E-12</c:v>
                </c:pt>
                <c:pt idx="174">
                  <c:v>4.9286308419323191E-12</c:v>
                </c:pt>
                <c:pt idx="175">
                  <c:v>4.9286308419323191E-12</c:v>
                </c:pt>
                <c:pt idx="176">
                  <c:v>4.9286308419323191E-12</c:v>
                </c:pt>
                <c:pt idx="177">
                  <c:v>4.9286308419323191E-12</c:v>
                </c:pt>
                <c:pt idx="178">
                  <c:v>4.9286308419323191E-12</c:v>
                </c:pt>
                <c:pt idx="179">
                  <c:v>4.9286308419323191E-12</c:v>
                </c:pt>
                <c:pt idx="180">
                  <c:v>4.9286308419323191E-12</c:v>
                </c:pt>
                <c:pt idx="181">
                  <c:v>4.9286308419323191E-12</c:v>
                </c:pt>
                <c:pt idx="182">
                  <c:v>4.9286308419323191E-12</c:v>
                </c:pt>
                <c:pt idx="183">
                  <c:v>4.9286308419323191E-12</c:v>
                </c:pt>
                <c:pt idx="184">
                  <c:v>4.9286308419323191E-12</c:v>
                </c:pt>
                <c:pt idx="185">
                  <c:v>4.9286308419323191E-12</c:v>
                </c:pt>
                <c:pt idx="186">
                  <c:v>4.9286308419323191E-12</c:v>
                </c:pt>
                <c:pt idx="187">
                  <c:v>4.9286308419323191E-12</c:v>
                </c:pt>
                <c:pt idx="188">
                  <c:v>4.9286308419323191E-12</c:v>
                </c:pt>
                <c:pt idx="189">
                  <c:v>4.9286308419323191E-12</c:v>
                </c:pt>
                <c:pt idx="190">
                  <c:v>4.9286308419323191E-12</c:v>
                </c:pt>
                <c:pt idx="191">
                  <c:v>4.9286308419323191E-12</c:v>
                </c:pt>
                <c:pt idx="192">
                  <c:v>4.9286308419323191E-12</c:v>
                </c:pt>
                <c:pt idx="193">
                  <c:v>4.9286308419323191E-12</c:v>
                </c:pt>
                <c:pt idx="194">
                  <c:v>4.9286308419323191E-12</c:v>
                </c:pt>
                <c:pt idx="195">
                  <c:v>4.9286308419323191E-12</c:v>
                </c:pt>
                <c:pt idx="196">
                  <c:v>4.9286308419323191E-12</c:v>
                </c:pt>
                <c:pt idx="197">
                  <c:v>4.9286308419323191E-12</c:v>
                </c:pt>
                <c:pt idx="198">
                  <c:v>4.9286308419323191E-12</c:v>
                </c:pt>
                <c:pt idx="199">
                  <c:v>4.9286308419323191E-12</c:v>
                </c:pt>
                <c:pt idx="200">
                  <c:v>4.9286308419323191E-12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260384"/>
        <c:axId val="-2012259840"/>
      </c:scatterChart>
      <c:valAx>
        <c:axId val="-2012260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59840"/>
        <c:crosses val="autoZero"/>
        <c:crossBetween val="midCat"/>
      </c:valAx>
      <c:valAx>
        <c:axId val="-20122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60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2.5722677930534954</c:v>
                </c:pt>
                <c:pt idx="2">
                  <c:v>2.9621842966335081</c:v>
                </c:pt>
                <c:pt idx="3">
                  <c:v>3.4114188821959091</c:v>
                </c:pt>
                <c:pt idx="4">
                  <c:v>3.9290262090163979</c:v>
                </c:pt>
                <c:pt idx="5">
                  <c:v>4.5254474752842002</c:v>
                </c:pt>
                <c:pt idx="6">
                  <c:v>5.2127233645153082</c:v>
                </c:pt>
                <c:pt idx="7">
                  <c:v>6.0047397856420881</c:v>
                </c:pt>
                <c:pt idx="8">
                  <c:v>6.9175114696400923</c:v>
                </c:pt>
                <c:pt idx="9">
                  <c:v>7.9695092689740825</c:v>
                </c:pt>
                <c:pt idx="10">
                  <c:v>9.182037911044862</c:v>
                </c:pt>
                <c:pt idx="11">
                  <c:v>10.579672002068646</c:v>
                </c:pt>
                <c:pt idx="12">
                  <c:v>12.190759285230749</c:v>
                </c:pt>
                <c:pt idx="13">
                  <c:v>14.048001551728753</c:v>
                </c:pt>
                <c:pt idx="14">
                  <c:v>16.189125214584752</c:v>
                </c:pt>
                <c:pt idx="15">
                  <c:v>18.657655416524996</c:v>
                </c:pt>
                <c:pt idx="16">
                  <c:v>37.727903052748182</c:v>
                </c:pt>
                <c:pt idx="17">
                  <c:v>56.524479039485897</c:v>
                </c:pt>
                <c:pt idx="18">
                  <c:v>75.154841693095705</c:v>
                </c:pt>
                <c:pt idx="19">
                  <c:v>93.666644730165203</c:v>
                </c:pt>
                <c:pt idx="20">
                  <c:v>112.08679847851981</c:v>
                </c:pt>
                <c:pt idx="21">
                  <c:v>90.973218596700079</c:v>
                </c:pt>
                <c:pt idx="22">
                  <c:v>110.17174748207316</c:v>
                </c:pt>
                <c:pt idx="23">
                  <c:v>129.28787235572034</c:v>
                </c:pt>
                <c:pt idx="24">
                  <c:v>148.33552588657844</c:v>
                </c:pt>
                <c:pt idx="25">
                  <c:v>167.32475178414452</c:v>
                </c:pt>
                <c:pt idx="26">
                  <c:v>185.88481063386453</c:v>
                </c:pt>
                <c:pt idx="27">
                  <c:v>204.40159586063612</c:v>
                </c:pt>
                <c:pt idx="28">
                  <c:v>222.87958017562786</c:v>
                </c:pt>
                <c:pt idx="29">
                  <c:v>241.32243325977697</c:v>
                </c:pt>
                <c:pt idx="30">
                  <c:v>259.73321764902875</c:v>
                </c:pt>
                <c:pt idx="31">
                  <c:v>196.84864368888998</c:v>
                </c:pt>
                <c:pt idx="32">
                  <c:v>213.07952740360665</c:v>
                </c:pt>
                <c:pt idx="33">
                  <c:v>229.28193394845096</c:v>
                </c:pt>
                <c:pt idx="34">
                  <c:v>245.45815924548194</c:v>
                </c:pt>
                <c:pt idx="35">
                  <c:v>261.61017170872896</c:v>
                </c:pt>
                <c:pt idx="36">
                  <c:v>275.86525948349646</c:v>
                </c:pt>
                <c:pt idx="37">
                  <c:v>290.10380901652701</c:v>
                </c:pt>
                <c:pt idx="38">
                  <c:v>304.32674644619152</c:v>
                </c:pt>
                <c:pt idx="39">
                  <c:v>318.53490425391573</c:v>
                </c:pt>
                <c:pt idx="40">
                  <c:v>332.72903457884451</c:v>
                </c:pt>
                <c:pt idx="41">
                  <c:v>266.48883532606988</c:v>
                </c:pt>
                <c:pt idx="42">
                  <c:v>278.86419064084299</c:v>
                </c:pt>
                <c:pt idx="43">
                  <c:v>291.22722867703141</c:v>
                </c:pt>
                <c:pt idx="44">
                  <c:v>303.57854617810898</c:v>
                </c:pt>
                <c:pt idx="45">
                  <c:v>315.91868734548348</c:v>
                </c:pt>
                <c:pt idx="46">
                  <c:v>326.00720293449416</c:v>
                </c:pt>
                <c:pt idx="47">
                  <c:v>336.08882358493884</c:v>
                </c:pt>
                <c:pt idx="48">
                  <c:v>346.16378539221324</c:v>
                </c:pt>
                <c:pt idx="49">
                  <c:v>356.23230957994451</c:v>
                </c:pt>
                <c:pt idx="50">
                  <c:v>366.29460383970849</c:v>
                </c:pt>
                <c:pt idx="51">
                  <c:v>317.41372695991259</c:v>
                </c:pt>
                <c:pt idx="52">
                  <c:v>326.38071774395229</c:v>
                </c:pt>
                <c:pt idx="53">
                  <c:v>335.34226803283235</c:v>
                </c:pt>
                <c:pt idx="54">
                  <c:v>344.29854381894557</c:v>
                </c:pt>
                <c:pt idx="55">
                  <c:v>353.24970174806896</c:v>
                </c:pt>
                <c:pt idx="56">
                  <c:v>361.07788328212001</c:v>
                </c:pt>
                <c:pt idx="57">
                  <c:v>368.90235411823818</c:v>
                </c:pt>
                <c:pt idx="58">
                  <c:v>376.72320412097571</c:v>
                </c:pt>
                <c:pt idx="59">
                  <c:v>384.5405191164823</c:v>
                </c:pt>
                <c:pt idx="60">
                  <c:v>392.35438115419714</c:v>
                </c:pt>
                <c:pt idx="61">
                  <c:v>361.07788328211996</c:v>
                </c:pt>
                <c:pt idx="62">
                  <c:v>367.03971658708974</c:v>
                </c:pt>
                <c:pt idx="63">
                  <c:v>372.99943588368342</c:v>
                </c:pt>
                <c:pt idx="64">
                  <c:v>378.95707974932702</c:v>
                </c:pt>
                <c:pt idx="65">
                  <c:v>384.91268544829808</c:v>
                </c:pt>
                <c:pt idx="66">
                  <c:v>390.49424676672464</c:v>
                </c:pt>
                <c:pt idx="67">
                  <c:v>396.07407711953448</c:v>
                </c:pt>
                <c:pt idx="68">
                  <c:v>401.65220435716355</c:v>
                </c:pt>
                <c:pt idx="69">
                  <c:v>407.22865549260882</c:v>
                </c:pt>
                <c:pt idx="70">
                  <c:v>412.80345673799053</c:v>
                </c:pt>
                <c:pt idx="71">
                  <c:v>387.8897352873326</c:v>
                </c:pt>
                <c:pt idx="72">
                  <c:v>392.72638504489845</c:v>
                </c:pt>
                <c:pt idx="73">
                  <c:v>397.56174311317301</c:v>
                </c:pt>
                <c:pt idx="74">
                  <c:v>402.39582743654245</c:v>
                </c:pt>
                <c:pt idx="75">
                  <c:v>407.22865549260882</c:v>
                </c:pt>
                <c:pt idx="76">
                  <c:v>411.68862724795645</c:v>
                </c:pt>
                <c:pt idx="77">
                  <c:v>416.14755615430431</c:v>
                </c:pt>
                <c:pt idx="78">
                  <c:v>420.60545497443786</c:v>
                </c:pt>
                <c:pt idx="79">
                  <c:v>425.06233617824182</c:v>
                </c:pt>
                <c:pt idx="80">
                  <c:v>429.51821195249204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12259296"/>
        <c:axId val="-2012258752"/>
      </c:scatterChart>
      <c:valAx>
        <c:axId val="-2012259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58752"/>
        <c:crosses val="autoZero"/>
        <c:crossBetween val="midCat"/>
      </c:valAx>
      <c:valAx>
        <c:axId val="-201225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1225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2.0872744773363778</c:v>
                </c:pt>
                <c:pt idx="2">
                  <c:v>2.5728852628472763</c:v>
                </c:pt>
                <c:pt idx="3">
                  <c:v>3.1719124688954423</c:v>
                </c:pt>
                <c:pt idx="4">
                  <c:v>3.9109415150855131</c:v>
                </c:pt>
                <c:pt idx="5">
                  <c:v>4.822810803950154</c:v>
                </c:pt>
                <c:pt idx="6">
                  <c:v>5.9480870903193015</c:v>
                </c:pt>
                <c:pt idx="7">
                  <c:v>7.3368899728382431</c:v>
                </c:pt>
                <c:pt idx="8">
                  <c:v>9.0511483422832644</c:v>
                </c:pt>
                <c:pt idx="9">
                  <c:v>11.167391322975069</c:v>
                </c:pt>
                <c:pt idx="10">
                  <c:v>13.780200641494842</c:v>
                </c:pt>
                <c:pt idx="11">
                  <c:v>17.006481572737897</c:v>
                </c:pt>
                <c:pt idx="12">
                  <c:v>20.990747037153877</c:v>
                </c:pt>
                <c:pt idx="13">
                  <c:v>25.911655777585938</c:v>
                </c:pt>
                <c:pt idx="14">
                  <c:v>31.990102964664004</c:v>
                </c:pt>
                <c:pt idx="15">
                  <c:v>39.499232712829155</c:v>
                </c:pt>
                <c:pt idx="16">
                  <c:v>50.671605091578876</c:v>
                </c:pt>
                <c:pt idx="17">
                  <c:v>61.778431447211325</c:v>
                </c:pt>
                <c:pt idx="18">
                  <c:v>72.833237533566532</c:v>
                </c:pt>
                <c:pt idx="19">
                  <c:v>83.845066251555863</c:v>
                </c:pt>
                <c:pt idx="20">
                  <c:v>94.820374611380615</c:v>
                </c:pt>
                <c:pt idx="21">
                  <c:v>87.892565006654195</c:v>
                </c:pt>
                <c:pt idx="22">
                  <c:v>95.397107943268153</c:v>
                </c:pt>
                <c:pt idx="23">
                  <c:v>102.88694134367069</c:v>
                </c:pt>
                <c:pt idx="24">
                  <c:v>110.36328916215852</c:v>
                </c:pt>
                <c:pt idx="25">
                  <c:v>117.82719554138386</c:v>
                </c:pt>
                <c:pt idx="26">
                  <c:v>126.42510605145075</c:v>
                </c:pt>
                <c:pt idx="27">
                  <c:v>135.00884169160113</c:v>
                </c:pt>
                <c:pt idx="28">
                  <c:v>143.57943211520899</c:v>
                </c:pt>
                <c:pt idx="29">
                  <c:v>152.13777377111367</c:v>
                </c:pt>
                <c:pt idx="30">
                  <c:v>160.68465382913149</c:v>
                </c:pt>
                <c:pt idx="31">
                  <c:v>124.99313535308772</c:v>
                </c:pt>
                <c:pt idx="32">
                  <c:v>133.57915795884725</c:v>
                </c:pt>
                <c:pt idx="33">
                  <c:v>142.151873731042</c:v>
                </c:pt>
                <c:pt idx="34">
                  <c:v>150.71219948673746</c:v>
                </c:pt>
                <c:pt idx="35">
                  <c:v>159.26093919570374</c:v>
                </c:pt>
                <c:pt idx="36">
                  <c:v>167.51437619622098</c:v>
                </c:pt>
                <c:pt idx="37">
                  <c:v>175.75822296554568</c:v>
                </c:pt>
                <c:pt idx="38">
                  <c:v>183.99299337840969</c:v>
                </c:pt>
                <c:pt idx="39">
                  <c:v>192.21915148462566</c:v>
                </c:pt>
                <c:pt idx="40">
                  <c:v>200.43711831314491</c:v>
                </c:pt>
                <c:pt idx="41">
                  <c:v>155.84278626699441</c:v>
                </c:pt>
                <c:pt idx="42">
                  <c:v>163.81577825615872</c:v>
                </c:pt>
                <c:pt idx="43">
                  <c:v>171.77959852127822</c:v>
                </c:pt>
                <c:pt idx="44">
                  <c:v>179.73473285089358</c:v>
                </c:pt>
                <c:pt idx="45">
                  <c:v>187.68162045019116</c:v>
                </c:pt>
                <c:pt idx="46">
                  <c:v>195.05383828243907</c:v>
                </c:pt>
                <c:pt idx="47">
                  <c:v>202.41958191649715</c:v>
                </c:pt>
                <c:pt idx="48">
                  <c:v>209.77912051135704</c:v>
                </c:pt>
                <c:pt idx="49">
                  <c:v>217.13270277011091</c:v>
                </c:pt>
                <c:pt idx="50">
                  <c:v>224.48055915021371</c:v>
                </c:pt>
                <c:pt idx="51">
                  <c:v>178.88279888066975</c:v>
                </c:pt>
                <c:pt idx="52">
                  <c:v>185.69564922944687</c:v>
                </c:pt>
                <c:pt idx="53">
                  <c:v>192.50266370829908</c:v>
                </c:pt>
                <c:pt idx="54">
                  <c:v>199.30407812396481</c:v>
                </c:pt>
                <c:pt idx="55">
                  <c:v>206.10011084797793</c:v>
                </c:pt>
                <c:pt idx="56">
                  <c:v>212.60811330323986</c:v>
                </c:pt>
                <c:pt idx="57">
                  <c:v>219.11152587483454</c:v>
                </c:pt>
                <c:pt idx="58">
                  <c:v>225.61050422909804</c:v>
                </c:pt>
                <c:pt idx="59">
                  <c:v>232.10519431769956</c:v>
                </c:pt>
                <c:pt idx="60">
                  <c:v>238.5957332449052</c:v>
                </c:pt>
                <c:pt idx="61">
                  <c:v>196.75418975581445</c:v>
                </c:pt>
                <c:pt idx="62">
                  <c:v>202.98591727826872</c:v>
                </c:pt>
                <c:pt idx="63">
                  <c:v>209.21321667808255</c:v>
                </c:pt>
                <c:pt idx="64">
                  <c:v>215.43623857870284</c:v>
                </c:pt>
                <c:pt idx="65">
                  <c:v>221.65512417668984</c:v>
                </c:pt>
                <c:pt idx="66">
                  <c:v>227.30517892841019</c:v>
                </c:pt>
                <c:pt idx="67">
                  <c:v>232.95201893246733</c:v>
                </c:pt>
                <c:pt idx="68">
                  <c:v>238.5957332449052</c:v>
                </c:pt>
                <c:pt idx="69">
                  <c:v>244.23640635769303</c:v>
                </c:pt>
                <c:pt idx="70">
                  <c:v>249.87411853503863</c:v>
                </c:pt>
                <c:pt idx="71">
                  <c:v>211.47662103053372</c:v>
                </c:pt>
                <c:pt idx="72">
                  <c:v>216.84997998272073</c:v>
                </c:pt>
                <c:pt idx="73">
                  <c:v>222.22027695379691</c:v>
                </c:pt>
                <c:pt idx="74">
                  <c:v>227.58759651923751</c:v>
                </c:pt>
                <c:pt idx="75">
                  <c:v>232.95201893246738</c:v>
                </c:pt>
                <c:pt idx="76">
                  <c:v>238.03150002757479</c:v>
                </c:pt>
                <c:pt idx="77">
                  <c:v>243.10851112008822</c:v>
                </c:pt>
                <c:pt idx="78">
                  <c:v>248.1831111648994</c:v>
                </c:pt>
                <c:pt idx="79">
                  <c:v>253.25535650496201</c:v>
                </c:pt>
                <c:pt idx="80">
                  <c:v>258.32530103820591</c:v>
                </c:pt>
                <c:pt idx="81">
                  <c:v>224.76305761819125</c:v>
                </c:pt>
                <c:pt idx="82">
                  <c:v>229.28193394845096</c:v>
                </c:pt>
                <c:pt idx="83">
                  <c:v>233.79877322752989</c:v>
                </c:pt>
                <c:pt idx="84">
                  <c:v>238.31362044245091</c:v>
                </c:pt>
                <c:pt idx="85">
                  <c:v>242.82651873322845</c:v>
                </c:pt>
                <c:pt idx="86">
                  <c:v>247.05562770340671</c:v>
                </c:pt>
                <c:pt idx="87">
                  <c:v>251.28309296155339</c:v>
                </c:pt>
                <c:pt idx="88">
                  <c:v>255.50894611772128</c:v>
                </c:pt>
                <c:pt idx="89">
                  <c:v>259.73321764902863</c:v>
                </c:pt>
                <c:pt idx="90">
                  <c:v>263.9559369584577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39296"/>
        <c:axId val="-1967738752"/>
      </c:scatterChart>
      <c:valAx>
        <c:axId val="-1967739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8752"/>
        <c:crosses val="autoZero"/>
        <c:crossBetween val="midCat"/>
      </c:valAx>
      <c:valAx>
        <c:axId val="-19677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211.12636896992387</c:v>
                </c:pt>
                <c:pt idx="42">
                  <c:v>222.81230638924697</c:v>
                </c:pt>
                <c:pt idx="43">
                  <c:v>234.48418968616227</c:v>
                </c:pt>
                <c:pt idx="44">
                  <c:v>246.14281741922977</c:v>
                </c:pt>
                <c:pt idx="45">
                  <c:v>257.78890626510469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269.42310281421265</c:v>
                </c:pt>
                <c:pt idx="52">
                  <c:v>281.04599322042532</c:v>
                </c:pt>
                <c:pt idx="53">
                  <c:v>292.65811116959617</c:v>
                </c:pt>
                <c:pt idx="54">
                  <c:v>304.25994451630169</c:v>
                </c:pt>
                <c:pt idx="55">
                  <c:v>315.85194085471181</c:v>
                </c:pt>
                <c:pt idx="56">
                  <c:v>269.0077938022381</c:v>
                </c:pt>
                <c:pt idx="57">
                  <c:v>280.21615005760447</c:v>
                </c:pt>
                <c:pt idx="58">
                  <c:v>291.41445586173216</c:v>
                </c:pt>
                <c:pt idx="59">
                  <c:v>302.60315205267631</c:v>
                </c:pt>
                <c:pt idx="60">
                  <c:v>313.78264418987732</c:v>
                </c:pt>
                <c:pt idx="61">
                  <c:v>324.95330656071542</c:v>
                </c:pt>
                <c:pt idx="62">
                  <c:v>336.1154856070562</c:v>
                </c:pt>
                <c:pt idx="63">
                  <c:v>347.26950287262457</c:v>
                </c:pt>
                <c:pt idx="64">
                  <c:v>358.41565755176816</c:v>
                </c:pt>
                <c:pt idx="65">
                  <c:v>369.55422870449632</c:v>
                </c:pt>
                <c:pt idx="66">
                  <c:v>322.05803699935797</c:v>
                </c:pt>
                <c:pt idx="67">
                  <c:v>332.39568151871464</c:v>
                </c:pt>
                <c:pt idx="68">
                  <c:v>342.7262392021392</c:v>
                </c:pt>
                <c:pt idx="69">
                  <c:v>353.04995387967392</c:v>
                </c:pt>
                <c:pt idx="70">
                  <c:v>363.3670539509107</c:v>
                </c:pt>
                <c:pt idx="71">
                  <c:v>373.67775378131779</c:v>
                </c:pt>
                <c:pt idx="72">
                  <c:v>383.98225493635573</c:v>
                </c:pt>
                <c:pt idx="73">
                  <c:v>394.28074727616121</c:v>
                </c:pt>
                <c:pt idx="74">
                  <c:v>404.57340992986127</c:v>
                </c:pt>
                <c:pt idx="75">
                  <c:v>414.86041216554025</c:v>
                </c:pt>
                <c:pt idx="76">
                  <c:v>366.66716434689437</c:v>
                </c:pt>
                <c:pt idx="77">
                  <c:v>376.15139203422933</c:v>
                </c:pt>
                <c:pt idx="78">
                  <c:v>385.630412725084</c:v>
                </c:pt>
                <c:pt idx="79">
                  <c:v>395.10437251790654</c:v>
                </c:pt>
                <c:pt idx="80">
                  <c:v>404.57340992986127</c:v>
                </c:pt>
                <c:pt idx="81">
                  <c:v>413.62626538682224</c:v>
                </c:pt>
                <c:pt idx="82">
                  <c:v>422.67484705445094</c:v>
                </c:pt>
                <c:pt idx="83">
                  <c:v>431.71925936589827</c:v>
                </c:pt>
                <c:pt idx="84">
                  <c:v>440.75960201986459</c:v>
                </c:pt>
                <c:pt idx="85">
                  <c:v>449.79597029004367</c:v>
                </c:pt>
                <c:pt idx="86">
                  <c:v>400.45703338613856</c:v>
                </c:pt>
                <c:pt idx="87">
                  <c:v>408.68888090830461</c:v>
                </c:pt>
                <c:pt idx="88">
                  <c:v>416.91714761061024</c:v>
                </c:pt>
                <c:pt idx="89">
                  <c:v>425.14191416939929</c:v>
                </c:pt>
                <c:pt idx="90">
                  <c:v>433.36325788318965</c:v>
                </c:pt>
                <c:pt idx="91">
                  <c:v>441.5812528768941</c:v>
                </c:pt>
                <c:pt idx="92">
                  <c:v>449.79597029004367</c:v>
                </c:pt>
                <c:pt idx="93">
                  <c:v>458.00747845053729</c:v>
                </c:pt>
                <c:pt idx="94">
                  <c:v>466.2158430352813</c:v>
                </c:pt>
                <c:pt idx="95">
                  <c:v>474.42112721892181</c:v>
                </c:pt>
                <c:pt idx="96">
                  <c:v>423.9084192441091</c:v>
                </c:pt>
                <c:pt idx="97">
                  <c:v>430.89720969800169</c:v>
                </c:pt>
                <c:pt idx="98">
                  <c:v>437.88356491828102</c:v>
                </c:pt>
                <c:pt idx="99">
                  <c:v>444.86752926426311</c:v>
                </c:pt>
                <c:pt idx="100">
                  <c:v>451.84914558797823</c:v>
                </c:pt>
                <c:pt idx="101">
                  <c:v>458.82845530839785</c:v>
                </c:pt>
                <c:pt idx="102">
                  <c:v>465.80549848090777</c:v>
                </c:pt>
                <c:pt idx="103">
                  <c:v>472.78031386240167</c:v>
                </c:pt>
                <c:pt idx="104">
                  <c:v>479.75293897233087</c:v>
                </c:pt>
                <c:pt idx="105">
                  <c:v>486.72341015001939</c:v>
                </c:pt>
                <c:pt idx="106">
                  <c:v>435.41806774560109</c:v>
                </c:pt>
                <c:pt idx="107">
                  <c:v>441.58125287689427</c:v>
                </c:pt>
                <c:pt idx="108">
                  <c:v>447.74259442675481</c:v>
                </c:pt>
                <c:pt idx="109">
                  <c:v>453.90212136173164</c:v>
                </c:pt>
                <c:pt idx="110">
                  <c:v>460.05986179752421</c:v>
                </c:pt>
                <c:pt idx="111">
                  <c:v>466.21584303528147</c:v>
                </c:pt>
                <c:pt idx="112">
                  <c:v>472.37009159588257</c:v>
                </c:pt>
                <c:pt idx="113">
                  <c:v>478.52263325233724</c:v>
                </c:pt>
                <c:pt idx="114">
                  <c:v>484.67349306043207</c:v>
                </c:pt>
                <c:pt idx="115">
                  <c:v>490.82269538774068</c:v>
                </c:pt>
                <c:pt idx="116">
                  <c:v>442.40287096043653</c:v>
                </c:pt>
                <c:pt idx="117">
                  <c:v>447.33189509390462</c:v>
                </c:pt>
                <c:pt idx="118">
                  <c:v>452.25975667152642</c:v>
                </c:pt>
                <c:pt idx="119">
                  <c:v>457.18647015898267</c:v>
                </c:pt>
                <c:pt idx="120">
                  <c:v>462.1120496844826</c:v>
                </c:pt>
                <c:pt idx="121">
                  <c:v>467.03650905023136</c:v>
                </c:pt>
                <c:pt idx="122">
                  <c:v>471.95986174338731</c:v>
                </c:pt>
                <c:pt idx="123">
                  <c:v>476.88212094653846</c:v>
                </c:pt>
                <c:pt idx="124">
                  <c:v>481.80329954772287</c:v>
                </c:pt>
                <c:pt idx="125">
                  <c:v>486.72341015001945</c:v>
                </c:pt>
                <c:pt idx="126">
                  <c:v>443.63523678752944</c:v>
                </c:pt>
                <c:pt idx="127">
                  <c:v>447.74259442675498</c:v>
                </c:pt>
                <c:pt idx="128">
                  <c:v>451.84914558797851</c:v>
                </c:pt>
                <c:pt idx="129">
                  <c:v>455.95489864227756</c:v>
                </c:pt>
                <c:pt idx="130">
                  <c:v>460.05986179752421</c:v>
                </c:pt>
                <c:pt idx="131">
                  <c:v>464.16404310302795</c:v>
                </c:pt>
                <c:pt idx="132">
                  <c:v>468.26745045400463</c:v>
                </c:pt>
                <c:pt idx="133">
                  <c:v>472.37009159588268</c:v>
                </c:pt>
                <c:pt idx="134">
                  <c:v>476.47197412844918</c:v>
                </c:pt>
                <c:pt idx="135">
                  <c:v>480.57310550984795</c:v>
                </c:pt>
                <c:pt idx="136">
                  <c:v>444.86752926426328</c:v>
                </c:pt>
                <c:pt idx="137">
                  <c:v>448.15328569496381</c:v>
                </c:pt>
                <c:pt idx="138">
                  <c:v>451.4385265234958</c:v>
                </c:pt>
                <c:pt idx="139">
                  <c:v>454.72325603573967</c:v>
                </c:pt>
                <c:pt idx="140">
                  <c:v>458.00747845053735</c:v>
                </c:pt>
                <c:pt idx="141">
                  <c:v>461.29119792122509</c:v>
                </c:pt>
                <c:pt idx="142">
                  <c:v>464.57441853711953</c:v>
                </c:pt>
                <c:pt idx="143">
                  <c:v>467.8571443249611</c:v>
                </c:pt>
                <c:pt idx="144">
                  <c:v>471.13937925031331</c:v>
                </c:pt>
                <c:pt idx="145">
                  <c:v>474.42112721892181</c:v>
                </c:pt>
                <c:pt idx="146">
                  <c:v>446.09974862279796</c:v>
                </c:pt>
                <c:pt idx="147">
                  <c:v>448.5639689069767</c:v>
                </c:pt>
                <c:pt idx="148">
                  <c:v>451.02789946978191</c:v>
                </c:pt>
                <c:pt idx="149">
                  <c:v>453.49154211928288</c:v>
                </c:pt>
                <c:pt idx="150">
                  <c:v>455.95489864227733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41472"/>
        <c:axId val="-1967734944"/>
      </c:scatterChart>
      <c:valAx>
        <c:axId val="-196774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4944"/>
        <c:crosses val="autoZero"/>
        <c:crossBetween val="midCat"/>
      </c:valAx>
      <c:valAx>
        <c:axId val="-1967734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4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165.46209858933364</c:v>
                </c:pt>
                <c:pt idx="27">
                  <c:v>181.80332238755173</c:v>
                </c:pt>
                <c:pt idx="28">
                  <c:v>198.11017765361632</c:v>
                </c:pt>
                <c:pt idx="29">
                  <c:v>214.38589248354245</c:v>
                </c:pt>
                <c:pt idx="30">
                  <c:v>230.63316428689711</c:v>
                </c:pt>
                <c:pt idx="31">
                  <c:v>249.16956379358496</c:v>
                </c:pt>
                <c:pt idx="32">
                  <c:v>267.6746881557828</c:v>
                </c:pt>
                <c:pt idx="33">
                  <c:v>286.15100338127621</c:v>
                </c:pt>
                <c:pt idx="34">
                  <c:v>304.60063094888795</c:v>
                </c:pt>
                <c:pt idx="35">
                  <c:v>323.02541433745813</c:v>
                </c:pt>
                <c:pt idx="36">
                  <c:v>245.46487179097775</c:v>
                </c:pt>
                <c:pt idx="37">
                  <c:v>264.90081208016204</c:v>
                </c:pt>
                <c:pt idx="38">
                  <c:v>284.30460543918775</c:v>
                </c:pt>
                <c:pt idx="39">
                  <c:v>303.67875394863927</c:v>
                </c:pt>
                <c:pt idx="40">
                  <c:v>323.02541433745824</c:v>
                </c:pt>
                <c:pt idx="41">
                  <c:v>342.34646391464634</c:v>
                </c:pt>
                <c:pt idx="42">
                  <c:v>361.64355082638082</c:v>
                </c:pt>
                <c:pt idx="43">
                  <c:v>380.91813301943733</c:v>
                </c:pt>
                <c:pt idx="44">
                  <c:v>400.17150890331305</c:v>
                </c:pt>
                <c:pt idx="45">
                  <c:v>419.40484180194306</c:v>
                </c:pt>
                <c:pt idx="46">
                  <c:v>341.88672353906321</c:v>
                </c:pt>
                <c:pt idx="47">
                  <c:v>360.72516312195717</c:v>
                </c:pt>
                <c:pt idx="48">
                  <c:v>379.54209497418606</c:v>
                </c:pt>
                <c:pt idx="49">
                  <c:v>398.33873496539172</c:v>
                </c:pt>
                <c:pt idx="50">
                  <c:v>417.1161748963454</c:v>
                </c:pt>
                <c:pt idx="51">
                  <c:v>435.41806774560104</c:v>
                </c:pt>
                <c:pt idx="52">
                  <c:v>453.70345497828936</c:v>
                </c:pt>
                <c:pt idx="53">
                  <c:v>471.97309508291988</c:v>
                </c:pt>
                <c:pt idx="54">
                  <c:v>490.22768306866254</c:v>
                </c:pt>
                <c:pt idx="55">
                  <c:v>508.46785799243213</c:v>
                </c:pt>
                <c:pt idx="56">
                  <c:v>429.92926929891951</c:v>
                </c:pt>
                <c:pt idx="57">
                  <c:v>447.30539808561917</c:v>
                </c:pt>
                <c:pt idx="58">
                  <c:v>464.66708288740648</c:v>
                </c:pt>
                <c:pt idx="59">
                  <c:v>482.01493909873869</c:v>
                </c:pt>
                <c:pt idx="60">
                  <c:v>499.34953422631742</c:v>
                </c:pt>
                <c:pt idx="61">
                  <c:v>515.76002588713061</c:v>
                </c:pt>
                <c:pt idx="62">
                  <c:v>532.15950176791512</c:v>
                </c:pt>
                <c:pt idx="63">
                  <c:v>548.54834896667228</c:v>
                </c:pt>
                <c:pt idx="64">
                  <c:v>564.92692957744998</c:v>
                </c:pt>
                <c:pt idx="65">
                  <c:v>581.29558299844393</c:v>
                </c:pt>
                <c:pt idx="66">
                  <c:v>501.17347881997517</c:v>
                </c:pt>
                <c:pt idx="67">
                  <c:v>516.67139318273325</c:v>
                </c:pt>
                <c:pt idx="68">
                  <c:v>532.15950176791512</c:v>
                </c:pt>
                <c:pt idx="69">
                  <c:v>547.63813003167172</c:v>
                </c:pt>
                <c:pt idx="70">
                  <c:v>563.10758354108657</c:v>
                </c:pt>
                <c:pt idx="71">
                  <c:v>577.20433255089188</c:v>
                </c:pt>
                <c:pt idx="72">
                  <c:v>591.29389935584197</c:v>
                </c:pt>
                <c:pt idx="73">
                  <c:v>605.37647913053661</c:v>
                </c:pt>
                <c:pt idx="74">
                  <c:v>619.45225723298938</c:v>
                </c:pt>
                <c:pt idx="75">
                  <c:v>633.52140991484157</c:v>
                </c:pt>
                <c:pt idx="76">
                  <c:v>551.50634201733726</c:v>
                </c:pt>
                <c:pt idx="77">
                  <c:v>564.92692957744987</c:v>
                </c:pt>
                <c:pt idx="78">
                  <c:v>578.34085151619058</c:v>
                </c:pt>
                <c:pt idx="79">
                  <c:v>591.74828416086518</c:v>
                </c:pt>
                <c:pt idx="80">
                  <c:v>605.14939520020005</c:v>
                </c:pt>
                <c:pt idx="81">
                  <c:v>618.54434429348237</c:v>
                </c:pt>
                <c:pt idx="82">
                  <c:v>631.9332836242138</c:v>
                </c:pt>
                <c:pt idx="83">
                  <c:v>645.31635840442812</c:v>
                </c:pt>
                <c:pt idx="84">
                  <c:v>658.69370733501853</c:v>
                </c:pt>
                <c:pt idx="85">
                  <c:v>672.06546302674553</c:v>
                </c:pt>
                <c:pt idx="86">
                  <c:v>588.56743763742293</c:v>
                </c:pt>
                <c:pt idx="87">
                  <c:v>600.38022262303082</c:v>
                </c:pt>
                <c:pt idx="88">
                  <c:v>612.18817773567719</c:v>
                </c:pt>
                <c:pt idx="89">
                  <c:v>623.99140923584866</c:v>
                </c:pt>
                <c:pt idx="90">
                  <c:v>635.79001903756864</c:v>
                </c:pt>
                <c:pt idx="91">
                  <c:v>647.58410496524004</c:v>
                </c:pt>
                <c:pt idx="92">
                  <c:v>659.37376099081337</c:v>
                </c:pt>
                <c:pt idx="93">
                  <c:v>671.1590774531137</c:v>
                </c:pt>
                <c:pt idx="94">
                  <c:v>682.94014126097579</c:v>
                </c:pt>
                <c:pt idx="95">
                  <c:v>694.71703608163614</c:v>
                </c:pt>
                <c:pt idx="96">
                  <c:v>610.14483413808227</c:v>
                </c:pt>
                <c:pt idx="97">
                  <c:v>620.81407495489407</c:v>
                </c:pt>
                <c:pt idx="98">
                  <c:v>631.47951810462462</c:v>
                </c:pt>
                <c:pt idx="99">
                  <c:v>642.14123675390272</c:v>
                </c:pt>
                <c:pt idx="100">
                  <c:v>652.79930144226262</c:v>
                </c:pt>
                <c:pt idx="101">
                  <c:v>663.45378021872796</c:v>
                </c:pt>
                <c:pt idx="102">
                  <c:v>674.10473876917354</c:v>
                </c:pt>
                <c:pt idx="103">
                  <c:v>684.75224053521981</c:v>
                </c:pt>
                <c:pt idx="104">
                  <c:v>695.39634682535268</c:v>
                </c:pt>
                <c:pt idx="105">
                  <c:v>706.03711691888873</c:v>
                </c:pt>
                <c:pt idx="106">
                  <c:v>622.17583079004783</c:v>
                </c:pt>
                <c:pt idx="107">
                  <c:v>631.25263281623836</c:v>
                </c:pt>
                <c:pt idx="108">
                  <c:v>640.32673608720222</c:v>
                </c:pt>
                <c:pt idx="109">
                  <c:v>649.39818423428153</c:v>
                </c:pt>
                <c:pt idx="110">
                  <c:v>658.46701957061885</c:v>
                </c:pt>
                <c:pt idx="111">
                  <c:v>667.5332831489759</c:v>
                </c:pt>
                <c:pt idx="112">
                  <c:v>676.59701481625132</c:v>
                </c:pt>
                <c:pt idx="113">
                  <c:v>685.65825326492347</c:v>
                </c:pt>
                <c:pt idx="114">
                  <c:v>694.71703608163591</c:v>
                </c:pt>
                <c:pt idx="115">
                  <c:v>703.77339979311603</c:v>
                </c:pt>
                <c:pt idx="116">
                  <c:v>627.62223834541555</c:v>
                </c:pt>
                <c:pt idx="117">
                  <c:v>635.33631061817152</c:v>
                </c:pt>
                <c:pt idx="118">
                  <c:v>643.04844736912321</c:v>
                </c:pt>
                <c:pt idx="119">
                  <c:v>650.75867508421697</c:v>
                </c:pt>
                <c:pt idx="120">
                  <c:v>658.46701957061839</c:v>
                </c:pt>
                <c:pt idx="121">
                  <c:v>666.17350598202131</c:v>
                </c:pt>
                <c:pt idx="122">
                  <c:v>673.87815884272425</c:v>
                </c:pt>
                <c:pt idx="123">
                  <c:v>681.58100207055156</c:v>
                </c:pt>
                <c:pt idx="124">
                  <c:v>689.2820589986826</c:v>
                </c:pt>
                <c:pt idx="125">
                  <c:v>696.98135239645444</c:v>
                </c:pt>
                <c:pt idx="126">
                  <c:v>628.9836870521674</c:v>
                </c:pt>
                <c:pt idx="127">
                  <c:v>635.79001903756773</c:v>
                </c:pt>
                <c:pt idx="128">
                  <c:v>642.59484536690752</c:v>
                </c:pt>
                <c:pt idx="129">
                  <c:v>649.39818423428108</c:v>
                </c:pt>
                <c:pt idx="130">
                  <c:v>656.20005342145203</c:v>
                </c:pt>
                <c:pt idx="131">
                  <c:v>663.00047031146812</c:v>
                </c:pt>
                <c:pt idx="132">
                  <c:v>669.79945190168769</c:v>
                </c:pt>
                <c:pt idx="133">
                  <c:v>676.59701481625063</c:v>
                </c:pt>
                <c:pt idx="134">
                  <c:v>683.39317531802135</c:v>
                </c:pt>
                <c:pt idx="135">
                  <c:v>690.18794932003266</c:v>
                </c:pt>
                <c:pt idx="136">
                  <c:v>630.34507478926355</c:v>
                </c:pt>
                <c:pt idx="137">
                  <c:v>636.24372076531688</c:v>
                </c:pt>
                <c:pt idx="138">
                  <c:v>642.14123675390226</c:v>
                </c:pt>
                <c:pt idx="139">
                  <c:v>648.03763459841321</c:v>
                </c:pt>
                <c:pt idx="140">
                  <c:v>653.93292590910937</c:v>
                </c:pt>
                <c:pt idx="141">
                  <c:v>659.82712206981262</c:v>
                </c:pt>
                <c:pt idx="142">
                  <c:v>665.72023424435088</c:v>
                </c:pt>
                <c:pt idx="143">
                  <c:v>671.61227338276092</c:v>
                </c:pt>
                <c:pt idx="144">
                  <c:v>677.50325022726418</c:v>
                </c:pt>
                <c:pt idx="145">
                  <c:v>683.39317531802192</c:v>
                </c:pt>
                <c:pt idx="146">
                  <c:v>635.33631061817164</c:v>
                </c:pt>
                <c:pt idx="147">
                  <c:v>646.22347672875821</c:v>
                </c:pt>
                <c:pt idx="148">
                  <c:v>657.10685920907974</c:v>
                </c:pt>
                <c:pt idx="149">
                  <c:v>667.98652953900159</c:v>
                </c:pt>
                <c:pt idx="150">
                  <c:v>678.86255668089882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36576"/>
        <c:axId val="-1967738208"/>
      </c:scatterChart>
      <c:valAx>
        <c:axId val="-19677365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8208"/>
        <c:crosses val="autoZero"/>
        <c:crossBetween val="midCat"/>
      </c:valAx>
      <c:valAx>
        <c:axId val="-196773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2.0488154632069886</c:v>
                </c:pt>
                <c:pt idx="2">
                  <c:v>2.4233379605482943</c:v>
                </c:pt>
                <c:pt idx="3">
                  <c:v>2.866578504764091</c:v>
                </c:pt>
                <c:pt idx="4">
                  <c:v>3.3911899510511758</c:v>
                </c:pt>
                <c:pt idx="5">
                  <c:v>4.0121625565625862</c:v>
                </c:pt>
                <c:pt idx="6">
                  <c:v>4.7472570973955088</c:v>
                </c:pt>
                <c:pt idx="7">
                  <c:v>5.6175184684232375</c:v>
                </c:pt>
                <c:pt idx="8">
                  <c:v>6.6478847603431106</c:v>
                </c:pt>
                <c:pt idx="9">
                  <c:v>7.8679096084758688</c:v>
                </c:pt>
                <c:pt idx="10">
                  <c:v>9.3126189320690731</c:v>
                </c:pt>
                <c:pt idx="11">
                  <c:v>11.023527129397273</c:v>
                </c:pt>
                <c:pt idx="12">
                  <c:v>13.049842479543365</c:v>
                </c:pt>
                <c:pt idx="13">
                  <c:v>15.449897065050889</c:v>
                </c:pt>
                <c:pt idx="14">
                  <c:v>18.292843135377566</c:v>
                </c:pt>
                <c:pt idx="15">
                  <c:v>21.660665674944756</c:v>
                </c:pt>
                <c:pt idx="16">
                  <c:v>25.650570254048265</c:v>
                </c:pt>
                <c:pt idx="17">
                  <c:v>30.37781630218231</c:v>
                </c:pt>
                <c:pt idx="18">
                  <c:v>35.979079079598641</c:v>
                </c:pt>
                <c:pt idx="19">
                  <c:v>42.616439224095039</c:v>
                </c:pt>
                <c:pt idx="20">
                  <c:v>50.482117279404498</c:v>
                </c:pt>
                <c:pt idx="21">
                  <c:v>47.594477436319387</c:v>
                </c:pt>
                <c:pt idx="22">
                  <c:v>55.285261192028024</c:v>
                </c:pt>
                <c:pt idx="23">
                  <c:v>62.947918276041293</c:v>
                </c:pt>
                <c:pt idx="24">
                  <c:v>70.586367176528697</c:v>
                </c:pt>
                <c:pt idx="25">
                  <c:v>78.203604522373354</c:v>
                </c:pt>
                <c:pt idx="26">
                  <c:v>86.181453394205548</c:v>
                </c:pt>
                <c:pt idx="27">
                  <c:v>94.140716854135064</c:v>
                </c:pt>
                <c:pt idx="28">
                  <c:v>102.0831910615842</c:v>
                </c:pt>
                <c:pt idx="29">
                  <c:v>110.0103690160517</c:v>
                </c:pt>
                <c:pt idx="30">
                  <c:v>117.92351039680756</c:v>
                </c:pt>
                <c:pt idx="31">
                  <c:v>97.357460189020443</c:v>
                </c:pt>
                <c:pt idx="32">
                  <c:v>105.10479911520376</c:v>
                </c:pt>
                <c:pt idx="33">
                  <c:v>112.83804288902729</c:v>
                </c:pt>
                <c:pt idx="34">
                  <c:v>120.55829551377811</c:v>
                </c:pt>
                <c:pt idx="35">
                  <c:v>128.26650770980586</c:v>
                </c:pt>
                <c:pt idx="36">
                  <c:v>135.77590221752095</c:v>
                </c:pt>
                <c:pt idx="37">
                  <c:v>143.27529843266882</c:v>
                </c:pt>
                <c:pt idx="38">
                  <c:v>150.76529438308773</c:v>
                </c:pt>
                <c:pt idx="39">
                  <c:v>158.24642370859854</c:v>
                </c:pt>
                <c:pt idx="40">
                  <c:v>165.71916537848449</c:v>
                </c:pt>
                <c:pt idx="41">
                  <c:v>141.02649246407404</c:v>
                </c:pt>
                <c:pt idx="42">
                  <c:v>148.14483045304462</c:v>
                </c:pt>
                <c:pt idx="43">
                  <c:v>155.25500419387069</c:v>
                </c:pt>
                <c:pt idx="44">
                  <c:v>162.35744096511158</c:v>
                </c:pt>
                <c:pt idx="45">
                  <c:v>169.45252753886561</c:v>
                </c:pt>
                <c:pt idx="46">
                  <c:v>175.98127648998823</c:v>
                </c:pt>
                <c:pt idx="47">
                  <c:v>182.50434037130807</c:v>
                </c:pt>
                <c:pt idx="48">
                  <c:v>189.02195139881817</c:v>
                </c:pt>
                <c:pt idx="49">
                  <c:v>195.53432443828251</c:v>
                </c:pt>
                <c:pt idx="50">
                  <c:v>202.04165884934005</c:v>
                </c:pt>
                <c:pt idx="51">
                  <c:v>176.72705270961629</c:v>
                </c:pt>
                <c:pt idx="52">
                  <c:v>183.06320324883154</c:v>
                </c:pt>
                <c:pt idx="53">
                  <c:v>189.39422614533689</c:v>
                </c:pt>
                <c:pt idx="54">
                  <c:v>195.7203172888434</c:v>
                </c:pt>
                <c:pt idx="55">
                  <c:v>202.04165884934011</c:v>
                </c:pt>
                <c:pt idx="56">
                  <c:v>207.80123939191051</c:v>
                </c:pt>
                <c:pt idx="57">
                  <c:v>213.5571334405995</c:v>
                </c:pt>
                <c:pt idx="58">
                  <c:v>219.30945455294045</c:v>
                </c:pt>
                <c:pt idx="59">
                  <c:v>225.05830983252932</c:v>
                </c:pt>
                <c:pt idx="60">
                  <c:v>230.80380045507431</c:v>
                </c:pt>
                <c:pt idx="61">
                  <c:v>205.01481318975095</c:v>
                </c:pt>
                <c:pt idx="62">
                  <c:v>210.77247642545248</c:v>
                </c:pt>
                <c:pt idx="63">
                  <c:v>216.52651261833455</c:v>
                </c:pt>
                <c:pt idx="64">
                  <c:v>222.27703192546781</c:v>
                </c:pt>
                <c:pt idx="65">
                  <c:v>228.0241383288666</c:v>
                </c:pt>
                <c:pt idx="66">
                  <c:v>233.02697864714685</c:v>
                </c:pt>
                <c:pt idx="67">
                  <c:v>238.027366338485</c:v>
                </c:pt>
                <c:pt idx="68">
                  <c:v>243.02536029283627</c:v>
                </c:pt>
                <c:pt idx="69">
                  <c:v>248.02101677583119</c:v>
                </c:pt>
                <c:pt idx="70">
                  <c:v>253.01438959744209</c:v>
                </c:pt>
                <c:pt idx="71">
                  <c:v>229.13609569127854</c:v>
                </c:pt>
                <c:pt idx="72">
                  <c:v>233.95315961610106</c:v>
                </c:pt>
                <c:pt idx="73">
                  <c:v>238.76795954513022</c:v>
                </c:pt>
                <c:pt idx="74">
                  <c:v>243.58054766127498</c:v>
                </c:pt>
                <c:pt idx="75">
                  <c:v>248.39097391329713</c:v>
                </c:pt>
                <c:pt idx="76">
                  <c:v>253.01438959744212</c:v>
                </c:pt>
                <c:pt idx="77">
                  <c:v>257.6358915926462</c:v>
                </c:pt>
                <c:pt idx="78">
                  <c:v>262.25551913421651</c:v>
                </c:pt>
                <c:pt idx="79">
                  <c:v>266.87330995991658</c:v>
                </c:pt>
                <c:pt idx="80">
                  <c:v>271.48930039264548</c:v>
                </c:pt>
                <c:pt idx="81">
                  <c:v>248.94588617368981</c:v>
                </c:pt>
                <c:pt idx="82">
                  <c:v>253.19928615387587</c:v>
                </c:pt>
                <c:pt idx="83">
                  <c:v>257.45106775849962</c:v>
                </c:pt>
                <c:pt idx="84">
                  <c:v>261.70126153829153</c:v>
                </c:pt>
                <c:pt idx="85">
                  <c:v>265.94989696880867</c:v>
                </c:pt>
                <c:pt idx="86">
                  <c:v>270.01237717926034</c:v>
                </c:pt>
                <c:pt idx="87">
                  <c:v>274.07348171615945</c:v>
                </c:pt>
                <c:pt idx="88">
                  <c:v>278.13323387861993</c:v>
                </c:pt>
                <c:pt idx="89">
                  <c:v>282.19165622884071</c:v>
                </c:pt>
                <c:pt idx="90">
                  <c:v>286.24877062592168</c:v>
                </c:pt>
                <c:pt idx="91">
                  <c:v>265.21111453545996</c:v>
                </c:pt>
                <c:pt idx="92">
                  <c:v>269.08920787227277</c:v>
                </c:pt>
                <c:pt idx="93">
                  <c:v>272.96604283793073</c:v>
                </c:pt>
                <c:pt idx="94">
                  <c:v>276.84163986131688</c:v>
                </c:pt>
                <c:pt idx="95">
                  <c:v>280.71601875158393</c:v>
                </c:pt>
                <c:pt idx="96">
                  <c:v>284.40478849279219</c:v>
                </c:pt>
                <c:pt idx="97">
                  <c:v>288.0924869072017</c:v>
                </c:pt>
                <c:pt idx="98">
                  <c:v>291.77912966937936</c:v>
                </c:pt>
                <c:pt idx="99">
                  <c:v>295.46473202474732</c:v>
                </c:pt>
                <c:pt idx="100">
                  <c:v>299.14930880666356</c:v>
                </c:pt>
                <c:pt idx="101">
                  <c:v>279.42469327150098</c:v>
                </c:pt>
                <c:pt idx="102">
                  <c:v>282.74497563964593</c:v>
                </c:pt>
                <c:pt idx="103">
                  <c:v>286.06438440827793</c:v>
                </c:pt>
                <c:pt idx="104">
                  <c:v>289.38293116514234</c:v>
                </c:pt>
                <c:pt idx="105">
                  <c:v>292.7006272100171</c:v>
                </c:pt>
                <c:pt idx="106">
                  <c:v>296.2017289594063</c:v>
                </c:pt>
                <c:pt idx="107">
                  <c:v>299.70190776572844</c:v>
                </c:pt>
                <c:pt idx="108">
                  <c:v>303.20117594914205</c:v>
                </c:pt>
                <c:pt idx="109">
                  <c:v>306.69954552171168</c:v>
                </c:pt>
                <c:pt idx="110">
                  <c:v>310.19702819862084</c:v>
                </c:pt>
                <c:pt idx="111">
                  <c:v>6.3818400528820342E-13</c:v>
                </c:pt>
                <c:pt idx="112">
                  <c:v>6.3818400528820342E-13</c:v>
                </c:pt>
                <c:pt idx="113">
                  <c:v>6.3818400528820342E-13</c:v>
                </c:pt>
                <c:pt idx="114">
                  <c:v>6.3818400528820342E-13</c:v>
                </c:pt>
                <c:pt idx="115">
                  <c:v>6.3818400528820342E-13</c:v>
                </c:pt>
                <c:pt idx="116">
                  <c:v>6.3818400528820342E-13</c:v>
                </c:pt>
                <c:pt idx="117">
                  <c:v>6.3818400528820342E-13</c:v>
                </c:pt>
                <c:pt idx="118">
                  <c:v>6.3818400528820342E-13</c:v>
                </c:pt>
                <c:pt idx="119">
                  <c:v>6.3818400528820342E-13</c:v>
                </c:pt>
                <c:pt idx="120">
                  <c:v>6.3818400528820342E-13</c:v>
                </c:pt>
                <c:pt idx="121">
                  <c:v>6.3818400528820342E-13</c:v>
                </c:pt>
                <c:pt idx="122">
                  <c:v>6.3818400528820342E-13</c:v>
                </c:pt>
                <c:pt idx="123">
                  <c:v>6.3818400528820342E-13</c:v>
                </c:pt>
                <c:pt idx="124">
                  <c:v>6.3818400528820342E-13</c:v>
                </c:pt>
                <c:pt idx="125">
                  <c:v>6.3818400528820342E-13</c:v>
                </c:pt>
                <c:pt idx="126">
                  <c:v>6.3818400528820342E-13</c:v>
                </c:pt>
                <c:pt idx="127">
                  <c:v>6.3818400528820342E-13</c:v>
                </c:pt>
                <c:pt idx="128">
                  <c:v>6.3818400528820342E-13</c:v>
                </c:pt>
                <c:pt idx="129">
                  <c:v>6.3818400528820342E-13</c:v>
                </c:pt>
                <c:pt idx="130">
                  <c:v>6.3818400528820342E-13</c:v>
                </c:pt>
                <c:pt idx="131">
                  <c:v>6.3818400528820342E-13</c:v>
                </c:pt>
                <c:pt idx="132">
                  <c:v>6.3818400528820342E-13</c:v>
                </c:pt>
                <c:pt idx="133">
                  <c:v>6.3818400528820342E-13</c:v>
                </c:pt>
                <c:pt idx="134">
                  <c:v>6.3818400528820342E-13</c:v>
                </c:pt>
                <c:pt idx="135">
                  <c:v>6.3818400528820342E-13</c:v>
                </c:pt>
                <c:pt idx="136">
                  <c:v>6.3818400528820342E-13</c:v>
                </c:pt>
                <c:pt idx="137">
                  <c:v>6.3818400528820342E-13</c:v>
                </c:pt>
                <c:pt idx="138">
                  <c:v>6.3818400528820342E-13</c:v>
                </c:pt>
                <c:pt idx="139">
                  <c:v>6.3818400528820342E-13</c:v>
                </c:pt>
                <c:pt idx="140">
                  <c:v>6.3818400528820342E-13</c:v>
                </c:pt>
                <c:pt idx="141">
                  <c:v>6.3818400528820342E-13</c:v>
                </c:pt>
                <c:pt idx="142">
                  <c:v>6.3818400528820342E-13</c:v>
                </c:pt>
                <c:pt idx="143">
                  <c:v>6.3818400528820342E-13</c:v>
                </c:pt>
                <c:pt idx="144">
                  <c:v>6.3818400528820342E-13</c:v>
                </c:pt>
                <c:pt idx="145">
                  <c:v>6.3818400528820342E-13</c:v>
                </c:pt>
                <c:pt idx="146">
                  <c:v>6.3818400528820342E-13</c:v>
                </c:pt>
                <c:pt idx="147">
                  <c:v>6.3818400528820342E-13</c:v>
                </c:pt>
                <c:pt idx="148">
                  <c:v>6.3818400528820342E-13</c:v>
                </c:pt>
                <c:pt idx="149">
                  <c:v>6.3818400528820342E-13</c:v>
                </c:pt>
                <c:pt idx="150">
                  <c:v>6.3818400528820342E-13</c:v>
                </c:pt>
                <c:pt idx="151">
                  <c:v>6.3818400528820342E-13</c:v>
                </c:pt>
                <c:pt idx="152">
                  <c:v>6.3818400528820342E-13</c:v>
                </c:pt>
                <c:pt idx="153">
                  <c:v>6.3818400528820342E-13</c:v>
                </c:pt>
                <c:pt idx="154">
                  <c:v>6.3818400528820342E-13</c:v>
                </c:pt>
                <c:pt idx="155">
                  <c:v>6.3818400528820342E-13</c:v>
                </c:pt>
                <c:pt idx="156">
                  <c:v>6.3818400528820342E-13</c:v>
                </c:pt>
                <c:pt idx="157">
                  <c:v>6.3818400528820342E-13</c:v>
                </c:pt>
                <c:pt idx="158">
                  <c:v>6.3818400528820342E-13</c:v>
                </c:pt>
                <c:pt idx="159">
                  <c:v>6.3818400528820342E-13</c:v>
                </c:pt>
                <c:pt idx="160">
                  <c:v>6.3818400528820342E-13</c:v>
                </c:pt>
                <c:pt idx="161">
                  <c:v>6.3818400528820342E-13</c:v>
                </c:pt>
                <c:pt idx="162">
                  <c:v>6.3818400528820342E-13</c:v>
                </c:pt>
                <c:pt idx="163">
                  <c:v>6.3818400528820342E-13</c:v>
                </c:pt>
                <c:pt idx="164">
                  <c:v>6.3818400528820342E-13</c:v>
                </c:pt>
                <c:pt idx="165">
                  <c:v>6.3818400528820342E-13</c:v>
                </c:pt>
                <c:pt idx="166">
                  <c:v>6.3818400528820342E-13</c:v>
                </c:pt>
                <c:pt idx="167">
                  <c:v>6.3818400528820342E-13</c:v>
                </c:pt>
                <c:pt idx="168">
                  <c:v>6.3818400528820342E-13</c:v>
                </c:pt>
                <c:pt idx="169">
                  <c:v>6.3818400528820342E-13</c:v>
                </c:pt>
                <c:pt idx="170">
                  <c:v>6.3818400528820342E-13</c:v>
                </c:pt>
                <c:pt idx="171">
                  <c:v>6.3818400528820342E-13</c:v>
                </c:pt>
                <c:pt idx="172">
                  <c:v>6.3818400528820342E-13</c:v>
                </c:pt>
                <c:pt idx="173">
                  <c:v>6.3818400528820342E-13</c:v>
                </c:pt>
                <c:pt idx="174">
                  <c:v>6.3818400528820342E-13</c:v>
                </c:pt>
                <c:pt idx="175">
                  <c:v>6.3818400528820342E-13</c:v>
                </c:pt>
                <c:pt idx="176">
                  <c:v>6.3818400528820342E-13</c:v>
                </c:pt>
                <c:pt idx="177">
                  <c:v>6.3818400528820342E-13</c:v>
                </c:pt>
                <c:pt idx="178">
                  <c:v>6.3818400528820342E-13</c:v>
                </c:pt>
                <c:pt idx="179">
                  <c:v>6.3818400528820342E-13</c:v>
                </c:pt>
                <c:pt idx="180">
                  <c:v>6.3818400528820342E-13</c:v>
                </c:pt>
                <c:pt idx="181">
                  <c:v>6.3818400528820342E-13</c:v>
                </c:pt>
                <c:pt idx="182">
                  <c:v>6.3818400528820342E-13</c:v>
                </c:pt>
                <c:pt idx="183">
                  <c:v>6.3818400528820342E-13</c:v>
                </c:pt>
                <c:pt idx="184">
                  <c:v>6.3818400528820342E-13</c:v>
                </c:pt>
                <c:pt idx="185">
                  <c:v>6.3818400528820342E-13</c:v>
                </c:pt>
                <c:pt idx="186">
                  <c:v>6.3818400528820342E-13</c:v>
                </c:pt>
                <c:pt idx="187">
                  <c:v>6.3818400528820342E-13</c:v>
                </c:pt>
                <c:pt idx="188">
                  <c:v>6.3818400528820342E-13</c:v>
                </c:pt>
                <c:pt idx="189">
                  <c:v>6.3818400528820342E-13</c:v>
                </c:pt>
                <c:pt idx="190">
                  <c:v>6.3818400528820342E-13</c:v>
                </c:pt>
                <c:pt idx="191">
                  <c:v>6.3818400528820342E-13</c:v>
                </c:pt>
                <c:pt idx="192">
                  <c:v>6.3818400528820342E-13</c:v>
                </c:pt>
                <c:pt idx="193">
                  <c:v>6.3818400528820342E-13</c:v>
                </c:pt>
                <c:pt idx="194">
                  <c:v>6.3818400528820342E-13</c:v>
                </c:pt>
                <c:pt idx="195">
                  <c:v>6.3818400528820342E-13</c:v>
                </c:pt>
                <c:pt idx="196">
                  <c:v>6.3818400528820342E-13</c:v>
                </c:pt>
                <c:pt idx="197">
                  <c:v>6.3818400528820342E-13</c:v>
                </c:pt>
                <c:pt idx="198">
                  <c:v>6.3818400528820342E-13</c:v>
                </c:pt>
                <c:pt idx="199">
                  <c:v>6.3818400528820342E-13</c:v>
                </c:pt>
                <c:pt idx="200">
                  <c:v>6.3818400528820342E-13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35488"/>
        <c:axId val="-1967734400"/>
      </c:scatterChart>
      <c:valAx>
        <c:axId val="-196773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4400"/>
        <c:crosses val="autoZero"/>
        <c:crossBetween val="midCat"/>
      </c:valAx>
      <c:valAx>
        <c:axId val="-196773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40928"/>
        <c:axId val="-1967740384"/>
      </c:scatterChart>
      <c:valAx>
        <c:axId val="-196774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40384"/>
        <c:crosses val="autoZero"/>
        <c:crossBetween val="midCat"/>
      </c:valAx>
      <c:valAx>
        <c:axId val="-196774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4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67736032"/>
        <c:axId val="-1967739840"/>
      </c:scatterChart>
      <c:valAx>
        <c:axId val="-19677360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9840"/>
        <c:crosses val="autoZero"/>
        <c:crossBetween val="midCat"/>
      </c:valAx>
      <c:valAx>
        <c:axId val="-1967739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67736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Normal="100" workbookViewId="0">
      <selection activeCell="E16" sqref="E1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4.3</v>
      </c>
      <c r="D5" s="303" t="s">
        <v>229</v>
      </c>
      <c r="E5" s="304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0.5</v>
      </c>
      <c r="D9" s="36">
        <f t="shared" ref="D9:D18" si="0">C9*$C$5</f>
        <v>2.15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6</v>
      </c>
      <c r="C10" s="35">
        <v>0.1</v>
      </c>
      <c r="D10" s="36">
        <f t="shared" si="0"/>
        <v>0.43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21</v>
      </c>
      <c r="C11" s="35">
        <v>0.1</v>
      </c>
      <c r="D11" s="36">
        <f t="shared" si="0"/>
        <v>0.43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98</v>
      </c>
      <c r="C12" s="35">
        <v>0.1</v>
      </c>
      <c r="D12" s="36">
        <f t="shared" si="0"/>
        <v>0.43</v>
      </c>
      <c r="E12" s="37">
        <v>90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</v>
      </c>
      <c r="C13" s="35">
        <v>0.05</v>
      </c>
      <c r="D13" s="36">
        <f t="shared" si="0"/>
        <v>0.215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52</v>
      </c>
      <c r="C14" s="35">
        <v>0.05</v>
      </c>
      <c r="D14" s="36">
        <f t="shared" si="0"/>
        <v>0.215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50</v>
      </c>
      <c r="C15" s="35">
        <v>0.05</v>
      </c>
      <c r="D15" s="36">
        <f t="shared" si="0"/>
        <v>0.215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0.95000000000000007</v>
      </c>
      <c r="D19" s="41">
        <f>SUM(D9:D18)</f>
        <v>4.085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1">
        <f>42+0</f>
        <v>42</v>
      </c>
      <c r="C36" s="53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1">
        <f>62+8+0</f>
        <v>70</v>
      </c>
      <c r="C37" s="61">
        <v>1</v>
      </c>
      <c r="D37" s="61">
        <f>8+0</f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1">
        <f>76+21</f>
        <v>97</v>
      </c>
      <c r="C38" s="61"/>
      <c r="D38" s="61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1">
        <f>95+21+21</f>
        <v>137</v>
      </c>
      <c r="C39" s="61">
        <v>2</v>
      </c>
      <c r="D39" s="61">
        <f>21+21</f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1">
        <f>116+21</f>
        <v>137</v>
      </c>
      <c r="C40" s="61"/>
      <c r="D40" s="61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1">
        <f>137+21+21</f>
        <v>179</v>
      </c>
      <c r="C41" s="61">
        <v>3</v>
      </c>
      <c r="D41" s="61">
        <f>21+21</f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1">
        <f>157+21</f>
        <v>178</v>
      </c>
      <c r="C42" s="61"/>
      <c r="D42" s="61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1">
        <f>176+21+21</f>
        <v>218</v>
      </c>
      <c r="C43" s="61">
        <v>4</v>
      </c>
      <c r="D43" s="61">
        <f>21+21</f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1">
        <f>193+21</f>
        <v>214</v>
      </c>
      <c r="C44" s="61"/>
      <c r="D44" s="61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1">
        <f>208+21+21</f>
        <v>250</v>
      </c>
      <c r="C45" s="61">
        <v>5</v>
      </c>
      <c r="D45" s="61">
        <f>21+21</f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1">
        <f>221+21</f>
        <v>242</v>
      </c>
      <c r="C46" s="61"/>
      <c r="D46" s="61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1">
        <f>231+21+21</f>
        <v>273</v>
      </c>
      <c r="C47" s="61">
        <v>6</v>
      </c>
      <c r="D47" s="61">
        <f>21+21</f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85</v>
      </c>
      <c r="B48" s="61">
        <f>248+21+21</f>
        <v>290</v>
      </c>
      <c r="C48" s="61">
        <v>7</v>
      </c>
      <c r="D48" s="61">
        <f>21+21</f>
        <v>42</v>
      </c>
      <c r="E48" s="57"/>
      <c r="F48" s="57"/>
      <c r="G48" s="57"/>
      <c r="H48" s="57"/>
      <c r="I48" s="52">
        <f t="shared" si="1"/>
        <v>5.9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95</v>
      </c>
      <c r="B49" s="61">
        <f>258+21+21</f>
        <v>300</v>
      </c>
      <c r="C49" s="61">
        <v>8</v>
      </c>
      <c r="D49" s="61">
        <f>21+21</f>
        <v>42</v>
      </c>
      <c r="E49" s="57"/>
      <c r="F49" s="57"/>
      <c r="G49" s="57"/>
      <c r="H49" s="57"/>
      <c r="I49" s="52">
        <f t="shared" si="1"/>
        <v>5.2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105</v>
      </c>
      <c r="B50" s="61">
        <f>264+20+21</f>
        <v>305</v>
      </c>
      <c r="C50" s="61">
        <v>9</v>
      </c>
      <c r="D50" s="61">
        <f>20+21</f>
        <v>41</v>
      </c>
      <c r="E50" s="57"/>
      <c r="F50" s="57"/>
      <c r="G50" s="57"/>
      <c r="H50" s="57"/>
      <c r="I50" s="52">
        <f t="shared" si="1"/>
        <v>4.7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115</v>
      </c>
      <c r="B51" s="61">
        <f>267+18+19</f>
        <v>304</v>
      </c>
      <c r="C51" s="61">
        <v>10</v>
      </c>
      <c r="D51" s="61">
        <f>18+19</f>
        <v>37</v>
      </c>
      <c r="E51" s="57"/>
      <c r="F51" s="57"/>
      <c r="G51" s="57"/>
      <c r="H51" s="57"/>
      <c r="I51" s="52">
        <f t="shared" si="1"/>
        <v>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125</v>
      </c>
      <c r="B52" s="61">
        <f>268+16+17</f>
        <v>301</v>
      </c>
      <c r="C52" s="61">
        <v>11</v>
      </c>
      <c r="D52" s="61">
        <f>16+17</f>
        <v>33</v>
      </c>
      <c r="E52" s="57"/>
      <c r="F52" s="57"/>
      <c r="G52" s="57"/>
      <c r="H52" s="57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135</v>
      </c>
      <c r="B53" s="61">
        <f>269+14+15</f>
        <v>298</v>
      </c>
      <c r="C53" s="61">
        <v>12</v>
      </c>
      <c r="D53" s="61">
        <f>14+15</f>
        <v>29</v>
      </c>
      <c r="E53" s="57"/>
      <c r="F53" s="57"/>
      <c r="G53" s="57"/>
      <c r="H53" s="57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0">
        <v>145</v>
      </c>
      <c r="B54" s="61">
        <f>269+13+13</f>
        <v>295</v>
      </c>
      <c r="C54" s="61">
        <v>13</v>
      </c>
      <c r="D54" s="61">
        <f>13+13</f>
        <v>26</v>
      </c>
      <c r="E54" s="54"/>
      <c r="F54" s="54"/>
      <c r="G54" s="54"/>
      <c r="H54" s="54"/>
      <c r="I54" s="52">
        <f t="shared" si="1"/>
        <v>2.6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0">
        <v>150</v>
      </c>
      <c r="B55" s="61">
        <f>268+12+13</f>
        <v>293</v>
      </c>
      <c r="C55" s="61">
        <v>14</v>
      </c>
      <c r="D55" s="61">
        <f>268+12+13</f>
        <v>293</v>
      </c>
      <c r="E55" s="54"/>
      <c r="F55" s="54"/>
      <c r="G55" s="54"/>
      <c r="H55" s="54"/>
      <c r="I55" s="52">
        <f t="shared" si="1"/>
        <v>4.8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Charme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f>60/1.56</f>
        <v>38.46153846153846</v>
      </c>
      <c r="C62" s="61">
        <v>1</v>
      </c>
      <c r="D62" s="61">
        <f>10/1.56</f>
        <v>6.4102564102564097</v>
      </c>
      <c r="E62" s="54"/>
      <c r="F62" s="54"/>
      <c r="G62" s="54"/>
      <c r="H62" s="54">
        <v>1</v>
      </c>
      <c r="I62" s="56">
        <f>IFERROR(B62/A62,"")</f>
        <v>1.9230769230769229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88/1.56</f>
        <v>56.410256410256409</v>
      </c>
      <c r="C63" s="61"/>
      <c r="D63" s="61"/>
      <c r="E63" s="54"/>
      <c r="F63" s="54"/>
      <c r="G63" s="54"/>
      <c r="H63" s="54"/>
      <c r="I63" s="52">
        <f>IF(A63&lt;&gt;0,(B63-(B62-D62))/(A63-A62),"")</f>
        <v>4.8717948717948714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(114+12)/1.56</f>
        <v>80.769230769230759</v>
      </c>
      <c r="C64" s="61">
        <v>2</v>
      </c>
      <c r="D64" s="61">
        <f>(14+12)/1.56</f>
        <v>16.666666666666668</v>
      </c>
      <c r="E64" s="54"/>
      <c r="F64" s="54"/>
      <c r="G64" s="54"/>
      <c r="H64" s="54">
        <v>1</v>
      </c>
      <c r="I64" s="52">
        <f>IF(A64&lt;&gt;0,(B64-(B63-D63))/(A64-A63),"")</f>
        <v>4.8717948717948705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138/1.56</f>
        <v>88.461538461538453</v>
      </c>
      <c r="C65" s="61"/>
      <c r="D65" s="61"/>
      <c r="E65" s="54"/>
      <c r="F65" s="54"/>
      <c r="G65" s="54"/>
      <c r="H65" s="54"/>
      <c r="I65" s="52">
        <f>IF(A65&lt;&gt;0,(B65-(B64-D64))/(A65-A64),"")</f>
        <v>4.8717948717948731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(160+16)/1.56</f>
        <v>112.82051282051282</v>
      </c>
      <c r="C66" s="61">
        <v>3</v>
      </c>
      <c r="D66" s="61">
        <f>(17+16)/1.56</f>
        <v>21.153846153846153</v>
      </c>
      <c r="E66" s="54"/>
      <c r="F66" s="54"/>
      <c r="G66" s="54"/>
      <c r="H66" s="54"/>
      <c r="I66" s="52">
        <f t="shared" ref="I66:I81" si="2">IF(A66&lt;&gt;0,(B66-(B65-D65))/(A66-A65),"")</f>
        <v>4.8717948717948731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179/1.56</f>
        <v>114.74358974358974</v>
      </c>
      <c r="C67" s="61"/>
      <c r="D67" s="61"/>
      <c r="E67" s="54"/>
      <c r="F67" s="54"/>
      <c r="G67" s="54"/>
      <c r="H67" s="54"/>
      <c r="I67" s="52">
        <f t="shared" si="2"/>
        <v>4.6153846153846159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(197+17)/1.56</f>
        <v>137.17948717948718</v>
      </c>
      <c r="C68" s="61">
        <v>4</v>
      </c>
      <c r="D68" s="61">
        <f>(18+17)/1.56</f>
        <v>22.435897435897434</v>
      </c>
      <c r="E68" s="54"/>
      <c r="F68" s="54"/>
      <c r="G68" s="54"/>
      <c r="H68" s="54"/>
      <c r="I68" s="52">
        <f t="shared" si="2"/>
        <v>4.487179487179489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212/1.56</f>
        <v>135.89743589743588</v>
      </c>
      <c r="C69" s="61"/>
      <c r="D69" s="61"/>
      <c r="E69" s="54"/>
      <c r="F69" s="54"/>
      <c r="G69" s="54"/>
      <c r="H69" s="54"/>
      <c r="I69" s="52">
        <f t="shared" si="2"/>
        <v>4.2307692307692264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1">
        <f>(226+18)/1.56</f>
        <v>156.41025641025641</v>
      </c>
      <c r="C70" s="61">
        <v>5</v>
      </c>
      <c r="D70" s="61">
        <f>(18+18)/1.56</f>
        <v>23.076923076923077</v>
      </c>
      <c r="E70" s="54"/>
      <c r="F70" s="54"/>
      <c r="G70" s="54"/>
      <c r="H70" s="54"/>
      <c r="I70" s="52">
        <f t="shared" si="2"/>
        <v>4.1025641025641049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1">
        <f>238/1.56</f>
        <v>152.56410256410257</v>
      </c>
      <c r="C71" s="61"/>
      <c r="D71" s="61"/>
      <c r="E71" s="54"/>
      <c r="F71" s="54"/>
      <c r="G71" s="54"/>
      <c r="H71" s="54"/>
      <c r="I71" s="52">
        <f t="shared" si="2"/>
        <v>3.8461538461538454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1">
        <f>(250+17)/1.56</f>
        <v>171.15384615384616</v>
      </c>
      <c r="C72" s="61">
        <v>6</v>
      </c>
      <c r="D72" s="61">
        <f>(17+17)/1.56</f>
        <v>21.794871794871796</v>
      </c>
      <c r="E72" s="54"/>
      <c r="F72" s="54"/>
      <c r="G72" s="54"/>
      <c r="H72" s="54"/>
      <c r="I72" s="52">
        <f t="shared" si="2"/>
        <v>3.7179487179487181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1">
        <f>260/1.56</f>
        <v>166.66666666666666</v>
      </c>
      <c r="C73" s="61"/>
      <c r="D73" s="61"/>
      <c r="E73" s="54"/>
      <c r="F73" s="54"/>
      <c r="G73" s="54"/>
      <c r="H73" s="54"/>
      <c r="I73" s="52">
        <f t="shared" si="2"/>
        <v>3.4615384615384586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1">
        <f>(269+17)/1.56</f>
        <v>183.33333333333331</v>
      </c>
      <c r="C74" s="61">
        <v>7</v>
      </c>
      <c r="D74" s="61">
        <f>(17+17)/1.56</f>
        <v>21.794871794871796</v>
      </c>
      <c r="E74" s="54"/>
      <c r="F74" s="54"/>
      <c r="G74" s="54"/>
      <c r="H74" s="54"/>
      <c r="I74" s="52">
        <f t="shared" si="2"/>
        <v>3.3333333333333313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61">
        <f>278/1.56</f>
        <v>178.2051282051282</v>
      </c>
      <c r="C75" s="61"/>
      <c r="D75" s="61"/>
      <c r="E75" s="54"/>
      <c r="F75" s="54"/>
      <c r="G75" s="54"/>
      <c r="H75" s="54"/>
      <c r="I75" s="52">
        <f t="shared" si="2"/>
        <v>3.333333333333337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61">
        <f>(285+16)/1.56</f>
        <v>192.94871794871796</v>
      </c>
      <c r="C76" s="61">
        <v>8</v>
      </c>
      <c r="D76" s="61">
        <f>(16+16)/1.56</f>
        <v>20.512820512820511</v>
      </c>
      <c r="E76" s="54"/>
      <c r="F76" s="54"/>
      <c r="G76" s="54"/>
      <c r="H76" s="54"/>
      <c r="I76" s="52">
        <f t="shared" si="2"/>
        <v>2.9487179487179502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61">
        <f>292/1.56</f>
        <v>187.17948717948718</v>
      </c>
      <c r="C77" s="61"/>
      <c r="D77" s="61"/>
      <c r="E77" s="54"/>
      <c r="F77" s="54"/>
      <c r="G77" s="54"/>
      <c r="H77" s="54"/>
      <c r="I77" s="52">
        <f t="shared" si="2"/>
        <v>2.9487179487179445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61">
        <f>(299+15)/1.56</f>
        <v>201.28205128205127</v>
      </c>
      <c r="C78" s="61">
        <v>9</v>
      </c>
      <c r="D78" s="61">
        <f>(15+15)/1.56</f>
        <v>19.23076923076923</v>
      </c>
      <c r="E78" s="54"/>
      <c r="F78" s="54"/>
      <c r="G78" s="54"/>
      <c r="H78" s="54"/>
      <c r="I78" s="52">
        <f t="shared" si="2"/>
        <v>2.8205128205128176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61">
        <f>305/1.56</f>
        <v>195.5128205128205</v>
      </c>
      <c r="C79" s="61"/>
      <c r="D79" s="61"/>
      <c r="E79" s="54"/>
      <c r="F79" s="54"/>
      <c r="G79" s="54"/>
      <c r="H79" s="54"/>
      <c r="I79" s="52">
        <f t="shared" si="2"/>
        <v>2.6923076923076907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61">
        <f>(310+15)/1.56</f>
        <v>208.33333333333331</v>
      </c>
      <c r="C80" s="61">
        <v>10</v>
      </c>
      <c r="D80" s="61">
        <f>(14+15)/1.56</f>
        <v>18.589743589743588</v>
      </c>
      <c r="E80" s="54"/>
      <c r="F80" s="54"/>
      <c r="G80" s="54"/>
      <c r="H80" s="54"/>
      <c r="I80" s="52">
        <f t="shared" si="2"/>
        <v>2.5641025641025634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120</v>
      </c>
      <c r="B81" s="61">
        <f>(320+14)/1.56</f>
        <v>214.10256410256409</v>
      </c>
      <c r="C81" s="61">
        <v>11</v>
      </c>
      <c r="D81" s="61">
        <f>B81</f>
        <v>214.10256410256409</v>
      </c>
      <c r="E81" s="54"/>
      <c r="F81" s="54"/>
      <c r="G81" s="54"/>
      <c r="H81" s="54"/>
      <c r="I81" s="52">
        <f t="shared" si="2"/>
        <v>2.4358974358974366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Erable champêtre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1">
        <f>9</f>
        <v>9</v>
      </c>
      <c r="C88" s="61"/>
      <c r="D88" s="61"/>
      <c r="E88" s="54"/>
      <c r="F88" s="54"/>
      <c r="G88" s="54"/>
      <c r="H88" s="91"/>
      <c r="I88" s="56">
        <f>IFERROR(B88/A88,"")</f>
        <v>0.6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1">
        <f>57+0</f>
        <v>57</v>
      </c>
      <c r="C89" s="61">
        <v>1</v>
      </c>
      <c r="D89" s="61">
        <f>21+0</f>
        <v>21</v>
      </c>
      <c r="E89" s="54"/>
      <c r="F89" s="54"/>
      <c r="G89" s="54"/>
      <c r="H89" s="91">
        <v>1</v>
      </c>
      <c r="I89" s="56">
        <f t="shared" ref="I89:I107" si="3">IF(A89&lt;&gt;0,(B89-(B88-D88))/(A89-A88),"")</f>
        <v>9.6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1">
        <f>86</f>
        <v>86</v>
      </c>
      <c r="C90" s="61"/>
      <c r="D90" s="61"/>
      <c r="E90" s="91"/>
      <c r="F90" s="91"/>
      <c r="G90" s="91"/>
      <c r="H90" s="91"/>
      <c r="I90" s="56">
        <f t="shared" si="3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30</v>
      </c>
      <c r="B91" s="61">
        <f>114+21</f>
        <v>135</v>
      </c>
      <c r="C91" s="61">
        <v>2</v>
      </c>
      <c r="D91" s="61">
        <f>21+21</f>
        <v>42</v>
      </c>
      <c r="E91" s="91"/>
      <c r="F91" s="91"/>
      <c r="G91" s="91"/>
      <c r="H91" s="91">
        <v>1</v>
      </c>
      <c r="I91" s="56">
        <f t="shared" si="3"/>
        <v>9.8000000000000007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35</v>
      </c>
      <c r="B92" s="61">
        <f>136</f>
        <v>136</v>
      </c>
      <c r="C92" s="61"/>
      <c r="D92" s="61"/>
      <c r="E92" s="91"/>
      <c r="F92" s="91"/>
      <c r="G92" s="91"/>
      <c r="H92" s="91"/>
      <c r="I92" s="56">
        <f t="shared" si="3"/>
        <v>8.6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40</v>
      </c>
      <c r="B93" s="61">
        <f>153+21</f>
        <v>174</v>
      </c>
      <c r="C93" s="61">
        <v>3</v>
      </c>
      <c r="D93" s="61">
        <f>21+21</f>
        <v>42</v>
      </c>
      <c r="E93" s="91"/>
      <c r="F93" s="91"/>
      <c r="G93" s="91"/>
      <c r="H93" s="91"/>
      <c r="I93" s="56">
        <f t="shared" si="3"/>
        <v>7.6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1">
        <v>45</v>
      </c>
      <c r="B94" s="61">
        <f>165</f>
        <v>165</v>
      </c>
      <c r="C94" s="61"/>
      <c r="D94" s="61"/>
      <c r="E94" s="91"/>
      <c r="F94" s="91"/>
      <c r="G94" s="91"/>
      <c r="H94" s="91"/>
      <c r="I94" s="56">
        <f t="shared" si="3"/>
        <v>6.6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1">
        <v>50</v>
      </c>
      <c r="B95" s="61">
        <f>174+18</f>
        <v>192</v>
      </c>
      <c r="C95" s="61">
        <v>4</v>
      </c>
      <c r="D95" s="61">
        <f>13+18</f>
        <v>31</v>
      </c>
      <c r="E95" s="54"/>
      <c r="F95" s="54"/>
      <c r="G95" s="54"/>
      <c r="H95" s="54"/>
      <c r="I95" s="56">
        <f t="shared" si="3"/>
        <v>5.4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1">
        <v>55</v>
      </c>
      <c r="B96" s="61">
        <f>185</f>
        <v>185</v>
      </c>
      <c r="C96" s="61"/>
      <c r="D96" s="61"/>
      <c r="E96" s="54"/>
      <c r="F96" s="54"/>
      <c r="G96" s="54"/>
      <c r="H96" s="54"/>
      <c r="I96" s="56">
        <f t="shared" si="3"/>
        <v>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1">
        <v>60</v>
      </c>
      <c r="B97" s="61">
        <f>195+11</f>
        <v>206</v>
      </c>
      <c r="C97" s="61">
        <v>5</v>
      </c>
      <c r="D97" s="61">
        <f>9+11</f>
        <v>20</v>
      </c>
      <c r="E97" s="54"/>
      <c r="F97" s="54"/>
      <c r="G97" s="54"/>
      <c r="H97" s="54"/>
      <c r="I97" s="56">
        <f t="shared" si="3"/>
        <v>4.2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1">
        <v>65</v>
      </c>
      <c r="B98" s="61">
        <f>202</f>
        <v>202</v>
      </c>
      <c r="C98" s="61"/>
      <c r="D98" s="61"/>
      <c r="E98" s="54"/>
      <c r="F98" s="54"/>
      <c r="G98" s="54"/>
      <c r="H98" s="54"/>
      <c r="I98" s="56">
        <f t="shared" si="3"/>
        <v>3.2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70</v>
      </c>
      <c r="B99" s="61">
        <f>209+8</f>
        <v>217</v>
      </c>
      <c r="C99" s="61">
        <v>6</v>
      </c>
      <c r="D99" s="61">
        <f>8+8</f>
        <v>16</v>
      </c>
      <c r="E99" s="54"/>
      <c r="F99" s="54"/>
      <c r="G99" s="54"/>
      <c r="H99" s="54"/>
      <c r="I99" s="56">
        <f t="shared" si="3"/>
        <v>3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75</v>
      </c>
      <c r="B100" s="61">
        <f>214</f>
        <v>214</v>
      </c>
      <c r="C100" s="61"/>
      <c r="D100" s="61"/>
      <c r="E100" s="54"/>
      <c r="F100" s="54"/>
      <c r="G100" s="54"/>
      <c r="H100" s="54"/>
      <c r="I100" s="56">
        <f t="shared" si="3"/>
        <v>2.6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1">
        <v>80</v>
      </c>
      <c r="B101" s="61">
        <f>219+7</f>
        <v>226</v>
      </c>
      <c r="C101" s="61">
        <v>7</v>
      </c>
      <c r="D101" s="61">
        <f>B101</f>
        <v>226</v>
      </c>
      <c r="E101" s="54"/>
      <c r="F101" s="54"/>
      <c r="G101" s="54"/>
      <c r="H101" s="54"/>
      <c r="I101" s="56">
        <f t="shared" si="3"/>
        <v>2.4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1"/>
      <c r="B102" s="61"/>
      <c r="C102" s="61"/>
      <c r="D102" s="61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1"/>
      <c r="B103" s="61"/>
      <c r="C103" s="61"/>
      <c r="D103" s="61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61"/>
      <c r="C104" s="61"/>
      <c r="D104" s="61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61"/>
      <c r="C105" s="61"/>
      <c r="D105" s="61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61"/>
      <c r="C106" s="61"/>
      <c r="D106" s="61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61"/>
      <c r="C107" s="61"/>
      <c r="D107" s="61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Aulne à feuilles en cœur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15</v>
      </c>
      <c r="B114" s="61">
        <f>26</f>
        <v>26</v>
      </c>
      <c r="C114" s="61"/>
      <c r="D114" s="61"/>
      <c r="E114" s="54"/>
      <c r="F114" s="54"/>
      <c r="G114" s="54"/>
      <c r="H114" s="91"/>
      <c r="I114" s="56">
        <f>IFERROR(B114/A114,"")</f>
        <v>1.7333333333333334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20</v>
      </c>
      <c r="B115" s="61">
        <f>61+3</f>
        <v>64</v>
      </c>
      <c r="C115" s="61">
        <v>1</v>
      </c>
      <c r="D115" s="61">
        <f>7+3</f>
        <v>10</v>
      </c>
      <c r="E115" s="54"/>
      <c r="F115" s="54"/>
      <c r="G115" s="54"/>
      <c r="H115" s="91">
        <v>1</v>
      </c>
      <c r="I115" s="56">
        <f t="shared" ref="I115:I133" si="4">IF(A115&lt;&gt;0,(B115-(B114-D114))/(A115-A114),"")</f>
        <v>7.6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25</v>
      </c>
      <c r="B116" s="61">
        <f>80</f>
        <v>80</v>
      </c>
      <c r="C116" s="61"/>
      <c r="D116" s="61"/>
      <c r="E116" s="91"/>
      <c r="F116" s="91"/>
      <c r="G116" s="91"/>
      <c r="H116" s="91"/>
      <c r="I116" s="56">
        <f t="shared" si="4"/>
        <v>5.2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30</v>
      </c>
      <c r="B117" s="61">
        <f>96+14</f>
        <v>110</v>
      </c>
      <c r="C117" s="61">
        <v>2</v>
      </c>
      <c r="D117" s="61">
        <f>17+14</f>
        <v>31</v>
      </c>
      <c r="E117" s="91"/>
      <c r="F117" s="91"/>
      <c r="G117" s="91"/>
      <c r="H117" s="91">
        <v>1</v>
      </c>
      <c r="I117" s="56">
        <f t="shared" si="4"/>
        <v>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35</v>
      </c>
      <c r="B118" s="61">
        <f>109</f>
        <v>109</v>
      </c>
      <c r="C118" s="61"/>
      <c r="D118" s="61"/>
      <c r="E118" s="91"/>
      <c r="F118" s="91"/>
      <c r="G118" s="91"/>
      <c r="H118" s="91"/>
      <c r="I118" s="56">
        <f t="shared" si="4"/>
        <v>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40</v>
      </c>
      <c r="B119" s="61">
        <f>120+18</f>
        <v>138</v>
      </c>
      <c r="C119" s="61">
        <v>3</v>
      </c>
      <c r="D119" s="61">
        <f>19+18</f>
        <v>37</v>
      </c>
      <c r="E119" s="91"/>
      <c r="F119" s="91"/>
      <c r="G119" s="91"/>
      <c r="H119" s="91"/>
      <c r="I119" s="56">
        <f t="shared" si="4"/>
        <v>5.8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1">
        <v>45</v>
      </c>
      <c r="B120" s="61">
        <f>129</f>
        <v>129</v>
      </c>
      <c r="C120" s="61"/>
      <c r="D120" s="61"/>
      <c r="E120" s="91"/>
      <c r="F120" s="91"/>
      <c r="G120" s="91"/>
      <c r="H120" s="91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1">
        <v>50</v>
      </c>
      <c r="B121" s="61">
        <f>136+19</f>
        <v>155</v>
      </c>
      <c r="C121" s="61">
        <v>4</v>
      </c>
      <c r="D121" s="61">
        <f>18+19</f>
        <v>37</v>
      </c>
      <c r="E121" s="54"/>
      <c r="F121" s="54"/>
      <c r="G121" s="54"/>
      <c r="H121" s="54"/>
      <c r="I121" s="56">
        <f t="shared" si="4"/>
        <v>5.2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1">
        <v>55</v>
      </c>
      <c r="B122" s="61">
        <f>142</f>
        <v>142</v>
      </c>
      <c r="C122" s="61"/>
      <c r="D122" s="61"/>
      <c r="E122" s="54"/>
      <c r="F122" s="54"/>
      <c r="G122" s="54"/>
      <c r="H122" s="54"/>
      <c r="I122" s="56">
        <f t="shared" si="4"/>
        <v>4.8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1">
        <v>60</v>
      </c>
      <c r="B123" s="61">
        <f>148+17</f>
        <v>165</v>
      </c>
      <c r="C123" s="61">
        <v>5</v>
      </c>
      <c r="D123" s="61">
        <f>17+17</f>
        <v>34</v>
      </c>
      <c r="E123" s="54"/>
      <c r="F123" s="54"/>
      <c r="G123" s="54"/>
      <c r="H123" s="54"/>
      <c r="I123" s="56">
        <f t="shared" si="4"/>
        <v>4.5999999999999996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1">
        <v>65</v>
      </c>
      <c r="B124" s="61">
        <f>153</f>
        <v>153</v>
      </c>
      <c r="C124" s="61"/>
      <c r="D124" s="61"/>
      <c r="E124" s="54"/>
      <c r="F124" s="54"/>
      <c r="G124" s="54"/>
      <c r="H124" s="54"/>
      <c r="I124" s="56">
        <f t="shared" si="4"/>
        <v>4.4000000000000004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1">
        <v>70</v>
      </c>
      <c r="B125" s="61">
        <f>157+16</f>
        <v>173</v>
      </c>
      <c r="C125" s="61">
        <v>6</v>
      </c>
      <c r="D125" s="61">
        <f>15+16</f>
        <v>31</v>
      </c>
      <c r="E125" s="54"/>
      <c r="F125" s="54"/>
      <c r="G125" s="54"/>
      <c r="H125" s="54"/>
      <c r="I125" s="56">
        <f t="shared" si="4"/>
        <v>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1">
        <v>75</v>
      </c>
      <c r="B126" s="61">
        <f>161</f>
        <v>161</v>
      </c>
      <c r="C126" s="61"/>
      <c r="D126" s="61"/>
      <c r="E126" s="54"/>
      <c r="F126" s="54"/>
      <c r="G126" s="54"/>
      <c r="H126" s="54"/>
      <c r="I126" s="56">
        <f t="shared" si="4"/>
        <v>3.8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1">
        <v>80</v>
      </c>
      <c r="B127" s="61">
        <f>165+14</f>
        <v>179</v>
      </c>
      <c r="C127" s="61">
        <v>7</v>
      </c>
      <c r="D127" s="61">
        <f>13+14</f>
        <v>27</v>
      </c>
      <c r="E127" s="54"/>
      <c r="F127" s="54"/>
      <c r="G127" s="54"/>
      <c r="H127" s="54"/>
      <c r="I127" s="56">
        <f t="shared" si="4"/>
        <v>3.6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61">
        <v>85</v>
      </c>
      <c r="B128" s="61">
        <f>168</f>
        <v>168</v>
      </c>
      <c r="C128" s="61"/>
      <c r="D128" s="61"/>
      <c r="E128" s="57"/>
      <c r="F128" s="57"/>
      <c r="G128" s="57"/>
      <c r="H128" s="57"/>
      <c r="I128" s="56">
        <f t="shared" si="4"/>
        <v>3.2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61">
        <v>90</v>
      </c>
      <c r="B129" s="61">
        <f>171+12</f>
        <v>183</v>
      </c>
      <c r="C129" s="61">
        <v>8</v>
      </c>
      <c r="D129" s="61">
        <f>171+12</f>
        <v>183</v>
      </c>
      <c r="E129" s="57"/>
      <c r="F129" s="57"/>
      <c r="G129" s="57"/>
      <c r="H129" s="57"/>
      <c r="I129" s="56">
        <f t="shared" si="4"/>
        <v>3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80"/>
      <c r="B130" s="61"/>
      <c r="C130" s="61"/>
      <c r="D130" s="61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80"/>
      <c r="B131" s="61"/>
      <c r="C131" s="61"/>
      <c r="D131" s="61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80"/>
      <c r="B132" s="61"/>
      <c r="C132" s="61"/>
      <c r="D132" s="61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80"/>
      <c r="B133" s="61"/>
      <c r="C133" s="61"/>
      <c r="D133" s="61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Alisier torminal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25</v>
      </c>
      <c r="B140" s="61">
        <f>30+0</f>
        <v>30</v>
      </c>
      <c r="C140" s="53"/>
      <c r="D140" s="61"/>
      <c r="E140" s="54"/>
      <c r="F140" s="54"/>
      <c r="G140" s="54"/>
      <c r="H140" s="54"/>
      <c r="I140" s="59">
        <f>IFERROR(B140/A140,"")</f>
        <v>1.2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30</v>
      </c>
      <c r="B141" s="61">
        <f>54+0</f>
        <v>54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4.8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35</v>
      </c>
      <c r="B142" s="61">
        <f>66+13+0</f>
        <v>79</v>
      </c>
      <c r="C142" s="61">
        <v>1</v>
      </c>
      <c r="D142" s="61">
        <f>13+0</f>
        <v>13</v>
      </c>
      <c r="E142" s="54"/>
      <c r="F142" s="54"/>
      <c r="G142" s="54"/>
      <c r="H142" s="54"/>
      <c r="I142" s="59">
        <f t="shared" si="5"/>
        <v>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40</v>
      </c>
      <c r="B143" s="61">
        <f>79+14</f>
        <v>93</v>
      </c>
      <c r="C143" s="61"/>
      <c r="D143" s="61"/>
      <c r="E143" s="54"/>
      <c r="F143" s="54"/>
      <c r="G143" s="54"/>
      <c r="H143" s="54"/>
      <c r="I143" s="59">
        <f t="shared" si="5"/>
        <v>5.4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45</v>
      </c>
      <c r="B144" s="61">
        <f>93+14+14</f>
        <v>121</v>
      </c>
      <c r="C144" s="61">
        <v>2</v>
      </c>
      <c r="D144" s="61">
        <f>14+14</f>
        <v>28</v>
      </c>
      <c r="E144" s="54"/>
      <c r="F144" s="54"/>
      <c r="G144" s="54"/>
      <c r="H144" s="54"/>
      <c r="I144" s="59">
        <f t="shared" si="5"/>
        <v>5.6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50</v>
      </c>
      <c r="B145" s="61">
        <f>107+14</f>
        <v>121</v>
      </c>
      <c r="C145" s="61"/>
      <c r="D145" s="61"/>
      <c r="E145" s="54"/>
      <c r="F145" s="54"/>
      <c r="G145" s="54"/>
      <c r="H145" s="54"/>
      <c r="I145" s="59">
        <f t="shared" si="5"/>
        <v>5.6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55</v>
      </c>
      <c r="B146" s="61">
        <f>121+14+14</f>
        <v>149</v>
      </c>
      <c r="C146" s="61">
        <v>3</v>
      </c>
      <c r="D146" s="61">
        <f>14+14</f>
        <v>28</v>
      </c>
      <c r="E146" s="54"/>
      <c r="F146" s="54"/>
      <c r="G146" s="54"/>
      <c r="H146" s="54"/>
      <c r="I146" s="59">
        <f t="shared" si="5"/>
        <v>5.6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60</v>
      </c>
      <c r="B147" s="61">
        <f>134+14</f>
        <v>148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5.4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65</v>
      </c>
      <c r="B148" s="61">
        <f>147+14+14</f>
        <v>175</v>
      </c>
      <c r="C148" s="61">
        <v>4</v>
      </c>
      <c r="D148" s="61">
        <f>14+14</f>
        <v>28</v>
      </c>
      <c r="E148" s="54"/>
      <c r="F148" s="54"/>
      <c r="G148" s="54"/>
      <c r="H148" s="54"/>
      <c r="I148" s="59">
        <f t="shared" si="5"/>
        <v>5.4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70</v>
      </c>
      <c r="B149" s="61">
        <f>158+14</f>
        <v>172</v>
      </c>
      <c r="C149" s="61"/>
      <c r="D149" s="61"/>
      <c r="E149" s="54"/>
      <c r="F149" s="54"/>
      <c r="G149" s="54"/>
      <c r="H149" s="54"/>
      <c r="I149" s="59">
        <f t="shared" si="5"/>
        <v>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75</v>
      </c>
      <c r="B150" s="61">
        <f>169+14+14</f>
        <v>197</v>
      </c>
      <c r="C150" s="61">
        <v>5</v>
      </c>
      <c r="D150" s="61">
        <f>14+14</f>
        <v>28</v>
      </c>
      <c r="E150" s="54"/>
      <c r="F150" s="54"/>
      <c r="G150" s="54"/>
      <c r="H150" s="54"/>
      <c r="I150" s="59">
        <f t="shared" si="5"/>
        <v>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80</v>
      </c>
      <c r="B151" s="61">
        <f>178+14</f>
        <v>192</v>
      </c>
      <c r="C151" s="61"/>
      <c r="D151" s="61"/>
      <c r="E151" s="54"/>
      <c r="F151" s="54"/>
      <c r="G151" s="54"/>
      <c r="H151" s="54"/>
      <c r="I151" s="59">
        <f t="shared" si="5"/>
        <v>4.5999999999999996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85</v>
      </c>
      <c r="B152" s="61">
        <f>186+14+14</f>
        <v>214</v>
      </c>
      <c r="C152" s="61">
        <v>6</v>
      </c>
      <c r="D152" s="61">
        <f>14+14</f>
        <v>28</v>
      </c>
      <c r="E152" s="57"/>
      <c r="F152" s="57"/>
      <c r="G152" s="57"/>
      <c r="H152" s="54"/>
      <c r="I152" s="59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95</v>
      </c>
      <c r="B153" s="61">
        <f>198+14+14</f>
        <v>226</v>
      </c>
      <c r="C153" s="61">
        <v>7</v>
      </c>
      <c r="D153" s="61">
        <f>14+14</f>
        <v>28</v>
      </c>
      <c r="E153" s="57"/>
      <c r="F153" s="57"/>
      <c r="G153" s="57"/>
      <c r="H153" s="54"/>
      <c r="I153" s="59">
        <f t="shared" si="5"/>
        <v>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105</v>
      </c>
      <c r="B154" s="61">
        <f>204+14+14</f>
        <v>232</v>
      </c>
      <c r="C154" s="61">
        <v>8</v>
      </c>
      <c r="D154" s="61">
        <f>14+14</f>
        <v>28</v>
      </c>
      <c r="E154" s="57"/>
      <c r="F154" s="57"/>
      <c r="G154" s="57"/>
      <c r="H154" s="54"/>
      <c r="I154" s="59">
        <f t="shared" si="5"/>
        <v>3.4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115</v>
      </c>
      <c r="B155" s="61">
        <f>208+13+13</f>
        <v>234</v>
      </c>
      <c r="C155" s="61">
        <v>9</v>
      </c>
      <c r="D155" s="61">
        <f>13+13</f>
        <v>26</v>
      </c>
      <c r="E155" s="57"/>
      <c r="F155" s="57"/>
      <c r="G155" s="57"/>
      <c r="H155" s="54"/>
      <c r="I155" s="59">
        <f t="shared" si="5"/>
        <v>3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125</v>
      </c>
      <c r="B156" s="61">
        <f>209+11+12</f>
        <v>232</v>
      </c>
      <c r="C156" s="61">
        <v>10</v>
      </c>
      <c r="D156" s="61">
        <f>11+12</f>
        <v>23</v>
      </c>
      <c r="E156" s="57"/>
      <c r="F156" s="57"/>
      <c r="G156" s="57"/>
      <c r="H156" s="54"/>
      <c r="I156" s="59">
        <f t="shared" si="5"/>
        <v>2.4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135</v>
      </c>
      <c r="B157" s="61">
        <f>210+9+10</f>
        <v>229</v>
      </c>
      <c r="C157" s="61">
        <v>11</v>
      </c>
      <c r="D157" s="61">
        <f>9+10</f>
        <v>19</v>
      </c>
      <c r="E157" s="57"/>
      <c r="F157" s="57"/>
      <c r="G157" s="57"/>
      <c r="H157" s="54"/>
      <c r="I157" s="59">
        <f t="shared" si="5"/>
        <v>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80">
        <v>145</v>
      </c>
      <c r="B158" s="61">
        <f>211+7+8</f>
        <v>226</v>
      </c>
      <c r="C158" s="61">
        <v>12</v>
      </c>
      <c r="D158" s="61">
        <f>7+8</f>
        <v>15</v>
      </c>
      <c r="E158" s="54"/>
      <c r="F158" s="54"/>
      <c r="G158" s="54"/>
      <c r="H158" s="54"/>
      <c r="I158" s="59">
        <f t="shared" si="5"/>
        <v>1.6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80">
        <v>150</v>
      </c>
      <c r="B159" s="61">
        <f>211+6</f>
        <v>217</v>
      </c>
      <c r="C159" s="61">
        <v>13</v>
      </c>
      <c r="D159" s="61">
        <f>211+6</f>
        <v>217</v>
      </c>
      <c r="E159" s="54"/>
      <c r="F159" s="54"/>
      <c r="G159" s="54"/>
      <c r="H159" s="54"/>
      <c r="I159" s="59">
        <f t="shared" si="5"/>
        <v>1.2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Cormier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1">
        <f>42+0</f>
        <v>42</v>
      </c>
      <c r="C166" s="53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1">
        <f>62+8+0</f>
        <v>70</v>
      </c>
      <c r="C167" s="61">
        <v>1</v>
      </c>
      <c r="D167" s="61">
        <f>8+0</f>
        <v>8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1">
        <f>76+21</f>
        <v>97</v>
      </c>
      <c r="C168" s="61"/>
      <c r="D168" s="61"/>
      <c r="E168" s="54"/>
      <c r="F168" s="54"/>
      <c r="G168" s="54"/>
      <c r="H168" s="54"/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1">
        <f>95+21+21</f>
        <v>137</v>
      </c>
      <c r="C169" s="61">
        <v>2</v>
      </c>
      <c r="D169" s="61">
        <f>21+21</f>
        <v>42</v>
      </c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1">
        <f>116+21</f>
        <v>137</v>
      </c>
      <c r="C170" s="61"/>
      <c r="D170" s="61"/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1">
        <f>137+21+21</f>
        <v>179</v>
      </c>
      <c r="C171" s="61">
        <v>3</v>
      </c>
      <c r="D171" s="61">
        <f>21+21</f>
        <v>42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1">
        <f>157+21</f>
        <v>178</v>
      </c>
      <c r="C172" s="61"/>
      <c r="D172" s="61"/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61">
        <f>176+21+21</f>
        <v>218</v>
      </c>
      <c r="C173" s="61">
        <v>4</v>
      </c>
      <c r="D173" s="61">
        <f>21+21</f>
        <v>42</v>
      </c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61">
        <f>193+21</f>
        <v>214</v>
      </c>
      <c r="C174" s="61"/>
      <c r="D174" s="61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65</v>
      </c>
      <c r="B175" s="61">
        <f>208+21+21</f>
        <v>250</v>
      </c>
      <c r="C175" s="61">
        <v>5</v>
      </c>
      <c r="D175" s="61">
        <f>21+21</f>
        <v>42</v>
      </c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70</v>
      </c>
      <c r="B176" s="61">
        <f>221+21</f>
        <v>242</v>
      </c>
      <c r="C176" s="61"/>
      <c r="D176" s="61"/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75</v>
      </c>
      <c r="B177" s="61">
        <f>231+21+21</f>
        <v>273</v>
      </c>
      <c r="C177" s="61">
        <v>6</v>
      </c>
      <c r="D177" s="61">
        <f>21+21</f>
        <v>42</v>
      </c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85</v>
      </c>
      <c r="B178" s="61">
        <f>248+21+21</f>
        <v>290</v>
      </c>
      <c r="C178" s="61">
        <v>7</v>
      </c>
      <c r="D178" s="61">
        <f>21+21</f>
        <v>42</v>
      </c>
      <c r="E178" s="57"/>
      <c r="F178" s="57"/>
      <c r="G178" s="57"/>
      <c r="H178" s="57"/>
      <c r="I178" s="52">
        <f t="shared" si="6"/>
        <v>5.9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95</v>
      </c>
      <c r="B179" s="61">
        <f>258+21+21</f>
        <v>300</v>
      </c>
      <c r="C179" s="61">
        <v>8</v>
      </c>
      <c r="D179" s="61">
        <f>21+21</f>
        <v>42</v>
      </c>
      <c r="E179" s="57"/>
      <c r="F179" s="57"/>
      <c r="G179" s="57"/>
      <c r="H179" s="57"/>
      <c r="I179" s="52">
        <f t="shared" si="6"/>
        <v>5.2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105</v>
      </c>
      <c r="B180" s="61">
        <f>264+20+21</f>
        <v>305</v>
      </c>
      <c r="C180" s="61">
        <v>9</v>
      </c>
      <c r="D180" s="61">
        <f>20+21</f>
        <v>41</v>
      </c>
      <c r="E180" s="57"/>
      <c r="F180" s="57"/>
      <c r="G180" s="57"/>
      <c r="H180" s="57"/>
      <c r="I180" s="52">
        <f t="shared" si="6"/>
        <v>4.7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115</v>
      </c>
      <c r="B181" s="61">
        <f>267+18+19</f>
        <v>304</v>
      </c>
      <c r="C181" s="61">
        <v>10</v>
      </c>
      <c r="D181" s="61">
        <f>18+19</f>
        <v>37</v>
      </c>
      <c r="E181" s="57"/>
      <c r="F181" s="57"/>
      <c r="G181" s="57"/>
      <c r="H181" s="57"/>
      <c r="I181" s="52">
        <f t="shared" si="6"/>
        <v>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125</v>
      </c>
      <c r="B182" s="61">
        <f>268+16+17</f>
        <v>301</v>
      </c>
      <c r="C182" s="61">
        <v>11</v>
      </c>
      <c r="D182" s="61">
        <f>16+17</f>
        <v>33</v>
      </c>
      <c r="E182" s="57"/>
      <c r="F182" s="57"/>
      <c r="G182" s="57"/>
      <c r="H182" s="57"/>
      <c r="I182" s="52">
        <f t="shared" si="6"/>
        <v>3.4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135</v>
      </c>
      <c r="B183" s="61">
        <f>269+14+15</f>
        <v>298</v>
      </c>
      <c r="C183" s="61">
        <v>12</v>
      </c>
      <c r="D183" s="61">
        <f>14+15</f>
        <v>29</v>
      </c>
      <c r="E183" s="57"/>
      <c r="F183" s="57"/>
      <c r="G183" s="57"/>
      <c r="H183" s="57"/>
      <c r="I183" s="52">
        <f t="shared" si="6"/>
        <v>3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0">
        <v>145</v>
      </c>
      <c r="B184" s="61">
        <f>269+13+13</f>
        <v>295</v>
      </c>
      <c r="C184" s="61">
        <v>13</v>
      </c>
      <c r="D184" s="61">
        <f>13+13</f>
        <v>26</v>
      </c>
      <c r="E184" s="54"/>
      <c r="F184" s="54"/>
      <c r="G184" s="54"/>
      <c r="H184" s="54"/>
      <c r="I184" s="52">
        <f t="shared" si="6"/>
        <v>2.6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0">
        <v>150</v>
      </c>
      <c r="B185" s="61">
        <f>268+12+13</f>
        <v>293</v>
      </c>
      <c r="C185" s="61">
        <v>14</v>
      </c>
      <c r="D185" s="61">
        <f>268+12+13</f>
        <v>293</v>
      </c>
      <c r="E185" s="54"/>
      <c r="F185" s="54"/>
      <c r="G185" s="54"/>
      <c r="H185" s="54"/>
      <c r="I185" s="52">
        <f t="shared" si="6"/>
        <v>4.8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Tilleul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1">
        <f>(51)/1.56</f>
        <v>32.692307692307693</v>
      </c>
      <c r="C192" s="53">
        <v>1</v>
      </c>
      <c r="D192" s="61">
        <f>11/1.56</f>
        <v>7.0512820512820511</v>
      </c>
      <c r="E192" s="54"/>
      <c r="F192" s="54"/>
      <c r="G192" s="54"/>
      <c r="H192" s="54">
        <v>1</v>
      </c>
      <c r="I192" s="52">
        <f>IFERROR(B192/A192,"")</f>
        <v>1.6346153846153846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1">
        <f>(80)/1.56</f>
        <v>51.282051282051277</v>
      </c>
      <c r="C193" s="53"/>
      <c r="D193" s="61"/>
      <c r="E193" s="54"/>
      <c r="F193" s="54"/>
      <c r="G193" s="54"/>
      <c r="H193" s="54"/>
      <c r="I193" s="52">
        <f t="shared" ref="I193:I211" si="7">IF(A193&lt;&gt;0,(B193-(B192-D192))/(A193-A192),"")</f>
        <v>5.1282051282051269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289">
        <v>30</v>
      </c>
      <c r="B194" s="61">
        <f>(108+14)/1.56</f>
        <v>78.205128205128204</v>
      </c>
      <c r="C194" s="61">
        <v>2</v>
      </c>
      <c r="D194" s="61">
        <f>(16+14)/1.56</f>
        <v>19.23076923076923</v>
      </c>
      <c r="E194" s="54"/>
      <c r="F194" s="54">
        <v>0.2</v>
      </c>
      <c r="G194" s="54"/>
      <c r="H194" s="54">
        <v>0.8</v>
      </c>
      <c r="I194" s="52">
        <f t="shared" si="7"/>
        <v>5.384615384615385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1">
        <f>(133)/1.56</f>
        <v>85.256410256410248</v>
      </c>
      <c r="C195" s="61"/>
      <c r="D195" s="61"/>
      <c r="E195" s="54"/>
      <c r="F195" s="54"/>
      <c r="G195" s="54"/>
      <c r="H195" s="54"/>
      <c r="I195" s="52">
        <f t="shared" si="7"/>
        <v>5.2564102564102537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1">
        <f>(156+17)/1.56</f>
        <v>110.8974358974359</v>
      </c>
      <c r="C196" s="61">
        <v>3</v>
      </c>
      <c r="D196" s="61">
        <f>(17+17)/1.56</f>
        <v>21.794871794871796</v>
      </c>
      <c r="E196" s="54"/>
      <c r="F196" s="54"/>
      <c r="G196" s="54"/>
      <c r="H196" s="54"/>
      <c r="I196" s="52">
        <f t="shared" si="7"/>
        <v>5.1282051282051295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289">
        <v>45</v>
      </c>
      <c r="B197" s="61">
        <f>(177)/1.56</f>
        <v>113.46153846153845</v>
      </c>
      <c r="C197" s="61"/>
      <c r="D197" s="61"/>
      <c r="E197" s="54"/>
      <c r="F197" s="54"/>
      <c r="G197" s="54"/>
      <c r="H197" s="54"/>
      <c r="I197" s="52">
        <f t="shared" si="7"/>
        <v>4.8717948717948705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1">
        <f>(195+17)/1.56</f>
        <v>135.89743589743588</v>
      </c>
      <c r="C198" s="53">
        <v>4</v>
      </c>
      <c r="D198" s="61">
        <f>(17+17)/1.56</f>
        <v>21.794871794871796</v>
      </c>
      <c r="E198" s="54"/>
      <c r="F198" s="54"/>
      <c r="G198" s="54"/>
      <c r="H198" s="54"/>
      <c r="I198" s="52">
        <f t="shared" si="7"/>
        <v>4.4871794871794863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61">
        <f>(212)/1.56</f>
        <v>135.89743589743588</v>
      </c>
      <c r="C199" s="53"/>
      <c r="D199" s="61"/>
      <c r="E199" s="54"/>
      <c r="F199" s="54"/>
      <c r="G199" s="54"/>
      <c r="H199" s="54"/>
      <c r="I199" s="52">
        <f t="shared" si="7"/>
        <v>4.3589743589743595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289">
        <v>60</v>
      </c>
      <c r="B200" s="61">
        <f>(226+17)/1.56</f>
        <v>155.76923076923077</v>
      </c>
      <c r="C200" s="61">
        <v>5</v>
      </c>
      <c r="D200" s="61">
        <f>(17+17)/1.56</f>
        <v>21.794871794871796</v>
      </c>
      <c r="E200" s="54"/>
      <c r="F200" s="54"/>
      <c r="G200" s="54"/>
      <c r="H200" s="54"/>
      <c r="I200" s="52">
        <f t="shared" si="7"/>
        <v>3.974358974358978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65</v>
      </c>
      <c r="B201" s="61">
        <f>(240)/1.56</f>
        <v>153.84615384615384</v>
      </c>
      <c r="C201" s="61"/>
      <c r="D201" s="61"/>
      <c r="E201" s="54"/>
      <c r="F201" s="54"/>
      <c r="G201" s="54"/>
      <c r="H201" s="54"/>
      <c r="I201" s="52">
        <f t="shared" si="7"/>
        <v>3.9743589743589722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70</v>
      </c>
      <c r="B202" s="61">
        <f>(251+16)/1.56</f>
        <v>171.15384615384616</v>
      </c>
      <c r="C202" s="61">
        <v>6</v>
      </c>
      <c r="D202" s="61">
        <f>(15+16)/1.56</f>
        <v>19.871794871794872</v>
      </c>
      <c r="E202" s="54"/>
      <c r="F202" s="54"/>
      <c r="G202" s="54"/>
      <c r="H202" s="54"/>
      <c r="I202" s="52">
        <f t="shared" si="7"/>
        <v>3.4615384615384643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289">
        <v>75</v>
      </c>
      <c r="B203" s="61">
        <f>(262)/1.56</f>
        <v>167.94871794871796</v>
      </c>
      <c r="C203" s="61"/>
      <c r="D203" s="61"/>
      <c r="E203" s="54"/>
      <c r="F203" s="54"/>
      <c r="G203" s="54"/>
      <c r="H203" s="54"/>
      <c r="I203" s="52">
        <f t="shared" si="7"/>
        <v>3.3333333333333313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>
        <v>80</v>
      </c>
      <c r="B204" s="61">
        <f>(272+15)/1.56</f>
        <v>183.97435897435898</v>
      </c>
      <c r="C204" s="53">
        <v>7</v>
      </c>
      <c r="D204" s="61">
        <f>(14+15)/1.56</f>
        <v>18.589743589743588</v>
      </c>
      <c r="E204" s="57"/>
      <c r="F204" s="57"/>
      <c r="G204" s="57"/>
      <c r="H204" s="57"/>
      <c r="I204" s="52">
        <f t="shared" si="7"/>
        <v>3.2051282051282044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>
        <v>85</v>
      </c>
      <c r="B205" s="61">
        <f>(281)/1.56</f>
        <v>180.12820512820511</v>
      </c>
      <c r="C205" s="53"/>
      <c r="D205" s="61"/>
      <c r="E205" s="66"/>
      <c r="F205" s="66"/>
      <c r="G205" s="66"/>
      <c r="H205" s="66"/>
      <c r="I205" s="52">
        <f t="shared" si="7"/>
        <v>2.9487179487179445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90</v>
      </c>
      <c r="B206" s="61">
        <f>(289+14)/1.56</f>
        <v>194.23076923076923</v>
      </c>
      <c r="C206" s="61">
        <v>8</v>
      </c>
      <c r="D206" s="61">
        <f>(13+14)/1.56</f>
        <v>17.307692307692307</v>
      </c>
      <c r="E206" s="57"/>
      <c r="F206" s="57"/>
      <c r="G206" s="57"/>
      <c r="H206" s="57"/>
      <c r="I206" s="52">
        <f t="shared" si="7"/>
        <v>2.8205128205128234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95</v>
      </c>
      <c r="B207" s="61">
        <f>(297)/1.56</f>
        <v>190.38461538461539</v>
      </c>
      <c r="C207" s="61"/>
      <c r="D207" s="61"/>
      <c r="E207" s="54"/>
      <c r="F207" s="54"/>
      <c r="G207" s="54"/>
      <c r="H207" s="54"/>
      <c r="I207" s="52">
        <f t="shared" si="7"/>
        <v>2.6923076923076961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>
        <v>100</v>
      </c>
      <c r="B208" s="61">
        <f>(304+13)/1.56</f>
        <v>203.2051282051282</v>
      </c>
      <c r="C208" s="61">
        <v>9</v>
      </c>
      <c r="D208" s="61">
        <f>(12+13)/1.56</f>
        <v>16.025641025641026</v>
      </c>
      <c r="E208" s="54"/>
      <c r="F208" s="54"/>
      <c r="G208" s="54"/>
      <c r="H208" s="54"/>
      <c r="I208" s="52">
        <f t="shared" si="7"/>
        <v>2.5641025641025634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>
        <v>105</v>
      </c>
      <c r="B209" s="61">
        <f>(310)/1.56</f>
        <v>198.7179487179487</v>
      </c>
      <c r="C209" s="61"/>
      <c r="D209" s="61"/>
      <c r="E209" s="54"/>
      <c r="F209" s="54"/>
      <c r="G209" s="54"/>
      <c r="H209" s="54"/>
      <c r="I209" s="52">
        <f t="shared" si="7"/>
        <v>2.3076923076923039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>
        <v>110</v>
      </c>
      <c r="B210" s="61">
        <f>(317+12)/1.56</f>
        <v>210.89743589743588</v>
      </c>
      <c r="C210" s="53">
        <v>10</v>
      </c>
      <c r="D210" s="61">
        <f>B210</f>
        <v>210.89743589743588</v>
      </c>
      <c r="E210" s="54"/>
      <c r="F210" s="54"/>
      <c r="G210" s="54"/>
      <c r="H210" s="54"/>
      <c r="I210" s="52">
        <f t="shared" si="7"/>
        <v>2.4358974358974366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61"/>
      <c r="C211" s="61"/>
      <c r="D211" s="61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61"/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61"/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61"/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61"/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61"/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61"/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61"/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280"/>
      <c r="B225" s="61"/>
      <c r="C225" s="61"/>
      <c r="D225" s="61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280"/>
      <c r="B226" s="61"/>
      <c r="C226" s="61"/>
      <c r="D226" s="61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280"/>
      <c r="B227" s="61"/>
      <c r="C227" s="61"/>
      <c r="D227" s="61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280"/>
      <c r="B228" s="61"/>
      <c r="C228" s="61"/>
      <c r="D228" s="61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280"/>
      <c r="B229" s="61"/>
      <c r="C229" s="61"/>
      <c r="D229" s="61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280"/>
      <c r="B230" s="61"/>
      <c r="C230" s="61"/>
      <c r="D230" s="61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280"/>
      <c r="B231" s="61"/>
      <c r="C231" s="61"/>
      <c r="D231" s="61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280"/>
      <c r="B232" s="61"/>
      <c r="C232" s="61"/>
      <c r="D232" s="61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280"/>
      <c r="B233" s="61"/>
      <c r="C233" s="61"/>
      <c r="D233" s="61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280"/>
      <c r="B234" s="61"/>
      <c r="C234" s="61"/>
      <c r="D234" s="61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280"/>
      <c r="B235" s="61"/>
      <c r="C235" s="61"/>
      <c r="D235" s="61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280"/>
      <c r="B236" s="61"/>
      <c r="C236" s="61"/>
      <c r="D236" s="61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280"/>
      <c r="B237" s="61"/>
      <c r="C237" s="61"/>
      <c r="D237" s="61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5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54"/>
      <c r="F245" s="54"/>
      <c r="G245" s="54"/>
      <c r="H245" s="5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54"/>
      <c r="F246" s="54"/>
      <c r="G246" s="54"/>
      <c r="H246" s="5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54"/>
      <c r="F247" s="54"/>
      <c r="G247" s="54"/>
      <c r="H247" s="5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54"/>
      <c r="F248" s="54"/>
      <c r="G248" s="54"/>
      <c r="H248" s="5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54"/>
      <c r="F249" s="54"/>
      <c r="G249" s="54"/>
      <c r="H249" s="5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54"/>
      <c r="F250" s="54"/>
      <c r="G250" s="54"/>
      <c r="H250" s="5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3"/>
      <c r="B251" s="61"/>
      <c r="C251" s="53"/>
      <c r="D251" s="61"/>
      <c r="E251" s="54"/>
      <c r="F251" s="54"/>
      <c r="G251" s="54"/>
      <c r="H251" s="5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3"/>
      <c r="B252" s="61"/>
      <c r="C252" s="53"/>
      <c r="D252" s="61"/>
      <c r="E252" s="54"/>
      <c r="F252" s="54"/>
      <c r="G252" s="54"/>
      <c r="H252" s="5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3"/>
      <c r="B253" s="61"/>
      <c r="C253" s="58"/>
      <c r="D253" s="61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3"/>
      <c r="B254" s="61"/>
      <c r="C254" s="58"/>
      <c r="D254" s="61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61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61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61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61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61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61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61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280"/>
      <c r="B277" s="61"/>
      <c r="C277" s="61"/>
      <c r="D277" s="61"/>
      <c r="E277" s="54"/>
      <c r="F277" s="54"/>
      <c r="G277" s="54"/>
      <c r="H277" s="5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280"/>
      <c r="B278" s="61"/>
      <c r="C278" s="61"/>
      <c r="D278" s="61"/>
      <c r="E278" s="54"/>
      <c r="F278" s="54"/>
      <c r="G278" s="54"/>
      <c r="H278" s="5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280"/>
      <c r="B279" s="61"/>
      <c r="C279" s="61"/>
      <c r="D279" s="61"/>
      <c r="E279" s="54"/>
      <c r="F279" s="54"/>
      <c r="G279" s="54"/>
      <c r="H279" s="5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280"/>
      <c r="B280" s="61"/>
      <c r="C280" s="61"/>
      <c r="D280" s="61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280"/>
      <c r="B281" s="61"/>
      <c r="C281" s="61"/>
      <c r="D281" s="61"/>
      <c r="E281" s="54"/>
      <c r="F281" s="54"/>
      <c r="G281" s="54"/>
      <c r="H281" s="5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280"/>
      <c r="B282" s="61"/>
      <c r="C282" s="61"/>
      <c r="D282" s="61"/>
      <c r="E282" s="54"/>
      <c r="F282" s="54"/>
      <c r="G282" s="54"/>
      <c r="H282" s="54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280"/>
      <c r="B283" s="61"/>
      <c r="C283" s="61"/>
      <c r="D283" s="61"/>
      <c r="E283" s="54"/>
      <c r="F283" s="54"/>
      <c r="G283" s="54"/>
      <c r="H283" s="54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280"/>
      <c r="B284" s="61"/>
      <c r="C284" s="53"/>
      <c r="D284" s="61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280"/>
      <c r="B285" s="61"/>
      <c r="C285" s="53"/>
      <c r="D285" s="61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280"/>
      <c r="B286" s="61"/>
      <c r="C286" s="53"/>
      <c r="D286" s="61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280"/>
      <c r="B287" s="61"/>
      <c r="C287" s="53"/>
      <c r="D287" s="61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280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280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8" sqref="B8:B1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1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pubescent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Charme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Erable champêtre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Aulne à feuilles en cœur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Alisier torminal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Cormier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Tilleul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8">
        <f>(B3+E3+F3)*44/12+(C3+D3)*0.475*44/12</f>
        <v>183.33333333333334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165</v>
      </c>
      <c r="S3" s="60">
        <f ca="1">AVERAGE(OFFSET($R$3,0,0,'Données projet'!$E$9+1,1))-AVERAGE(OFFSET($H$3,0,0,'Données projet'!$E$9+1,1))</f>
        <v>516.54532596122067</v>
      </c>
      <c r="T3" s="60">
        <f>IF('Données projet'!E9&gt;30,$R$33-$H$33,LOOKUP('Données projet'!$E$9,$A$3:$A$203,R3:R203)-LOOKUP('Données projet'!$E$9,$A$3:$A$203,$H$3:$H$203))</f>
        <v>273.35778700650792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165</v>
      </c>
      <c r="AN3" s="60">
        <f ca="1">AVERAGE(OFFSET($AM$3,0,0,'Données projet'!$E$10+1,1))-AVERAGE(OFFSET($H$3,0,0,'Données projet'!$E$10+1,1))</f>
        <v>328.36544111680962</v>
      </c>
      <c r="AO3" s="60">
        <f>IF('Données projet'!E10&gt;30,$AM$33-$H$33,LOOKUP('Données projet'!$E$10,$A$3:$A$203,AM3:AM203)-LOOKUP('Données projet'!$E$10,$A$3:$A$203,$H$3:$H$203))</f>
        <v>226.85392900722772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165</v>
      </c>
      <c r="BI3" s="60">
        <f ca="1">AVERAGE(OFFSET($BH$3,0,0,'Données projet'!$E$11+1,1))-AVERAGE(OFFSET($H$3,0,0,'Données projet'!$E$11+1,1))</f>
        <v>296.01124173332352</v>
      </c>
      <c r="BJ3" s="60">
        <f>IF('Données projet'!E11&gt;30,$BH$33-$H$33,LOOKUP('Données projet'!$E$11,$A$3:$A$203,BH3:BH203)-LOOKUP('Données projet'!$E$11,$A$3:$A$203,$H$3:$H$203))</f>
        <v>315.50730924873733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165</v>
      </c>
      <c r="CD3" s="60">
        <f ca="1">AVERAGE(OFFSET($CC$3,0,0,'Données projet'!$E$12+1,1))-AVERAGE(OFFSET($H$3,0,0,'Données projet'!$E$12+1,1))</f>
        <v>216.42026264996392</v>
      </c>
      <c r="CE3" s="60">
        <f>IF('Données projet'!E12&gt;30,$CC$33-$H$33,LOOKUP('Données projet'!$E$12,$A$3:$A$203,CC3:CC203)-LOOKUP('Données projet'!$E$12,$A$3:$A$203,$H$3:$H$203))</f>
        <v>216.4587454288401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165</v>
      </c>
      <c r="CY3" s="60">
        <f ca="1">AVERAGE(OFFSET($CX$3,0,0,'Données projet'!$E$13+1,1))-AVERAGE(OFFSET($H$3,0,0,'Données projet'!$E$13+1,1))</f>
        <v>385.5283976785621</v>
      </c>
      <c r="CZ3" s="60">
        <f>IF('Données projet'!E13&gt;30,$CX$33-$H$33,LOOKUP('Données projet'!$E$13,$A$3:$A$203,CX3:CX203)-LOOKUP('Données projet'!$E$13,$A$3:$A$203,$H$3:$H$203))</f>
        <v>173.19148969173838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165</v>
      </c>
      <c r="DT3" s="60">
        <f ca="1">AVERAGE(OFFSET($DS$3,0,0,'Données projet'!$E$14+1,1))-AVERAGE(OFFSET($H$3,0,0,'Données projet'!$E$14+1,1))</f>
        <v>543.15812193567342</v>
      </c>
      <c r="DU3" s="60">
        <f>IF('Données projet'!E14&gt;30,$DS$33-$H$33,LOOKUP('Données projet'!$E$14,$A$3:$A$203,DS3:DS203)-LOOKUP('Données projet'!$E$14,$A$3:$A$203,$H$3:$H$203))</f>
        <v>286.40725588660575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165</v>
      </c>
      <c r="EO3" s="60">
        <f ca="1">AVERAGE(OFFSET($EN$3,0,0,'Données projet'!$E$15+1,1))-AVERAGE(OFFSET($H$3,0,0,'Données projet'!$E$15+1,1))</f>
        <v>239.52247785001794</v>
      </c>
      <c r="EP3" s="60">
        <f>IF('Données projet'!E15&gt;30,$EN$33-$H$33,LOOKUP('Données projet'!$E$15,$A$3:$A$203,EN3:EN203)-LOOKUP('Données projet'!$E$15,$A$3:$A$203,$H$3:$H$203))</f>
        <v>173.69760199651617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8">
        <f t="shared" ref="H4:H67" si="1">(B4+E4+F4)*44/12+(C4+D4)*0.475*44/12</f>
        <v>183.33333333333334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170.89982938223079</v>
      </c>
      <c r="S4" s="60">
        <f ca="1">AVERAGE(OFFSET($R$3,0,0,'Données projet'!$E$9+1,1))-AVERAGE(OFFSET($H$3,0,0,'Données projet'!$E$9+1,1))</f>
        <v>516.54532596122067</v>
      </c>
      <c r="T4" s="60">
        <f>$T$3</f>
        <v>273.35778700650792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1.9230769230769229</v>
      </c>
      <c r="AI4" s="14">
        <f>IF('Données projet'!$A$62&gt;35,AI3+AH4-AQ3,IF(A4&lt;'Données projet'!$A$62,$AF$205^A4,IF(A4='Données projet'!$A$62,'Données projet'!$B$62,AI3+AH4-AQ3)))</f>
        <v>1.2001936719318862</v>
      </c>
      <c r="AJ4" s="14">
        <f>AI4*VLOOKUP('Données projet'!$B$10,Paramètres!$A$1:$I$89,3,0)*VLOOKUP('Données projet'!$B$10,Paramètres!$A$1:$I$89,5,0)</f>
        <v>1.1421042982103828</v>
      </c>
      <c r="AK4" s="14">
        <f>EXP(-1.0587+0.8836*LN(AJ4)+0.284)</f>
        <v>0.51825187220895508</v>
      </c>
      <c r="AL4" s="22">
        <f t="shared" ref="AL4:AL67" si="4">(AJ4+AK4)*0.475*44/12</f>
        <v>2.8917869968136802</v>
      </c>
      <c r="AM4" s="60">
        <f t="shared" ref="AM4:AM67" si="5">AL4+(AD4+AE4)*44/12</f>
        <v>170.70422094973753</v>
      </c>
      <c r="AN4" s="60">
        <f ca="1">AVERAGE(OFFSET($AM$3,0,0,'Données projet'!$E$10+1,1))-AVERAGE(OFFSET($H$3,0,0,'Données projet'!$E$10+1,1))</f>
        <v>328.36544111680962</v>
      </c>
      <c r="AO4" s="60">
        <f>$AO$3</f>
        <v>226.85392900722772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</v>
      </c>
      <c r="BD4" s="13">
        <f>IF('Données projet'!$A$88&gt;35,BD3+BC4-BL3,IF(A4&lt;'Données projet'!$A$88,$BA$205^A4,IF(A4='Données projet'!$A$88,'Données projet'!$B$88,BD3+BC4-BL3)))</f>
        <v>1.1577536725165907</v>
      </c>
      <c r="BE4" s="14">
        <f>BD4*VLOOKUP('Données projet'!$B$11,Paramètres!$A$1:$I$89,3,0)*VLOOKUP('Données projet'!$B$11,Paramètres!$A$1:$I$89,5,0)</f>
        <v>1.0114136083104937</v>
      </c>
      <c r="BF4" s="14">
        <f>EXP(-1.0587+0.8836*LN(BE4)+0.284)</f>
        <v>0.46548655994988658</v>
      </c>
      <c r="BG4" s="22">
        <f t="shared" ref="BG4:BG67" si="7">(BE4+BF4)*0.475*44/12</f>
        <v>2.5722677930534954</v>
      </c>
      <c r="BH4" s="60">
        <f t="shared" ref="BH4:BH67" si="8">BG4+(AY4+AZ4)*44/12</f>
        <v>170.38470174597734</v>
      </c>
      <c r="BI4" s="60">
        <f ca="1">AVERAGE(OFFSET($BH$3,0,0,'Données projet'!$E$11+1,1))-AVERAGE(OFFSET($H$3,0,0,'Données projet'!$E$11+1,1))</f>
        <v>296.01124173332352</v>
      </c>
      <c r="BJ4" s="60">
        <f>$BJ$3</f>
        <v>315.50730924873733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1.7333333333333334</v>
      </c>
      <c r="BY4" s="13">
        <f>IF('Données projet'!$A$114&gt;35,BY3+BX4-CG3,IF(A4&lt;'Données projet'!$A$114,$BV$205^A4,IF(A4='Données projet'!$A$114,'Données projet'!$B$114,BY3+BX4-CG3)))</f>
        <v>1.2426005929945116</v>
      </c>
      <c r="BZ4" s="14">
        <f>BY4*VLOOKUP('Données projet'!$B$12,Paramètres!$A$1:$I$89,3,0)*VLOOKUP('Données projet'!$B$12,Paramètres!$A$1:$I$89,5,0)</f>
        <v>0.81415190853000396</v>
      </c>
      <c r="CA4" s="14">
        <f>EXP(-1.0587+0.8836*LN(BZ4)+0.284)</f>
        <v>0.38428319807461475</v>
      </c>
      <c r="CB4" s="22">
        <f t="shared" ref="CB4:CB67" si="10">(BZ4+CA4)*0.475*44/12</f>
        <v>2.0872744773363778</v>
      </c>
      <c r="CC4" s="60">
        <f t="shared" ref="CC4:CC67" si="11">CB4+(BT4+BU4)*44/12</f>
        <v>169.8997084302602</v>
      </c>
      <c r="CD4" s="60">
        <f ca="1">AVERAGE(OFFSET($CC$3,0,0,'Données projet'!$E$12+1,1))-AVERAGE(OFFSET($H$3,0,0,'Données projet'!$E$12+1,1))</f>
        <v>216.42026264996392</v>
      </c>
      <c r="CE4" s="60">
        <f>$CE$3</f>
        <v>216.4587454288401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1.2</v>
      </c>
      <c r="CT4" s="13">
        <f>IF('Données projet'!$A$140&gt;35,CT3+CS4-DB3,IF(A4&lt;'Données projet'!$A$140,$CQ$205^A4,IF(A4='Données projet'!$A$140,'Données projet'!$B$140,CT3+CS4-DB3)))</f>
        <v>1.1457367676485573</v>
      </c>
      <c r="CU4" s="18">
        <f>CT4*VLOOKUP('Données projet'!$B$13,Paramètres!$A$1:$I$89,3,0)*VLOOKUP('Données projet'!$B$13,Paramètres!$A$1:$I$89,5,0)</f>
        <v>1.1081566016696847</v>
      </c>
      <c r="CV4" s="14">
        <f>EXP(-1.0587+0.8836*LN(CU4)+0.284)</f>
        <v>0.50461671312632472</v>
      </c>
      <c r="CW4" s="22">
        <f t="shared" ref="CW4:CW67" si="13">(CU4+CV4)*0.475*44/12</f>
        <v>2.808913523269716</v>
      </c>
      <c r="CX4" s="60">
        <f t="shared" ref="CX4:CX67" si="14">CW4+(CO4+CP4)*44/12</f>
        <v>170.62134747619356</v>
      </c>
      <c r="CY4" s="60">
        <f ca="1">AVERAGE(OFFSET($CX$3,0,0,'Données projet'!$E$13+1,1))-AVERAGE(OFFSET($H$3,0,0,'Données projet'!$E$13+1,1))</f>
        <v>385.5283976785621</v>
      </c>
      <c r="CZ4" s="60">
        <f>$CZ$3</f>
        <v>173.19148969173838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171.08277501424993</v>
      </c>
      <c r="DT4" s="60">
        <f ca="1">AVERAGE(OFFSET($DS$3,0,0,'Données projet'!$E$14+1,1))-AVERAGE(OFFSET($H$3,0,0,'Données projet'!$E$14+1,1))</f>
        <v>543.15812193567342</v>
      </c>
      <c r="DU4" s="60">
        <f>$DU$3</f>
        <v>286.40725588660575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1.6346153846153846</v>
      </c>
      <c r="EJ4" s="13">
        <f>IF('Données projet'!$A$192&gt;35,EJ3+EI4-ER3,IF(A4&lt;'Données projet'!$A$192,$EG$205^A4,IF(A4='Données projet'!$A$192,'Données projet'!$B$192,EJ3+EI4-ER3)))</f>
        <v>1.1904804802795936</v>
      </c>
      <c r="EK4" s="18">
        <f>EJ4*VLOOKUP('Données projet'!$B$15,Paramètres!$A$1:$I$89,3,0)*VLOOKUP('Données projet'!$B$15,Paramètres!$A$1:$I$89,5,0)</f>
        <v>0.79857430617155145</v>
      </c>
      <c r="EL4" s="14">
        <f>EXP(-1.0587+0.8836*LN(EK4)+0.284)</f>
        <v>0.37777906983246112</v>
      </c>
      <c r="EM4" s="22">
        <f t="shared" ref="EM4:EM67" si="19">(EK4+EL4)*0.475*44/12</f>
        <v>2.0488154632069886</v>
      </c>
      <c r="EN4" s="60">
        <f t="shared" ref="EN4:EN67" si="20">EM4+(EE4+EF4)*44/12</f>
        <v>169.86124941613082</v>
      </c>
      <c r="EO4" s="60">
        <f ca="1">AVERAGE(OFFSET($EN$3,0,0,'Données projet'!$E$15+1,1))-AVERAGE(OFFSET($H$3,0,0,'Données projet'!$E$15+1,1))</f>
        <v>239.52247785001794</v>
      </c>
      <c r="EP4" s="60">
        <f>$EP$3</f>
        <v>173.69760199651617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8">
        <f t="shared" si="1"/>
        <v>183.33333333333334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174.29423362025418</v>
      </c>
      <c r="S5" s="60">
        <f ca="1">AVERAGE(OFFSET($R$3,0,0,'Données projet'!$E$9+1,1))-AVERAGE(OFFSET($H$3,0,0,'Données projet'!$E$9+1,1))</f>
        <v>516.54532596122067</v>
      </c>
      <c r="T5" s="60">
        <f t="shared" ref="T5:T68" si="34">$T$3</f>
        <v>273.35778700650792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1.9230769230769229</v>
      </c>
      <c r="AI5" s="14">
        <f>IF('Données projet'!$A$62&gt;35,AI4+AH5-AQ4,IF(A5&lt;'Données projet'!$A$62,$AF$205^A5,IF(A5='Données projet'!$A$62,'Données projet'!$B$62,AI4+AH5-AQ4)))</f>
        <v>1.4404648501453441</v>
      </c>
      <c r="AJ5" s="14">
        <f>AI5*VLOOKUP('Données projet'!$B$10,Paramètres!$A$1:$I$89,3,0)*VLOOKUP('Données projet'!$B$10,Paramètres!$A$1:$I$89,5,0)</f>
        <v>1.3707463513983094</v>
      </c>
      <c r="AK5" s="14">
        <f t="shared" ref="AK5:AK68" si="35">EXP(-1.0587+0.8836*LN(AJ5)+0.284)</f>
        <v>0.60892998080027394</v>
      </c>
      <c r="AL5" s="22">
        <f t="shared" si="4"/>
        <v>3.4479362785791992</v>
      </c>
      <c r="AM5" s="60">
        <f t="shared" si="5"/>
        <v>174.04521756608003</v>
      </c>
      <c r="AN5" s="60">
        <f ca="1">AVERAGE(OFFSET($AM$3,0,0,'Données projet'!$E$10+1,1))-AVERAGE(OFFSET($H$3,0,0,'Données projet'!$E$10+1,1))</f>
        <v>328.36544111680962</v>
      </c>
      <c r="AO5" s="60">
        <f t="shared" ref="AO5:AO68" si="36">$AO$3</f>
        <v>226.85392900722772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</v>
      </c>
      <c r="BD5" s="13">
        <f>IF('Données projet'!$A$88&gt;35,BD4+BC5-BL4,IF(A5&lt;'Données projet'!$A$88,$BA$205^A5,IF(A5='Données projet'!$A$88,'Données projet'!$B$88,BD4+BC5-BL4)))</f>
        <v>1.340393566225653</v>
      </c>
      <c r="BE5" s="14">
        <f>BD5*VLOOKUP('Données projet'!$B$11,Paramètres!$A$1:$I$89,3,0)*VLOOKUP('Données projet'!$B$11,Paramètres!$A$1:$I$89,5,0)</f>
        <v>1.1709678194547306</v>
      </c>
      <c r="BF5" s="14">
        <f t="shared" ref="BF5:BF68" si="37">EXP(-1.0587+0.8836*LN(BE5)+0.284)</f>
        <v>0.52980785325350399</v>
      </c>
      <c r="BG5" s="22">
        <f t="shared" si="7"/>
        <v>2.9621842966335081</v>
      </c>
      <c r="BH5" s="60">
        <f t="shared" si="8"/>
        <v>173.55946558413433</v>
      </c>
      <c r="BI5" s="60">
        <f ca="1">AVERAGE(OFFSET($BH$3,0,0,'Données projet'!$E$11+1,1))-AVERAGE(OFFSET($H$3,0,0,'Données projet'!$E$11+1,1))</f>
        <v>296.01124173332352</v>
      </c>
      <c r="BJ5" s="60">
        <f t="shared" ref="BJ5:BJ68" si="38">$BJ$3</f>
        <v>315.50730924873733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1.7333333333333334</v>
      </c>
      <c r="BY5" s="13">
        <f>IF('Données projet'!$A$114&gt;35,BY4+BX5-CG4,IF(A5&lt;'Données projet'!$A$114,$BV$205^A5,IF(A5='Données projet'!$A$114,'Données projet'!$B$114,BY4+BX5-CG4)))</f>
        <v>1.5440562337103121</v>
      </c>
      <c r="BZ5" s="14">
        <f>BY5*VLOOKUP('Données projet'!$B$12,Paramètres!$A$1:$I$89,3,0)*VLOOKUP('Données projet'!$B$12,Paramètres!$A$1:$I$89,5,0)</f>
        <v>1.0116656443269965</v>
      </c>
      <c r="CA5" s="14">
        <f t="shared" ref="CA5:CA68" si="39">EXP(-1.0587+0.8836*LN(BZ5)+0.284)</f>
        <v>0.4655890520446454</v>
      </c>
      <c r="CB5" s="22">
        <f t="shared" si="10"/>
        <v>2.5728852628472763</v>
      </c>
      <c r="CC5" s="60">
        <f t="shared" si="11"/>
        <v>173.17016655034811</v>
      </c>
      <c r="CD5" s="60">
        <f ca="1">AVERAGE(OFFSET($CC$3,0,0,'Données projet'!$E$12+1,1))-AVERAGE(OFFSET($H$3,0,0,'Données projet'!$E$12+1,1))</f>
        <v>216.42026264996392</v>
      </c>
      <c r="CE5" s="60">
        <f t="shared" ref="CE5:CE68" si="40">$CE$3</f>
        <v>216.4587454288401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1.2</v>
      </c>
      <c r="CT5" s="13">
        <f>IF('Données projet'!$A$140&gt;35,CT4+CS5-DB4,IF(A5&lt;'Données projet'!$A$140,$CQ$205^A5,IF(A5='Données projet'!$A$140,'Données projet'!$B$140,CT4+CS5-DB4)))</f>
        <v>1.312712740741764</v>
      </c>
      <c r="CU5" s="18">
        <f>CT5*VLOOKUP('Données projet'!$B$13,Paramètres!$A$1:$I$89,3,0)*VLOOKUP('Données projet'!$B$13,Paramètres!$A$1:$I$89,5,0)</f>
        <v>1.2696557628454344</v>
      </c>
      <c r="CV5" s="14">
        <f t="shared" ref="CV5:CV68" si="41">EXP(-1.0587+0.8836*LN(CU5)+0.284)</f>
        <v>0.56907434090738995</v>
      </c>
      <c r="CW5" s="22">
        <f t="shared" si="13"/>
        <v>3.2024549307028356</v>
      </c>
      <c r="CX5" s="60">
        <f t="shared" si="14"/>
        <v>173.79973621820366</v>
      </c>
      <c r="CY5" s="60">
        <f ca="1">AVERAGE(OFFSET($CX$3,0,0,'Données projet'!$E$13+1,1))-AVERAGE(OFFSET($H$3,0,0,'Données projet'!$E$13+1,1))</f>
        <v>385.5283976785621</v>
      </c>
      <c r="CZ5" s="60">
        <f t="shared" ref="CZ5:CZ68" si="42">$CZ$3</f>
        <v>173.19148969173838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174.51342501298171</v>
      </c>
      <c r="DT5" s="60">
        <f ca="1">AVERAGE(OFFSET($DS$3,0,0,'Données projet'!$E$14+1,1))-AVERAGE(OFFSET($H$3,0,0,'Données projet'!$E$14+1,1))</f>
        <v>543.15812193567342</v>
      </c>
      <c r="DU5" s="60">
        <f t="shared" ref="DU5:DU68" si="44">$DU$3</f>
        <v>286.40725588660575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1.6346153846153846</v>
      </c>
      <c r="EJ5" s="13">
        <f>IF('Données projet'!$A$192&gt;35,EJ4+EI5-ER4,IF(A5&lt;'Données projet'!$A$192,$EG$205^A5,IF(A5='Données projet'!$A$192,'Données projet'!$B$192,EJ4+EI5-ER4)))</f>
        <v>1.4172437739267318</v>
      </c>
      <c r="EK5" s="18">
        <f>EJ5*VLOOKUP('Données projet'!$B$15,Paramètres!$A$1:$I$89,3,0)*VLOOKUP('Données projet'!$B$15,Paramètres!$A$1:$I$89,5,0)</f>
        <v>0.95068712355005169</v>
      </c>
      <c r="EL5" s="14">
        <f t="shared" ref="EL5:EL68" si="45">EXP(-1.0587+0.8836*LN(EK5)+0.284)</f>
        <v>0.44070309303270105</v>
      </c>
      <c r="EM5" s="22">
        <f t="shared" si="19"/>
        <v>2.4233379605482943</v>
      </c>
      <c r="EN5" s="60">
        <f t="shared" si="20"/>
        <v>173.02061924804912</v>
      </c>
      <c r="EO5" s="60">
        <f ca="1">AVERAGE(OFFSET($EN$3,0,0,'Données projet'!$E$15+1,1))-AVERAGE(OFFSET($H$3,0,0,'Données projet'!$E$15+1,1))</f>
        <v>239.52247785001794</v>
      </c>
      <c r="EP5" s="60">
        <f t="shared" ref="EP5:EP68" si="46">$EP$3</f>
        <v>173.69760199651617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8">
        <f t="shared" si="1"/>
        <v>183.33333333333334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177.78232179480699</v>
      </c>
      <c r="S6" s="60">
        <f ca="1">AVERAGE(OFFSET($R$3,0,0,'Données projet'!$E$9+1,1))-AVERAGE(OFFSET($H$3,0,0,'Données projet'!$E$9+1,1))</f>
        <v>516.54532596122067</v>
      </c>
      <c r="T6" s="60">
        <f t="shared" si="34"/>
        <v>273.35778700650792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1.9230769230769229</v>
      </c>
      <c r="AI6" s="14">
        <f>IF('Données projet'!$A$62&gt;35,AI5+AH6-AQ5,IF(A6&lt;'Données projet'!$A$62,$AF$205^A6,IF(A6='Données projet'!$A$62,'Données projet'!$B$62,AI5+AH6-AQ5)))</f>
        <v>1.7288367977847547</v>
      </c>
      <c r="AJ6" s="14">
        <f>AI6*VLOOKUP('Données projet'!$B$10,Paramètres!$A$1:$I$89,3,0)*VLOOKUP('Données projet'!$B$10,Paramètres!$A$1:$I$89,5,0)</f>
        <v>1.6451610967719728</v>
      </c>
      <c r="AK6" s="14">
        <f t="shared" si="35"/>
        <v>0.71547396430421406</v>
      </c>
      <c r="AL6" s="22">
        <f t="shared" si="4"/>
        <v>4.1114393980410258</v>
      </c>
      <c r="AM6" s="60">
        <f t="shared" si="5"/>
        <v>177.46645996792591</v>
      </c>
      <c r="AN6" s="60">
        <f ca="1">AVERAGE(OFFSET($AM$3,0,0,'Données projet'!$E$10+1,1))-AVERAGE(OFFSET($H$3,0,0,'Données projet'!$E$10+1,1))</f>
        <v>328.36544111680962</v>
      </c>
      <c r="AO6" s="60">
        <f t="shared" si="36"/>
        <v>226.85392900722772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</v>
      </c>
      <c r="BD6" s="13">
        <f>IF('Données projet'!$A$88&gt;35,BD5+BC6-BL5,IF(A6&lt;'Données projet'!$A$88,$BA$205^A6,IF(A6='Données projet'!$A$88,'Données projet'!$B$88,BD5+BC6-BL5)))</f>
        <v>1.5518455739153598</v>
      </c>
      <c r="BE6" s="14">
        <f>BD6*VLOOKUP('Données projet'!$B$11,Paramètres!$A$1:$I$89,3,0)*VLOOKUP('Données projet'!$B$11,Paramètres!$A$1:$I$89,5,0)</f>
        <v>1.3556922933724584</v>
      </c>
      <c r="BF6" s="14">
        <f t="shared" si="37"/>
        <v>0.6030171126730397</v>
      </c>
      <c r="BG6" s="22">
        <f t="shared" si="7"/>
        <v>3.4114188821959091</v>
      </c>
      <c r="BH6" s="60">
        <f t="shared" si="8"/>
        <v>176.76643945208079</v>
      </c>
      <c r="BI6" s="60">
        <f ca="1">AVERAGE(OFFSET($BH$3,0,0,'Données projet'!$E$11+1,1))-AVERAGE(OFFSET($H$3,0,0,'Données projet'!$E$11+1,1))</f>
        <v>296.01124173332352</v>
      </c>
      <c r="BJ6" s="60">
        <f t="shared" si="38"/>
        <v>315.50730924873733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1.7333333333333334</v>
      </c>
      <c r="BY6" s="13">
        <f>IF('Données projet'!$A$114&gt;35,BY5+BX6-CG5,IF(A6&lt;'Données projet'!$A$114,$BV$205^A6,IF(A6='Données projet'!$A$114,'Données projet'!$B$114,BY5+BX6-CG5)))</f>
        <v>1.918645191625306</v>
      </c>
      <c r="BZ6" s="14">
        <f>BY6*VLOOKUP('Données projet'!$B$12,Paramètres!$A$1:$I$89,3,0)*VLOOKUP('Données projet'!$B$12,Paramètres!$A$1:$I$89,5,0)</f>
        <v>1.2570963295529005</v>
      </c>
      <c r="CA6" s="14">
        <f t="shared" si="39"/>
        <v>0.56409743249232969</v>
      </c>
      <c r="CB6" s="22">
        <f t="shared" si="10"/>
        <v>3.1719124688954423</v>
      </c>
      <c r="CC6" s="60">
        <f t="shared" si="11"/>
        <v>176.52693303878033</v>
      </c>
      <c r="CD6" s="60">
        <f ca="1">AVERAGE(OFFSET($CC$3,0,0,'Données projet'!$E$12+1,1))-AVERAGE(OFFSET($H$3,0,0,'Données projet'!$E$12+1,1))</f>
        <v>216.42026264996392</v>
      </c>
      <c r="CE6" s="60">
        <f t="shared" si="40"/>
        <v>216.4587454288401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1.2</v>
      </c>
      <c r="CT6" s="13">
        <f>IF('Données projet'!$A$140&gt;35,CT5+CS6-DB5,IF(A6&lt;'Données projet'!$A$140,$CQ$205^A6,IF(A6='Données projet'!$A$140,'Données projet'!$B$140,CT5+CS6-DB5)))</f>
        <v>1.5040232524285473</v>
      </c>
      <c r="CU6" s="18">
        <f>CT6*VLOOKUP('Données projet'!$B$13,Paramètres!$A$1:$I$89,3,0)*VLOOKUP('Données projet'!$B$13,Paramètres!$A$1:$I$89,5,0)</f>
        <v>1.4546912897488911</v>
      </c>
      <c r="CV6" s="14">
        <f t="shared" si="41"/>
        <v>0.64176551639126822</v>
      </c>
      <c r="CW6" s="22">
        <f t="shared" si="13"/>
        <v>3.6513289373607773</v>
      </c>
      <c r="CX6" s="60">
        <f t="shared" si="14"/>
        <v>177.00634950724566</v>
      </c>
      <c r="CY6" s="60">
        <f ca="1">AVERAGE(OFFSET($CX$3,0,0,'Données projet'!$E$13+1,1))-AVERAGE(OFFSET($H$3,0,0,'Données projet'!$E$13+1,1))</f>
        <v>385.5283976785621</v>
      </c>
      <c r="CZ6" s="60">
        <f t="shared" si="42"/>
        <v>173.19148969173838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178.04496509696591</v>
      </c>
      <c r="DT6" s="60">
        <f ca="1">AVERAGE(OFFSET($DS$3,0,0,'Données projet'!$E$14+1,1))-AVERAGE(OFFSET($H$3,0,0,'Données projet'!$E$14+1,1))</f>
        <v>543.15812193567342</v>
      </c>
      <c r="DU6" s="60">
        <f t="shared" si="44"/>
        <v>286.40725588660575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1.6346153846153846</v>
      </c>
      <c r="EJ6" s="13">
        <f>IF('Données projet'!$A$192&gt;35,EJ5+EI6-ER5,IF(A6&lt;'Données projet'!$A$192,$EG$205^A6,IF(A6='Données projet'!$A$192,'Données projet'!$B$192,EJ5+EI6-ER5)))</f>
        <v>1.6872010486575595</v>
      </c>
      <c r="EK6" s="18">
        <f>EJ6*VLOOKUP('Données projet'!$B$15,Paramètres!$A$1:$I$89,3,0)*VLOOKUP('Données projet'!$B$15,Paramètres!$A$1:$I$89,5,0)</f>
        <v>1.1317744634394911</v>
      </c>
      <c r="EL6" s="14">
        <f t="shared" si="45"/>
        <v>0.51410793164037016</v>
      </c>
      <c r="EM6" s="22">
        <f t="shared" si="19"/>
        <v>2.866578504764091</v>
      </c>
      <c r="EN6" s="60">
        <f t="shared" si="20"/>
        <v>176.22159907464896</v>
      </c>
      <c r="EO6" s="60">
        <f ca="1">AVERAGE(OFFSET($EN$3,0,0,'Données projet'!$E$15+1,1))-AVERAGE(OFFSET($H$3,0,0,'Données projet'!$E$15+1,1))</f>
        <v>239.52247785001794</v>
      </c>
      <c r="EP6" s="60">
        <f t="shared" si="46"/>
        <v>173.69760199651617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8">
        <f t="shared" si="1"/>
        <v>183.33333333333334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181.3885838491268</v>
      </c>
      <c r="S7" s="60">
        <f ca="1">AVERAGE(OFFSET($R$3,0,0,'Données projet'!$E$9+1,1))-AVERAGE(OFFSET($H$3,0,0,'Données projet'!$E$9+1,1))</f>
        <v>516.54532596122067</v>
      </c>
      <c r="T7" s="60">
        <f t="shared" si="34"/>
        <v>273.35778700650792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1.9230769230769229</v>
      </c>
      <c r="AI7" s="14">
        <f>IF('Données projet'!$A$62&gt;35,AI6+AH7-AQ6,IF(A7&lt;'Données projet'!$A$62,$AF$205^A7,IF(A7='Données projet'!$A$62,'Données projet'!$B$62,AI6+AH7-AQ6)))</f>
        <v>2.0749389845042487</v>
      </c>
      <c r="AJ7" s="14">
        <f>AI7*VLOOKUP('Données projet'!$B$10,Paramètres!$A$1:$I$89,3,0)*VLOOKUP('Données projet'!$B$10,Paramètres!$A$1:$I$89,5,0)</f>
        <v>1.974511937654243</v>
      </c>
      <c r="AK7" s="14">
        <f t="shared" si="35"/>
        <v>0.84065986195067866</v>
      </c>
      <c r="AL7" s="22">
        <f t="shared" si="4"/>
        <v>4.9030908843119052</v>
      </c>
      <c r="AM7" s="60">
        <f t="shared" si="5"/>
        <v>180.98921294848884</v>
      </c>
      <c r="AN7" s="60">
        <f ca="1">AVERAGE(OFFSET($AM$3,0,0,'Données projet'!$E$10+1,1))-AVERAGE(OFFSET($H$3,0,0,'Données projet'!$E$10+1,1))</f>
        <v>328.36544111680962</v>
      </c>
      <c r="AO7" s="60">
        <f t="shared" si="36"/>
        <v>226.85392900722772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</v>
      </c>
      <c r="BD7" s="13">
        <f>IF('Données projet'!$A$88&gt;35,BD6+BC7-BL6,IF(A7&lt;'Données projet'!$A$88,$BA$205^A7,IF(A7='Données projet'!$A$88,'Données projet'!$B$88,BD6+BC7-BL6)))</f>
        <v>1.796654912379124</v>
      </c>
      <c r="BE7" s="14">
        <f>BD7*VLOOKUP('Données projet'!$B$11,Paramètres!$A$1:$I$89,3,0)*VLOOKUP('Données projet'!$B$11,Paramètres!$A$1:$I$89,5,0)</f>
        <v>1.5695577314544029</v>
      </c>
      <c r="BF7" s="14">
        <f t="shared" si="37"/>
        <v>0.68634248424879218</v>
      </c>
      <c r="BG7" s="22">
        <f t="shared" si="7"/>
        <v>3.9290262090163979</v>
      </c>
      <c r="BH7" s="60">
        <f t="shared" si="8"/>
        <v>180.01514827319335</v>
      </c>
      <c r="BI7" s="60">
        <f ca="1">AVERAGE(OFFSET($BH$3,0,0,'Données projet'!$E$11+1,1))-AVERAGE(OFFSET($H$3,0,0,'Données projet'!$E$11+1,1))</f>
        <v>296.01124173332352</v>
      </c>
      <c r="BJ7" s="60">
        <f t="shared" si="38"/>
        <v>315.50730924873733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1.7333333333333334</v>
      </c>
      <c r="BY7" s="13">
        <f>IF('Données projet'!$A$114&gt;35,BY6+BX7-CG6,IF(A7&lt;'Données projet'!$A$114,$BV$205^A7,IF(A7='Données projet'!$A$114,'Données projet'!$B$114,BY6+BX7-CG6)))</f>
        <v>2.3841096528596739</v>
      </c>
      <c r="BZ7" s="14">
        <f>BY7*VLOOKUP('Données projet'!$B$12,Paramètres!$A$1:$I$89,3,0)*VLOOKUP('Données projet'!$B$12,Paramètres!$A$1:$I$89,5,0)</f>
        <v>1.5620686445536582</v>
      </c>
      <c r="CA7" s="14">
        <f t="shared" si="39"/>
        <v>0.68344801482558393</v>
      </c>
      <c r="CB7" s="22">
        <f t="shared" si="10"/>
        <v>3.9109415150855131</v>
      </c>
      <c r="CC7" s="60">
        <f t="shared" si="11"/>
        <v>179.99706357926246</v>
      </c>
      <c r="CD7" s="60">
        <f ca="1">AVERAGE(OFFSET($CC$3,0,0,'Données projet'!$E$12+1,1))-AVERAGE(OFFSET($H$3,0,0,'Données projet'!$E$12+1,1))</f>
        <v>216.42026264996392</v>
      </c>
      <c r="CE7" s="60">
        <f t="shared" si="40"/>
        <v>216.4587454288401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1.2</v>
      </c>
      <c r="CT7" s="13">
        <f>IF('Données projet'!$A$140&gt;35,CT6+CS7-DB6,IF(A7&lt;'Données projet'!$A$140,$CQ$205^A7,IF(A7='Données projet'!$A$140,'Données projet'!$B$140,CT6+CS7-DB6)))</f>
        <v>1.7232147397057538</v>
      </c>
      <c r="CU7" s="18">
        <f>CT7*VLOOKUP('Données projet'!$B$13,Paramètres!$A$1:$I$89,3,0)*VLOOKUP('Données projet'!$B$13,Paramètres!$A$1:$I$89,5,0)</f>
        <v>1.6666932962434051</v>
      </c>
      <c r="CV7" s="14">
        <f t="shared" si="41"/>
        <v>0.72374195851500689</v>
      </c>
      <c r="CW7" s="22">
        <f t="shared" si="13"/>
        <v>4.1633414020375676</v>
      </c>
      <c r="CX7" s="60">
        <f t="shared" si="14"/>
        <v>180.24946346621451</v>
      </c>
      <c r="CY7" s="60">
        <f ca="1">AVERAGE(OFFSET($CX$3,0,0,'Données projet'!$E$13+1,1))-AVERAGE(OFFSET($H$3,0,0,'Données projet'!$E$13+1,1))</f>
        <v>385.5283976785621</v>
      </c>
      <c r="CZ7" s="60">
        <f t="shared" si="42"/>
        <v>173.19148969173838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181.70332254972681</v>
      </c>
      <c r="DT7" s="60">
        <f ca="1">AVERAGE(OFFSET($DS$3,0,0,'Données projet'!$E$14+1,1))-AVERAGE(OFFSET($H$3,0,0,'Données projet'!$E$14+1,1))</f>
        <v>543.15812193567342</v>
      </c>
      <c r="DU7" s="60">
        <f t="shared" si="44"/>
        <v>286.40725588660575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1.6346153846153846</v>
      </c>
      <c r="EJ7" s="13">
        <f>IF('Données projet'!$A$192&gt;35,EJ6+EI7-ER6,IF(A7&lt;'Données projet'!$A$192,$EG$205^A7,IF(A7='Données projet'!$A$192,'Données projet'!$B$192,EJ6+EI7-ER6)))</f>
        <v>2.0085799147340855</v>
      </c>
      <c r="EK7" s="18">
        <f>EJ7*VLOOKUP('Données projet'!$B$15,Paramètres!$A$1:$I$89,3,0)*VLOOKUP('Données projet'!$B$15,Paramètres!$A$1:$I$89,5,0)</f>
        <v>1.3473554068036244</v>
      </c>
      <c r="EL7" s="14">
        <f t="shared" si="45"/>
        <v>0.5997393019338928</v>
      </c>
      <c r="EM7" s="22">
        <f t="shared" si="19"/>
        <v>3.3911899510511758</v>
      </c>
      <c r="EN7" s="60">
        <f t="shared" si="20"/>
        <v>179.47731201522814</v>
      </c>
      <c r="EO7" s="60">
        <f ca="1">AVERAGE(OFFSET($EN$3,0,0,'Données projet'!$E$15+1,1))-AVERAGE(OFFSET($H$3,0,0,'Données projet'!$E$15+1,1))</f>
        <v>239.52247785001794</v>
      </c>
      <c r="EP7" s="60">
        <f t="shared" si="46"/>
        <v>173.69760199651617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8">
        <f t="shared" si="1"/>
        <v>183.33333333333334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185.14229339232202</v>
      </c>
      <c r="S8" s="60">
        <f ca="1">AVERAGE(OFFSET($R$3,0,0,'Données projet'!$E$9+1,1))-AVERAGE(OFFSET($H$3,0,0,'Données projet'!$E$9+1,1))</f>
        <v>516.54532596122067</v>
      </c>
      <c r="T8" s="60">
        <f t="shared" si="34"/>
        <v>273.35778700650792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1.9230769230769229</v>
      </c>
      <c r="AI8" s="14">
        <f>IF('Données projet'!$A$62&gt;35,AI7+AH8-AQ7,IF(A8&lt;'Données projet'!$A$62,$AF$205^A8,IF(A8='Données projet'!$A$62,'Données projet'!$B$62,AI7+AH8-AQ7)))</f>
        <v>2.4903286388467736</v>
      </c>
      <c r="AJ8" s="14">
        <f>AI8*VLOOKUP('Données projet'!$B$10,Paramètres!$A$1:$I$89,3,0)*VLOOKUP('Données projet'!$B$10,Paramètres!$A$1:$I$89,5,0)</f>
        <v>2.3697967327265896</v>
      </c>
      <c r="AK8" s="14">
        <f t="shared" si="35"/>
        <v>0.98774943429590245</v>
      </c>
      <c r="AL8" s="22">
        <f t="shared" si="4"/>
        <v>5.847726240897507</v>
      </c>
      <c r="AM8" s="60">
        <f t="shared" si="5"/>
        <v>184.63877411734487</v>
      </c>
      <c r="AN8" s="60">
        <f ca="1">AVERAGE(OFFSET($AM$3,0,0,'Données projet'!$E$10+1,1))-AVERAGE(OFFSET($H$3,0,0,'Données projet'!$E$10+1,1))</f>
        <v>328.36544111680962</v>
      </c>
      <c r="AO8" s="60">
        <f t="shared" si="36"/>
        <v>226.85392900722772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</v>
      </c>
      <c r="BD8" s="13">
        <f>IF('Données projet'!$A$88&gt;35,BD7+BC8-BL7,IF(A8&lt;'Données projet'!$A$88,$BA$205^A8,IF(A8='Données projet'!$A$88,'Données projet'!$B$88,BD7+BC8-BL7)))</f>
        <v>2.0800838230519041</v>
      </c>
      <c r="BE8" s="14">
        <f>BD8*VLOOKUP('Données projet'!$B$11,Paramètres!$A$1:$I$89,3,0)*VLOOKUP('Données projet'!$B$11,Paramètres!$A$1:$I$89,5,0)</f>
        <v>1.8171612278181437</v>
      </c>
      <c r="BF8" s="14">
        <f t="shared" si="37"/>
        <v>0.78118182019192373</v>
      </c>
      <c r="BG8" s="22">
        <f t="shared" si="7"/>
        <v>4.5254474752842002</v>
      </c>
      <c r="BH8" s="60">
        <f t="shared" si="8"/>
        <v>183.31649535173156</v>
      </c>
      <c r="BI8" s="60">
        <f ca="1">AVERAGE(OFFSET($BH$3,0,0,'Données projet'!$E$11+1,1))-AVERAGE(OFFSET($H$3,0,0,'Données projet'!$E$11+1,1))</f>
        <v>296.01124173332352</v>
      </c>
      <c r="BJ8" s="60">
        <f t="shared" si="38"/>
        <v>315.50730924873733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1.7333333333333334</v>
      </c>
      <c r="BY8" s="13">
        <f>IF('Données projet'!$A$114&gt;35,BY7+BX8-CG7,IF(A8&lt;'Données projet'!$A$114,$BV$205^A8,IF(A8='Données projet'!$A$114,'Données projet'!$B$114,BY7+BX8-CG7)))</f>
        <v>2.9624960684073702</v>
      </c>
      <c r="BZ8" s="14">
        <f>BY8*VLOOKUP('Données projet'!$B$12,Paramètres!$A$1:$I$89,3,0)*VLOOKUP('Données projet'!$B$12,Paramètres!$A$1:$I$89,5,0)</f>
        <v>1.9410274240205088</v>
      </c>
      <c r="CA8" s="14">
        <f t="shared" si="39"/>
        <v>0.82805054953938839</v>
      </c>
      <c r="CB8" s="22">
        <f t="shared" si="10"/>
        <v>4.822810803950154</v>
      </c>
      <c r="CC8" s="60">
        <f t="shared" si="11"/>
        <v>183.6138586803975</v>
      </c>
      <c r="CD8" s="60">
        <f ca="1">AVERAGE(OFFSET($CC$3,0,0,'Données projet'!$E$12+1,1))-AVERAGE(OFFSET($H$3,0,0,'Données projet'!$E$12+1,1))</f>
        <v>216.42026264996392</v>
      </c>
      <c r="CE8" s="60">
        <f t="shared" si="40"/>
        <v>216.4587454288401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1.2</v>
      </c>
      <c r="CT8" s="13">
        <f>IF('Données projet'!$A$140&gt;35,CT7+CS8-DB7,IF(A8&lt;'Données projet'!$A$140,$CQ$205^A8,IF(A8='Données projet'!$A$140,'Données projet'!$B$140,CT7+CS8-DB7)))</f>
        <v>1.9743504858348202</v>
      </c>
      <c r="CU8" s="18">
        <f>CT8*VLOOKUP('Données projet'!$B$13,Paramètres!$A$1:$I$89,3,0)*VLOOKUP('Données projet'!$B$13,Paramètres!$A$1:$I$89,5,0)</f>
        <v>1.9095917898994379</v>
      </c>
      <c r="CV8" s="14">
        <f t="shared" si="41"/>
        <v>0.81618972839261894</v>
      </c>
      <c r="CW8" s="22">
        <f t="shared" si="13"/>
        <v>4.7474028110253315</v>
      </c>
      <c r="CX8" s="60">
        <f t="shared" si="14"/>
        <v>183.53845068747268</v>
      </c>
      <c r="CY8" s="60">
        <f ca="1">AVERAGE(OFFSET($CX$3,0,0,'Données projet'!$E$13+1,1))-AVERAGE(OFFSET($H$3,0,0,'Données projet'!$E$13+1,1))</f>
        <v>385.5283976785621</v>
      </c>
      <c r="CZ8" s="60">
        <f t="shared" si="42"/>
        <v>173.19148969173838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185.51949587773419</v>
      </c>
      <c r="DT8" s="60">
        <f ca="1">AVERAGE(OFFSET($DS$3,0,0,'Données projet'!$E$14+1,1))-AVERAGE(OFFSET($H$3,0,0,'Données projet'!$E$14+1,1))</f>
        <v>543.15812193567342</v>
      </c>
      <c r="DU8" s="60">
        <f t="shared" si="44"/>
        <v>286.40725588660575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1.6346153846153846</v>
      </c>
      <c r="EJ8" s="13">
        <f>IF('Données projet'!$A$192&gt;35,EJ7+EI8-ER7,IF(A8&lt;'Données projet'!$A$192,$EG$205^A8,IF(A8='Données projet'!$A$192,'Données projet'!$B$192,EJ7+EI8-ER7)))</f>
        <v>2.3911751815725792</v>
      </c>
      <c r="EK8" s="18">
        <f>EJ8*VLOOKUP('Données projet'!$B$15,Paramètres!$A$1:$I$89,3,0)*VLOOKUP('Données projet'!$B$15,Paramètres!$A$1:$I$89,5,0)</f>
        <v>1.6040003117988864</v>
      </c>
      <c r="EL8" s="14">
        <f t="shared" si="45"/>
        <v>0.69963369196910608</v>
      </c>
      <c r="EM8" s="22">
        <f t="shared" si="19"/>
        <v>4.0121625565625862</v>
      </c>
      <c r="EN8" s="60">
        <f t="shared" si="20"/>
        <v>182.80321043300995</v>
      </c>
      <c r="EO8" s="60">
        <f ca="1">AVERAGE(OFFSET($EN$3,0,0,'Données projet'!$E$15+1,1))-AVERAGE(OFFSET($H$3,0,0,'Données projet'!$E$15+1,1))</f>
        <v>239.52247785001794</v>
      </c>
      <c r="EP8" s="60">
        <f t="shared" si="46"/>
        <v>173.69760199651617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8">
        <f t="shared" si="1"/>
        <v>183.33333333333334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189.07846666012946</v>
      </c>
      <c r="S9" s="60">
        <f ca="1">AVERAGE(OFFSET($R$3,0,0,'Données projet'!$E$9+1,1))-AVERAGE(OFFSET($H$3,0,0,'Données projet'!$E$9+1,1))</f>
        <v>516.54532596122067</v>
      </c>
      <c r="T9" s="60">
        <f t="shared" si="34"/>
        <v>273.35778700650792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1.9230769230769229</v>
      </c>
      <c r="AI9" s="14">
        <f>IF('Données projet'!$A$62&gt;35,AI8+AH9-AQ8,IF(A9&lt;'Données projet'!$A$62,$AF$205^A9,IF(A9='Données projet'!$A$62,'Données projet'!$B$62,AI8+AH9-AQ8)))</f>
        <v>2.9888766733746452</v>
      </c>
      <c r="AJ9" s="14">
        <f>AI9*VLOOKUP('Données projet'!$B$10,Paramètres!$A$1:$I$89,3,0)*VLOOKUP('Données projet'!$B$10,Paramètres!$A$1:$I$89,5,0)</f>
        <v>2.8442150423833126</v>
      </c>
      <c r="AK9" s="14">
        <f t="shared" si="35"/>
        <v>1.1605751494878871</v>
      </c>
      <c r="AL9" s="22">
        <f t="shared" si="4"/>
        <v>6.9750095841756732</v>
      </c>
      <c r="AM9" s="60">
        <f t="shared" si="5"/>
        <v>188.44526168043464</v>
      </c>
      <c r="AN9" s="60">
        <f ca="1">AVERAGE(OFFSET($AM$3,0,0,'Données projet'!$E$10+1,1))-AVERAGE(OFFSET($H$3,0,0,'Données projet'!$E$10+1,1))</f>
        <v>328.36544111680962</v>
      </c>
      <c r="AO9" s="60">
        <f t="shared" si="36"/>
        <v>226.85392900722772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</v>
      </c>
      <c r="BD9" s="13">
        <f>IF('Données projet'!$A$88&gt;35,BD8+BC9-BL8,IF(A9&lt;'Données projet'!$A$88,$BA$205^A9,IF(A9='Données projet'!$A$88,'Données projet'!$B$88,BD8+BC9-BL8)))</f>
        <v>2.4082246852806919</v>
      </c>
      <c r="BE9" s="14">
        <f>BD9*VLOOKUP('Données projet'!$B$11,Paramètres!$A$1:$I$89,3,0)*VLOOKUP('Données projet'!$B$11,Paramètres!$A$1:$I$89,5,0)</f>
        <v>2.1038250850612128</v>
      </c>
      <c r="BF9" s="14">
        <f t="shared" si="37"/>
        <v>0.88912612901456256</v>
      </c>
      <c r="BG9" s="22">
        <f t="shared" si="7"/>
        <v>5.2127233645153082</v>
      </c>
      <c r="BH9" s="60">
        <f t="shared" si="8"/>
        <v>186.68297546077429</v>
      </c>
      <c r="BI9" s="60">
        <f ca="1">AVERAGE(OFFSET($BH$3,0,0,'Données projet'!$E$11+1,1))-AVERAGE(OFFSET($H$3,0,0,'Données projet'!$E$11+1,1))</f>
        <v>296.01124173332352</v>
      </c>
      <c r="BJ9" s="60">
        <f t="shared" si="38"/>
        <v>315.50730924873733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1.7333333333333334</v>
      </c>
      <c r="BY9" s="13">
        <f>IF('Données projet'!$A$114&gt;35,BY8+BX9-CG8,IF(A9&lt;'Données projet'!$A$114,$BV$205^A9,IF(A9='Données projet'!$A$114,'Données projet'!$B$114,BY8+BX9-CG8)))</f>
        <v>3.6811993713469078</v>
      </c>
      <c r="BZ9" s="14">
        <f>BY9*VLOOKUP('Données projet'!$B$12,Paramètres!$A$1:$I$89,3,0)*VLOOKUP('Données projet'!$B$12,Paramètres!$A$1:$I$89,5,0)</f>
        <v>2.411921828106494</v>
      </c>
      <c r="CA9" s="14">
        <f t="shared" si="39"/>
        <v>1.0032477931294683</v>
      </c>
      <c r="CB9" s="22">
        <f t="shared" si="10"/>
        <v>5.9480870903193015</v>
      </c>
      <c r="CC9" s="60">
        <f t="shared" si="11"/>
        <v>187.41833918657827</v>
      </c>
      <c r="CD9" s="60">
        <f ca="1">AVERAGE(OFFSET($CC$3,0,0,'Données projet'!$E$12+1,1))-AVERAGE(OFFSET($H$3,0,0,'Données projet'!$E$12+1,1))</f>
        <v>216.42026264996392</v>
      </c>
      <c r="CE9" s="60">
        <f t="shared" si="40"/>
        <v>216.4587454288401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1.2</v>
      </c>
      <c r="CT9" s="13">
        <f>IF('Données projet'!$A$140&gt;35,CT8+CS9-DB8,IF(A9&lt;'Données projet'!$A$140,$CQ$205^A9,IF(A9='Données projet'!$A$140,'Données projet'!$B$140,CT8+CS9-DB8)))</f>
        <v>2.2620859438457455</v>
      </c>
      <c r="CU9" s="18">
        <f>CT9*VLOOKUP('Données projet'!$B$13,Paramètres!$A$1:$I$89,3,0)*VLOOKUP('Données projet'!$B$13,Paramètres!$A$1:$I$89,5,0)</f>
        <v>2.1878895248876051</v>
      </c>
      <c r="CV9" s="14">
        <f t="shared" si="41"/>
        <v>0.92044638962272363</v>
      </c>
      <c r="CW9" s="22">
        <f t="shared" si="13"/>
        <v>5.4136850511054888</v>
      </c>
      <c r="CX9" s="60">
        <f t="shared" si="14"/>
        <v>186.88393714736446</v>
      </c>
      <c r="CY9" s="60">
        <f ca="1">AVERAGE(OFFSET($CX$3,0,0,'Données projet'!$E$13+1,1))-AVERAGE(OFFSET($H$3,0,0,'Données projet'!$E$13+1,1))</f>
        <v>385.5283976785621</v>
      </c>
      <c r="CZ9" s="60">
        <f t="shared" si="42"/>
        <v>173.19148969173838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189.53057146035013</v>
      </c>
      <c r="DT9" s="60">
        <f ca="1">AVERAGE(OFFSET($DS$3,0,0,'Données projet'!$E$14+1,1))-AVERAGE(OFFSET($H$3,0,0,'Données projet'!$E$14+1,1))</f>
        <v>543.15812193567342</v>
      </c>
      <c r="DU9" s="60">
        <f t="shared" si="44"/>
        <v>286.40725588660575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1.6346153846153846</v>
      </c>
      <c r="EJ9" s="13">
        <f>IF('Données projet'!$A$192&gt;35,EJ8+EI9-ER8,IF(A9&lt;'Données projet'!$A$192,$EG$205^A9,IF(A9='Données projet'!$A$192,'Données projet'!$B$192,EJ8+EI9-ER8)))</f>
        <v>2.8466473785911686</v>
      </c>
      <c r="EK9" s="18">
        <f>EJ9*VLOOKUP('Données projet'!$B$15,Paramètres!$A$1:$I$89,3,0)*VLOOKUP('Données projet'!$B$15,Paramètres!$A$1:$I$89,5,0)</f>
        <v>1.909531061558956</v>
      </c>
      <c r="EL9" s="14">
        <f t="shared" si="45"/>
        <v>0.81616679340497278</v>
      </c>
      <c r="EM9" s="22">
        <f t="shared" si="19"/>
        <v>4.7472570973955088</v>
      </c>
      <c r="EN9" s="60">
        <f t="shared" si="20"/>
        <v>186.21750919365448</v>
      </c>
      <c r="EO9" s="60">
        <f ca="1">AVERAGE(OFFSET($EN$3,0,0,'Données projet'!$E$15+1,1))-AVERAGE(OFFSET($H$3,0,0,'Données projet'!$E$15+1,1))</f>
        <v>239.52247785001794</v>
      </c>
      <c r="EP9" s="60">
        <f t="shared" si="46"/>
        <v>173.69760199651617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8">
        <f t="shared" si="1"/>
        <v>183.33333333333334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193.23901385890804</v>
      </c>
      <c r="S10" s="60">
        <f ca="1">AVERAGE(OFFSET($R$3,0,0,'Données projet'!$E$9+1,1))-AVERAGE(OFFSET($H$3,0,0,'Données projet'!$E$9+1,1))</f>
        <v>516.54532596122067</v>
      </c>
      <c r="T10" s="60">
        <f t="shared" si="34"/>
        <v>273.35778700650792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1.9230769230769229</v>
      </c>
      <c r="AI10" s="14">
        <f>IF('Données projet'!$A$62&gt;35,AI9+AH10-AQ9,IF(A10&lt;'Données projet'!$A$62,$AF$205^A10,IF(A10='Données projet'!$A$62,'Données projet'!$B$62,AI9+AH10-AQ9)))</f>
        <v>3.5872308695690762</v>
      </c>
      <c r="AJ10" s="14">
        <f>AI10*VLOOKUP('Données projet'!$B$10,Paramètres!$A$1:$I$89,3,0)*VLOOKUP('Données projet'!$B$10,Paramètres!$A$1:$I$89,5,0)</f>
        <v>3.413608895481933</v>
      </c>
      <c r="AK10" s="14">
        <f t="shared" si="35"/>
        <v>1.3636400395095811</v>
      </c>
      <c r="AL10" s="22">
        <f t="shared" si="4"/>
        <v>8.3203752284435524</v>
      </c>
      <c r="AM10" s="60">
        <f t="shared" si="5"/>
        <v>192.4445561641798</v>
      </c>
      <c r="AN10" s="60">
        <f ca="1">AVERAGE(OFFSET($AM$3,0,0,'Données projet'!$E$10+1,1))-AVERAGE(OFFSET($H$3,0,0,'Données projet'!$E$10+1,1))</f>
        <v>328.36544111680962</v>
      </c>
      <c r="AO10" s="60">
        <f t="shared" si="36"/>
        <v>226.85392900722772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</v>
      </c>
      <c r="BD10" s="13">
        <f>IF('Données projet'!$A$88&gt;35,BD9+BC10-BL9,IF(A10&lt;'Données projet'!$A$88,$BA$205^A10,IF(A10='Données projet'!$A$88,'Données projet'!$B$88,BD9+BC10-BL9)))</f>
        <v>2.788130973628832</v>
      </c>
      <c r="BE10" s="14">
        <f>BD10*VLOOKUP('Données projet'!$B$11,Paramètres!$A$1:$I$89,3,0)*VLOOKUP('Données projet'!$B$11,Paramètres!$A$1:$I$89,5,0)</f>
        <v>2.4357112185621479</v>
      </c>
      <c r="BF10" s="14">
        <f t="shared" si="37"/>
        <v>1.0119862660170416</v>
      </c>
      <c r="BG10" s="22">
        <f t="shared" si="7"/>
        <v>6.0047397856420881</v>
      </c>
      <c r="BH10" s="60">
        <f t="shared" si="8"/>
        <v>190.12892072137834</v>
      </c>
      <c r="BI10" s="60">
        <f ca="1">AVERAGE(OFFSET($BH$3,0,0,'Données projet'!$E$11+1,1))-AVERAGE(OFFSET($H$3,0,0,'Données projet'!$E$11+1,1))</f>
        <v>296.01124173332352</v>
      </c>
      <c r="BJ10" s="60">
        <f t="shared" si="38"/>
        <v>315.50730924873733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1.7333333333333334</v>
      </c>
      <c r="BY10" s="13">
        <f>IF('Données projet'!$A$114&gt;35,BY9+BX10-CG9,IF(A10&lt;'Données projet'!$A$114,$BV$205^A10,IF(A10='Données projet'!$A$114,'Données projet'!$B$114,BY9+BX10-CG9)))</f>
        <v>4.574260521766691</v>
      </c>
      <c r="BZ10" s="14">
        <f>BY10*VLOOKUP('Données projet'!$B$12,Paramètres!$A$1:$I$89,3,0)*VLOOKUP('Données projet'!$B$12,Paramètres!$A$1:$I$89,5,0)</f>
        <v>2.9970554938615357</v>
      </c>
      <c r="CA10" s="14">
        <f t="shared" si="39"/>
        <v>1.215512911595829</v>
      </c>
      <c r="CB10" s="22">
        <f t="shared" si="10"/>
        <v>7.3368899728382431</v>
      </c>
      <c r="CC10" s="60">
        <f t="shared" si="11"/>
        <v>191.46107090857447</v>
      </c>
      <c r="CD10" s="60">
        <f ca="1">AVERAGE(OFFSET($CC$3,0,0,'Données projet'!$E$12+1,1))-AVERAGE(OFFSET($H$3,0,0,'Données projet'!$E$12+1,1))</f>
        <v>216.42026264996392</v>
      </c>
      <c r="CE10" s="60">
        <f t="shared" si="40"/>
        <v>216.4587454288401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1.2</v>
      </c>
      <c r="CT10" s="13">
        <f>IF('Données projet'!$A$140&gt;35,CT9+CS10-DB9,IF(A10&lt;'Données projet'!$A$140,$CQ$205^A10,IF(A10='Données projet'!$A$140,'Données projet'!$B$140,CT9+CS10-DB9)))</f>
        <v>2.5917550374450604</v>
      </c>
      <c r="CU10" s="18">
        <f>CT10*VLOOKUP('Données projet'!$B$13,Paramètres!$A$1:$I$89,3,0)*VLOOKUP('Données projet'!$B$13,Paramètres!$A$1:$I$89,5,0)</f>
        <v>2.5067454722168625</v>
      </c>
      <c r="CV10" s="14">
        <f t="shared" si="41"/>
        <v>1.038020360582093</v>
      </c>
      <c r="CW10" s="22">
        <f t="shared" si="13"/>
        <v>6.1738004921248475</v>
      </c>
      <c r="CX10" s="60">
        <f t="shared" si="14"/>
        <v>190.29798142786109</v>
      </c>
      <c r="CY10" s="60">
        <f ca="1">AVERAGE(OFFSET($CX$3,0,0,'Données projet'!$E$13+1,1))-AVERAGE(OFFSET($H$3,0,0,'Données projet'!$E$13+1,1))</f>
        <v>385.5283976785621</v>
      </c>
      <c r="CZ10" s="60">
        <f t="shared" si="42"/>
        <v>173.19148969173838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193.78094418601427</v>
      </c>
      <c r="DT10" s="60">
        <f ca="1">AVERAGE(OFFSET($DS$3,0,0,'Données projet'!$E$14+1,1))-AVERAGE(OFFSET($H$3,0,0,'Données projet'!$E$14+1,1))</f>
        <v>543.15812193567342</v>
      </c>
      <c r="DU10" s="60">
        <f t="shared" si="44"/>
        <v>286.40725588660575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1.6346153846153846</v>
      </c>
      <c r="EJ10" s="13">
        <f>IF('Données projet'!$A$192&gt;35,EJ9+EI10-ER9,IF(A10&lt;'Données projet'!$A$192,$EG$205^A10,IF(A10='Données projet'!$A$192,'Données projet'!$B$192,EJ9+EI10-ER9)))</f>
        <v>3.3888781384518603</v>
      </c>
      <c r="EK10" s="18">
        <f>EJ10*VLOOKUP('Données projet'!$B$15,Paramètres!$A$1:$I$89,3,0)*VLOOKUP('Données projet'!$B$15,Paramètres!$A$1:$I$89,5,0)</f>
        <v>2.2732594552735081</v>
      </c>
      <c r="EL10" s="14">
        <f t="shared" si="45"/>
        <v>0.95211000028050363</v>
      </c>
      <c r="EM10" s="22">
        <f t="shared" si="19"/>
        <v>5.6175184684232375</v>
      </c>
      <c r="EN10" s="60">
        <f t="shared" si="20"/>
        <v>189.74169940415948</v>
      </c>
      <c r="EO10" s="60">
        <f ca="1">AVERAGE(OFFSET($EN$3,0,0,'Données projet'!$E$15+1,1))-AVERAGE(OFFSET($H$3,0,0,'Données projet'!$E$15+1,1))</f>
        <v>239.52247785001794</v>
      </c>
      <c r="EP10" s="60">
        <f t="shared" si="46"/>
        <v>173.69760199651617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8">
        <f t="shared" si="1"/>
        <v>183.33333333333334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197.67412159271069</v>
      </c>
      <c r="S11" s="60">
        <f ca="1">AVERAGE(OFFSET($R$3,0,0,'Données projet'!$E$9+1,1))-AVERAGE(OFFSET($H$3,0,0,'Données projet'!$E$9+1,1))</f>
        <v>516.54532596122067</v>
      </c>
      <c r="T11" s="60">
        <f t="shared" si="34"/>
        <v>273.35778700650792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1.9230769230769229</v>
      </c>
      <c r="AI11" s="14">
        <f>IF('Données projet'!$A$62&gt;35,AI10+AH11-AQ10,IF(A11&lt;'Données projet'!$A$62,$AF$205^A11,IF(A11='Données projet'!$A$62,'Données projet'!$B$62,AI10+AH11-AQ10)))</f>
        <v>4.3053717894155232</v>
      </c>
      <c r="AJ11" s="14">
        <f>AI11*VLOOKUP('Données projet'!$B$10,Paramètres!$A$1:$I$89,3,0)*VLOOKUP('Données projet'!$B$10,Paramètres!$A$1:$I$89,5,0)</f>
        <v>4.0969917948078125</v>
      </c>
      <c r="AK11" s="14">
        <f t="shared" si="35"/>
        <v>1.6022350281877211</v>
      </c>
      <c r="AL11" s="22">
        <f t="shared" si="4"/>
        <v>9.9261533833838858</v>
      </c>
      <c r="AM11" s="60">
        <f t="shared" si="5"/>
        <v>196.67942624960443</v>
      </c>
      <c r="AN11" s="60">
        <f ca="1">AVERAGE(OFFSET($AM$3,0,0,'Données projet'!$E$10+1,1))-AVERAGE(OFFSET($H$3,0,0,'Données projet'!$E$10+1,1))</f>
        <v>328.36544111680962</v>
      </c>
      <c r="AO11" s="60">
        <f t="shared" si="36"/>
        <v>226.85392900722772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</v>
      </c>
      <c r="BD11" s="13">
        <f>IF('Données projet'!$A$88&gt;35,BD10+BC11-BL10,IF(A11&lt;'Données projet'!$A$88,$BA$205^A11,IF(A11='Données projet'!$A$88,'Données projet'!$B$88,BD10+BC11-BL10)))</f>
        <v>3.227968874176038</v>
      </c>
      <c r="BE11" s="14">
        <f>BD11*VLOOKUP('Données projet'!$B$11,Paramètres!$A$1:$I$89,3,0)*VLOOKUP('Données projet'!$B$11,Paramètres!$A$1:$I$89,5,0)</f>
        <v>2.8199536084801871</v>
      </c>
      <c r="BF11" s="14">
        <f t="shared" si="37"/>
        <v>1.1518233118873293</v>
      </c>
      <c r="BG11" s="22">
        <f t="shared" si="7"/>
        <v>6.9175114696400923</v>
      </c>
      <c r="BH11" s="60">
        <f t="shared" si="8"/>
        <v>193.67078433586065</v>
      </c>
      <c r="BI11" s="60">
        <f ca="1">AVERAGE(OFFSET($BH$3,0,0,'Données projet'!$E$11+1,1))-AVERAGE(OFFSET($H$3,0,0,'Données projet'!$E$11+1,1))</f>
        <v>296.01124173332352</v>
      </c>
      <c r="BJ11" s="60">
        <f t="shared" si="38"/>
        <v>315.50730924873733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1.7333333333333334</v>
      </c>
      <c r="BY11" s="13">
        <f>IF('Données projet'!$A$114&gt;35,BY10+BX11-CG10,IF(A11&lt;'Données projet'!$A$114,$BV$205^A11,IF(A11='Données projet'!$A$114,'Données projet'!$B$114,BY10+BX11-CG10)))</f>
        <v>5.6839788368586746</v>
      </c>
      <c r="BZ11" s="14">
        <f>BY11*VLOOKUP('Données projet'!$B$12,Paramètres!$A$1:$I$89,3,0)*VLOOKUP('Données projet'!$B$12,Paramètres!$A$1:$I$89,5,0)</f>
        <v>3.7241429339098033</v>
      </c>
      <c r="CA11" s="14">
        <f t="shared" si="39"/>
        <v>1.4726886501762813</v>
      </c>
      <c r="CB11" s="22">
        <f t="shared" si="10"/>
        <v>9.0511483422832644</v>
      </c>
      <c r="CC11" s="60">
        <f t="shared" si="11"/>
        <v>195.80442120850381</v>
      </c>
      <c r="CD11" s="60">
        <f ca="1">AVERAGE(OFFSET($CC$3,0,0,'Données projet'!$E$12+1,1))-AVERAGE(OFFSET($H$3,0,0,'Données projet'!$E$12+1,1))</f>
        <v>216.42026264996392</v>
      </c>
      <c r="CE11" s="60">
        <f t="shared" si="40"/>
        <v>216.4587454288401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1.2</v>
      </c>
      <c r="CT11" s="13">
        <f>IF('Données projet'!$A$140&gt;35,CT10+CS11-DB10,IF(A11&lt;'Données projet'!$A$140,$CQ$205^A11,IF(A11='Données projet'!$A$140,'Données projet'!$B$140,CT10+CS11-DB10)))</f>
        <v>2.9694690391391689</v>
      </c>
      <c r="CU11" s="18">
        <f>CT11*VLOOKUP('Données projet'!$B$13,Paramètres!$A$1:$I$89,3,0)*VLOOKUP('Données projet'!$B$13,Paramètres!$A$1:$I$89,5,0)</f>
        <v>2.8720704546554043</v>
      </c>
      <c r="CV11" s="14">
        <f t="shared" si="41"/>
        <v>1.1706127387002112</v>
      </c>
      <c r="CW11" s="22">
        <f t="shared" si="13"/>
        <v>7.04100656176103</v>
      </c>
      <c r="CX11" s="60">
        <f t="shared" si="14"/>
        <v>193.79427942798159</v>
      </c>
      <c r="CY11" s="60">
        <f ca="1">AVERAGE(OFFSET($CX$3,0,0,'Données projet'!$E$13+1,1))-AVERAGE(OFFSET($H$3,0,0,'Données projet'!$E$13+1,1))</f>
        <v>385.5283976785621</v>
      </c>
      <c r="CZ11" s="60">
        <f t="shared" si="42"/>
        <v>173.19148969173838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198.32378311364258</v>
      </c>
      <c r="DT11" s="60">
        <f ca="1">AVERAGE(OFFSET($DS$3,0,0,'Données projet'!$E$14+1,1))-AVERAGE(OFFSET($H$3,0,0,'Données projet'!$E$14+1,1))</f>
        <v>543.15812193567342</v>
      </c>
      <c r="DU11" s="60">
        <f t="shared" si="44"/>
        <v>286.40725588660575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1.6346153846153846</v>
      </c>
      <c r="EJ11" s="13">
        <f>IF('Données projet'!$A$192&gt;35,EJ10+EI11-ER10,IF(A11&lt;'Données projet'!$A$192,$EG$205^A11,IF(A11='Données projet'!$A$192,'Données projet'!$B$192,EJ10+EI11-ER10)))</f>
        <v>4.034393273873186</v>
      </c>
      <c r="EK11" s="18">
        <f>EJ11*VLOOKUP('Données projet'!$B$15,Paramètres!$A$1:$I$89,3,0)*VLOOKUP('Données projet'!$B$15,Paramètres!$A$1:$I$89,5,0)</f>
        <v>2.7062710081141335</v>
      </c>
      <c r="EL11" s="14">
        <f t="shared" si="45"/>
        <v>1.1106963183986573</v>
      </c>
      <c r="EM11" s="22">
        <f t="shared" si="19"/>
        <v>6.6478847603431106</v>
      </c>
      <c r="EN11" s="60">
        <f t="shared" si="20"/>
        <v>193.40115762656367</v>
      </c>
      <c r="EO11" s="60">
        <f ca="1">AVERAGE(OFFSET($EN$3,0,0,'Données projet'!$E$15+1,1))-AVERAGE(OFFSET($H$3,0,0,'Données projet'!$E$15+1,1))</f>
        <v>239.52247785001794</v>
      </c>
      <c r="EP11" s="60">
        <f t="shared" si="46"/>
        <v>173.69760199651617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8">
        <f t="shared" si="1"/>
        <v>183.33333333333334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202.44391287603133</v>
      </c>
      <c r="S12" s="60">
        <f ca="1">AVERAGE(OFFSET($R$3,0,0,'Données projet'!$E$9+1,1))-AVERAGE(OFFSET($H$3,0,0,'Données projet'!$E$9+1,1))</f>
        <v>516.54532596122067</v>
      </c>
      <c r="T12" s="60">
        <f t="shared" si="34"/>
        <v>273.35778700650792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1.9230769230769229</v>
      </c>
      <c r="AI12" s="14">
        <f>IF('Données projet'!$A$62&gt;35,AI11+AH12-AQ11,IF(A12&lt;'Données projet'!$A$62,$AF$205^A12,IF(A12='Données projet'!$A$62,'Données projet'!$B$62,AI11+AH12-AQ11)))</f>
        <v>5.1672799769705726</v>
      </c>
      <c r="AJ12" s="14">
        <f>AI12*VLOOKUP('Données projet'!$B$10,Paramètres!$A$1:$I$89,3,0)*VLOOKUP('Données projet'!$B$10,Paramètres!$A$1:$I$89,5,0)</f>
        <v>4.9171836260851967</v>
      </c>
      <c r="AK12" s="14">
        <f t="shared" si="35"/>
        <v>1.8825767879879485</v>
      </c>
      <c r="AL12" s="22">
        <f t="shared" si="4"/>
        <v>11.842916054510725</v>
      </c>
      <c r="AM12" s="60">
        <f t="shared" si="5"/>
        <v>201.20087480706681</v>
      </c>
      <c r="AN12" s="60">
        <f ca="1">AVERAGE(OFFSET($AM$3,0,0,'Données projet'!$E$10+1,1))-AVERAGE(OFFSET($H$3,0,0,'Données projet'!$E$10+1,1))</f>
        <v>328.36544111680962</v>
      </c>
      <c r="AO12" s="60">
        <f t="shared" si="36"/>
        <v>226.85392900722772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0.6</v>
      </c>
      <c r="BD12" s="13">
        <f>IF('Données projet'!$A$88&gt;35,BD11+BC12-BL11,IF(A12&lt;'Données projet'!$A$88,$BA$205^A12,IF(A12='Données projet'!$A$88,'Données projet'!$B$88,BD11+BC12-BL11)))</f>
        <v>3.7371928188465526</v>
      </c>
      <c r="BE12" s="14">
        <f>BD12*VLOOKUP('Données projet'!$B$11,Paramètres!$A$1:$I$89,3,0)*VLOOKUP('Données projet'!$B$11,Paramètres!$A$1:$I$89,5,0)</f>
        <v>3.2648116465443486</v>
      </c>
      <c r="BF12" s="14">
        <f t="shared" si="37"/>
        <v>1.310983149038857</v>
      </c>
      <c r="BG12" s="22">
        <f t="shared" si="7"/>
        <v>7.9695092689740825</v>
      </c>
      <c r="BH12" s="60">
        <f t="shared" si="8"/>
        <v>197.32746802153017</v>
      </c>
      <c r="BI12" s="60">
        <f ca="1">AVERAGE(OFFSET($BH$3,0,0,'Données projet'!$E$11+1,1))-AVERAGE(OFFSET($H$3,0,0,'Données projet'!$E$11+1,1))</f>
        <v>296.01124173332352</v>
      </c>
      <c r="BJ12" s="60">
        <f t="shared" si="38"/>
        <v>315.50730924873733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1.7333333333333334</v>
      </c>
      <c r="BY12" s="13">
        <f>IF('Données projet'!$A$114&gt;35,BY11+BX12-CG11,IF(A12&lt;'Données projet'!$A$114,$BV$205^A12,IF(A12='Données projet'!$A$114,'Données projet'!$B$114,BY11+BX12-CG11)))</f>
        <v>7.0629154732488439</v>
      </c>
      <c r="BZ12" s="14">
        <f>BY12*VLOOKUP('Données projet'!$B$12,Paramètres!$A$1:$I$89,3,0)*VLOOKUP('Données projet'!$B$12,Paramètres!$A$1:$I$89,5,0)</f>
        <v>4.6276222180726432</v>
      </c>
      <c r="CA12" s="14">
        <f t="shared" si="39"/>
        <v>1.7842771061235678</v>
      </c>
      <c r="CB12" s="22">
        <f t="shared" si="10"/>
        <v>11.167391322975069</v>
      </c>
      <c r="CC12" s="60">
        <f t="shared" si="11"/>
        <v>200.52535007553115</v>
      </c>
      <c r="CD12" s="60">
        <f ca="1">AVERAGE(OFFSET($CC$3,0,0,'Données projet'!$E$12+1,1))-AVERAGE(OFFSET($H$3,0,0,'Données projet'!$E$12+1,1))</f>
        <v>216.42026264996392</v>
      </c>
      <c r="CE12" s="60">
        <f t="shared" si="40"/>
        <v>216.4587454288401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1.2</v>
      </c>
      <c r="CT12" s="13">
        <f>IF('Données projet'!$A$140&gt;35,CT11+CS12-DB11,IF(A12&lt;'Données projet'!$A$140,$CQ$205^A12,IF(A12='Données projet'!$A$140,'Données projet'!$B$140,CT11+CS12-DB11)))</f>
        <v>3.4022298585357786</v>
      </c>
      <c r="CU12" s="18">
        <f>CT12*VLOOKUP('Données projet'!$B$13,Paramètres!$A$1:$I$89,3,0)*VLOOKUP('Données projet'!$B$13,Paramètres!$A$1:$I$89,5,0)</f>
        <v>3.2906367191758048</v>
      </c>
      <c r="CV12" s="14">
        <f t="shared" si="41"/>
        <v>1.3201419124753617</v>
      </c>
      <c r="CW12" s="22">
        <f t="shared" si="13"/>
        <v>8.0304394501257814</v>
      </c>
      <c r="CX12" s="60">
        <f t="shared" si="14"/>
        <v>197.38839820268186</v>
      </c>
      <c r="CY12" s="60">
        <f ca="1">AVERAGE(OFFSET($CX$3,0,0,'Données projet'!$E$13+1,1))-AVERAGE(OFFSET($H$3,0,0,'Données projet'!$E$13+1,1))</f>
        <v>385.5283976785621</v>
      </c>
      <c r="CZ12" s="60">
        <f t="shared" si="42"/>
        <v>173.19148969173838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203.22279147352538</v>
      </c>
      <c r="DT12" s="60">
        <f ca="1">AVERAGE(OFFSET($DS$3,0,0,'Données projet'!$E$14+1,1))-AVERAGE(OFFSET($H$3,0,0,'Données projet'!$E$14+1,1))</f>
        <v>543.15812193567342</v>
      </c>
      <c r="DU12" s="60">
        <f t="shared" si="44"/>
        <v>286.40725588660575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1.6346153846153846</v>
      </c>
      <c r="EJ12" s="13">
        <f>IF('Données projet'!$A$192&gt;35,EJ11+EI12-ER11,IF(A12&lt;'Données projet'!$A$192,$EG$205^A12,IF(A12='Données projet'!$A$192,'Données projet'!$B$192,EJ11+EI12-ER11)))</f>
        <v>4.8028664423173124</v>
      </c>
      <c r="EK12" s="18">
        <f>EJ12*VLOOKUP('Données projet'!$B$15,Paramètres!$A$1:$I$89,3,0)*VLOOKUP('Données projet'!$B$15,Paramètres!$A$1:$I$89,5,0)</f>
        <v>3.221762809506453</v>
      </c>
      <c r="EL12" s="14">
        <f t="shared" si="45"/>
        <v>1.2956972527763424</v>
      </c>
      <c r="EM12" s="22">
        <f t="shared" si="19"/>
        <v>7.8679096084758688</v>
      </c>
      <c r="EN12" s="60">
        <f t="shared" si="20"/>
        <v>197.22586836103193</v>
      </c>
      <c r="EO12" s="60">
        <f ca="1">AVERAGE(OFFSET($EN$3,0,0,'Données projet'!$E$15+1,1))-AVERAGE(OFFSET($H$3,0,0,'Données projet'!$E$15+1,1))</f>
        <v>239.52247785001794</v>
      </c>
      <c r="EP12" s="60">
        <f t="shared" si="46"/>
        <v>173.69760199651617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8">
        <f t="shared" si="1"/>
        <v>183.33333333333334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207.62044061408039</v>
      </c>
      <c r="S13" s="60">
        <f ca="1">AVERAGE(OFFSET($R$3,0,0,'Données projet'!$E$9+1,1))-AVERAGE(OFFSET($H$3,0,0,'Données projet'!$E$9+1,1))</f>
        <v>516.54532596122067</v>
      </c>
      <c r="T13" s="60">
        <f t="shared" si="34"/>
        <v>273.35778700650792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1.9230769230769229</v>
      </c>
      <c r="AI13" s="14">
        <f>IF('Données projet'!$A$62&gt;35,AI12+AH13-AQ12,IF(A13&lt;'Données projet'!$A$62,$AF$205^A13,IF(A13='Données projet'!$A$62,'Données projet'!$B$62,AI12+AH13-AQ12)))</f>
        <v>6.201736729460424</v>
      </c>
      <c r="AJ13" s="14">
        <f>AI13*VLOOKUP('Données projet'!$B$10,Paramètres!$A$1:$I$89,3,0)*VLOOKUP('Données projet'!$B$10,Paramètres!$A$1:$I$89,5,0)</f>
        <v>5.9015726717545389</v>
      </c>
      <c r="AK13" s="14">
        <f t="shared" si="35"/>
        <v>2.2119697175012623</v>
      </c>
      <c r="AL13" s="22">
        <f t="shared" si="4"/>
        <v>14.131086327953852</v>
      </c>
      <c r="AM13" s="60">
        <f t="shared" si="5"/>
        <v>206.06974831299874</v>
      </c>
      <c r="AN13" s="60">
        <f ca="1">AVERAGE(OFFSET($AM$3,0,0,'Données projet'!$E$10+1,1))-AVERAGE(OFFSET($H$3,0,0,'Données projet'!$E$10+1,1))</f>
        <v>328.36544111680962</v>
      </c>
      <c r="AO13" s="60">
        <f t="shared" si="36"/>
        <v>226.85392900722772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0.6</v>
      </c>
      <c r="BD13" s="13">
        <f>IF('Données projet'!$A$88&gt;35,BD12+BC13-BL12,IF(A13&lt;'Données projet'!$A$88,$BA$205^A13,IF(A13='Données projet'!$A$88,'Données projet'!$B$88,BD12+BC13-BL12)))</f>
        <v>4.3267487109222253</v>
      </c>
      <c r="BE13" s="14">
        <f>BD13*VLOOKUP('Données projet'!$B$11,Paramètres!$A$1:$I$89,3,0)*VLOOKUP('Données projet'!$B$11,Paramètres!$A$1:$I$89,5,0)</f>
        <v>3.7798476738616569</v>
      </c>
      <c r="BF13" s="14">
        <f t="shared" si="37"/>
        <v>1.4921358157334794</v>
      </c>
      <c r="BG13" s="22">
        <f t="shared" si="7"/>
        <v>9.182037911044862</v>
      </c>
      <c r="BH13" s="60">
        <f t="shared" si="8"/>
        <v>201.12069989608975</v>
      </c>
      <c r="BI13" s="60">
        <f ca="1">AVERAGE(OFFSET($BH$3,0,0,'Données projet'!$E$11+1,1))-AVERAGE(OFFSET($H$3,0,0,'Données projet'!$E$11+1,1))</f>
        <v>296.01124173332352</v>
      </c>
      <c r="BJ13" s="60">
        <f t="shared" si="38"/>
        <v>315.50730924873733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1.7333333333333334</v>
      </c>
      <c r="BY13" s="13">
        <f>IF('Données projet'!$A$114&gt;35,BY12+BX13-CG12,IF(A13&lt;'Données projet'!$A$114,$BV$205^A13,IF(A13='Données projet'!$A$114,'Données projet'!$B$114,BY12+BX13-CG12)))</f>
        <v>8.7763829553291259</v>
      </c>
      <c r="BZ13" s="14">
        <f>BY13*VLOOKUP('Données projet'!$B$12,Paramètres!$A$1:$I$89,3,0)*VLOOKUP('Données projet'!$B$12,Paramètres!$A$1:$I$89,5,0)</f>
        <v>5.7502861123316436</v>
      </c>
      <c r="CA13" s="14">
        <f t="shared" si="39"/>
        <v>2.1617908110146771</v>
      </c>
      <c r="CB13" s="22">
        <f t="shared" si="10"/>
        <v>13.780200641494842</v>
      </c>
      <c r="CC13" s="60">
        <f t="shared" si="11"/>
        <v>205.71886262653973</v>
      </c>
      <c r="CD13" s="60">
        <f ca="1">AVERAGE(OFFSET($CC$3,0,0,'Données projet'!$E$12+1,1))-AVERAGE(OFFSET($H$3,0,0,'Données projet'!$E$12+1,1))</f>
        <v>216.42026264996392</v>
      </c>
      <c r="CE13" s="60">
        <f t="shared" si="40"/>
        <v>216.4587454288401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1.2</v>
      </c>
      <c r="CT13" s="13">
        <f>IF('Données projet'!$A$140&gt;35,CT12+CS13-DB12,IF(A13&lt;'Données projet'!$A$140,$CQ$205^A13,IF(A13='Données projet'!$A$140,'Données projet'!$B$140,CT12+CS13-DB12)))</f>
        <v>3.8980598409161908</v>
      </c>
      <c r="CU13" s="18">
        <f>CT13*VLOOKUP('Données projet'!$B$13,Paramètres!$A$1:$I$89,3,0)*VLOOKUP('Données projet'!$B$13,Paramètres!$A$1:$I$89,5,0)</f>
        <v>3.7702034781341398</v>
      </c>
      <c r="CV13" s="14">
        <f t="shared" si="41"/>
        <v>1.4887713173266797</v>
      </c>
      <c r="CW13" s="22">
        <f t="shared" si="13"/>
        <v>9.1593811020942599</v>
      </c>
      <c r="CX13" s="60">
        <f t="shared" si="14"/>
        <v>201.09804308713916</v>
      </c>
      <c r="CY13" s="60">
        <f ca="1">AVERAGE(OFFSET($CX$3,0,0,'Données projet'!$E$13+1,1))-AVERAGE(OFFSET($H$3,0,0,'Données projet'!$E$13+1,1))</f>
        <v>385.5283976785621</v>
      </c>
      <c r="CZ13" s="60">
        <f t="shared" si="42"/>
        <v>173.19148969173838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208.55432026947594</v>
      </c>
      <c r="DT13" s="60">
        <f ca="1">AVERAGE(OFFSET($DS$3,0,0,'Données projet'!$E$14+1,1))-AVERAGE(OFFSET($H$3,0,0,'Données projet'!$E$14+1,1))</f>
        <v>543.15812193567342</v>
      </c>
      <c r="DU13" s="60">
        <f t="shared" si="44"/>
        <v>286.40725588660575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1.6346153846153846</v>
      </c>
      <c r="EJ13" s="13">
        <f>IF('Données projet'!$A$192&gt;35,EJ12+EI13-ER12,IF(A13&lt;'Données projet'!$A$192,$EG$205^A13,IF(A13='Données projet'!$A$192,'Données projet'!$B$192,EJ12+EI13-ER12)))</f>
        <v>5.7177187489686574</v>
      </c>
      <c r="EK13" s="18">
        <f>EJ13*VLOOKUP('Données projet'!$B$15,Paramètres!$A$1:$I$89,3,0)*VLOOKUP('Données projet'!$B$15,Paramètres!$A$1:$I$89,5,0)</f>
        <v>3.8354457368081754</v>
      </c>
      <c r="EL13" s="14">
        <f t="shared" si="45"/>
        <v>1.5115125017003845</v>
      </c>
      <c r="EM13" s="22">
        <f t="shared" si="19"/>
        <v>9.3126189320690731</v>
      </c>
      <c r="EN13" s="60">
        <f t="shared" si="20"/>
        <v>201.25128091711397</v>
      </c>
      <c r="EO13" s="60">
        <f ca="1">AVERAGE(OFFSET($EN$3,0,0,'Données projet'!$E$15+1,1))-AVERAGE(OFFSET($H$3,0,0,'Données projet'!$E$15+1,1))</f>
        <v>239.52247785001794</v>
      </c>
      <c r="EP13" s="60">
        <f t="shared" si="46"/>
        <v>173.69760199651617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8">
        <f t="shared" si="1"/>
        <v>183.33333333333334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213.29008170735133</v>
      </c>
      <c r="S14" s="60">
        <f ca="1">AVERAGE(OFFSET($R$3,0,0,'Données projet'!$E$9+1,1))-AVERAGE(OFFSET($H$3,0,0,'Données projet'!$E$9+1,1))</f>
        <v>516.54532596122067</v>
      </c>
      <c r="T14" s="60">
        <f t="shared" si="34"/>
        <v>273.35778700650792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1.9230769230769229</v>
      </c>
      <c r="AI14" s="14">
        <f>IF('Données projet'!$A$62&gt;35,AI13+AH14-AQ13,IF(A14&lt;'Données projet'!$A$62,$AF$205^A14,IF(A14='Données projet'!$A$62,'Données projet'!$B$62,AI13+AH14-AQ13)))</f>
        <v>7.4432851776859525</v>
      </c>
      <c r="AJ14" s="14">
        <f>AI14*VLOOKUP('Données projet'!$B$10,Paramètres!$A$1:$I$89,3,0)*VLOOKUP('Données projet'!$B$10,Paramètres!$A$1:$I$89,5,0)</f>
        <v>7.0830301750859528</v>
      </c>
      <c r="AK14" s="14">
        <f t="shared" si="35"/>
        <v>2.5989962599995353</v>
      </c>
      <c r="AL14" s="22">
        <f t="shared" si="4"/>
        <v>16.862862707773889</v>
      </c>
      <c r="AM14" s="60">
        <f t="shared" si="5"/>
        <v>211.35866131688803</v>
      </c>
      <c r="AN14" s="60">
        <f ca="1">AVERAGE(OFFSET($AM$3,0,0,'Données projet'!$E$10+1,1))-AVERAGE(OFFSET($H$3,0,0,'Données projet'!$E$10+1,1))</f>
        <v>328.36544111680962</v>
      </c>
      <c r="AO14" s="60">
        <f t="shared" si="36"/>
        <v>226.85392900722772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0.6</v>
      </c>
      <c r="BD14" s="13">
        <f>IF('Données projet'!$A$88&gt;35,BD13+BC14-BL13,IF(A14&lt;'Données projet'!$A$88,$BA$205^A14,IF(A14='Données projet'!$A$88,'Données projet'!$B$88,BD13+BC14-BL13)))</f>
        <v>5.0093092101266317</v>
      </c>
      <c r="BE14" s="14">
        <f>BD14*VLOOKUP('Données projet'!$B$11,Paramètres!$A$1:$I$89,3,0)*VLOOKUP('Données projet'!$B$11,Paramètres!$A$1:$I$89,5,0)</f>
        <v>4.3761325259666259</v>
      </c>
      <c r="BF14" s="14">
        <f t="shared" si="37"/>
        <v>1.69832029818762</v>
      </c>
      <c r="BG14" s="22">
        <f t="shared" si="7"/>
        <v>10.579672002068646</v>
      </c>
      <c r="BH14" s="60">
        <f t="shared" si="8"/>
        <v>205.07547061118277</v>
      </c>
      <c r="BI14" s="60">
        <f ca="1">AVERAGE(OFFSET($BH$3,0,0,'Données projet'!$E$11+1,1))-AVERAGE(OFFSET($H$3,0,0,'Données projet'!$E$11+1,1))</f>
        <v>296.01124173332352</v>
      </c>
      <c r="BJ14" s="60">
        <f t="shared" si="38"/>
        <v>315.50730924873733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1.7333333333333334</v>
      </c>
      <c r="BY14" s="13">
        <f>IF('Données projet'!$A$114&gt;35,BY13+BX14-CG13,IF(A14&lt;'Données projet'!$A$114,$BV$205^A14,IF(A14='Données projet'!$A$114,'Données projet'!$B$114,BY13+BX14-CG13)))</f>
        <v>10.905538664638895</v>
      </c>
      <c r="BZ14" s="14">
        <f>BY14*VLOOKUP('Données projet'!$B$12,Paramètres!$A$1:$I$89,3,0)*VLOOKUP('Données projet'!$B$12,Paramètres!$A$1:$I$89,5,0)</f>
        <v>7.145308933071405</v>
      </c>
      <c r="CA14" s="14">
        <f t="shared" si="39"/>
        <v>2.6191780943379137</v>
      </c>
      <c r="CB14" s="22">
        <f t="shared" si="10"/>
        <v>17.006481572737897</v>
      </c>
      <c r="CC14" s="60">
        <f t="shared" si="11"/>
        <v>211.50228018185203</v>
      </c>
      <c r="CD14" s="60">
        <f ca="1">AVERAGE(OFFSET($CC$3,0,0,'Données projet'!$E$12+1,1))-AVERAGE(OFFSET($H$3,0,0,'Données projet'!$E$12+1,1))</f>
        <v>216.42026264996392</v>
      </c>
      <c r="CE14" s="60">
        <f t="shared" si="40"/>
        <v>216.4587454288401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1.2</v>
      </c>
      <c r="CT14" s="13">
        <f>IF('Données projet'!$A$140&gt;35,CT13+CS14-DB13,IF(A14&lt;'Données projet'!$A$140,$CQ$205^A14,IF(A14='Données projet'!$A$140,'Données projet'!$B$140,CT13+CS14-DB13)))</f>
        <v>4.4661504822319662</v>
      </c>
      <c r="CU14" s="18">
        <f>CT14*VLOOKUP('Données projet'!$B$13,Paramètres!$A$1:$I$89,3,0)*VLOOKUP('Données projet'!$B$13,Paramètres!$A$1:$I$89,5,0)</f>
        <v>4.3196607464147583</v>
      </c>
      <c r="CV14" s="14">
        <f t="shared" si="41"/>
        <v>1.6789407368626241</v>
      </c>
      <c r="CW14" s="22">
        <f t="shared" si="13"/>
        <v>10.44756425004144</v>
      </c>
      <c r="CX14" s="60">
        <f t="shared" si="14"/>
        <v>204.94336285915557</v>
      </c>
      <c r="CY14" s="60">
        <f ca="1">AVERAGE(OFFSET($CX$3,0,0,'Données projet'!$E$13+1,1))-AVERAGE(OFFSET($H$3,0,0,'Données projet'!$E$13+1,1))</f>
        <v>385.5283976785621</v>
      </c>
      <c r="CZ14" s="60">
        <f t="shared" si="42"/>
        <v>173.19148969173838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214.40990670213833</v>
      </c>
      <c r="DT14" s="60">
        <f ca="1">AVERAGE(OFFSET($DS$3,0,0,'Données projet'!$E$14+1,1))-AVERAGE(OFFSET($H$3,0,0,'Données projet'!$E$14+1,1))</f>
        <v>543.15812193567342</v>
      </c>
      <c r="DU14" s="60">
        <f t="shared" si="44"/>
        <v>286.40725588660575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1.6346153846153846</v>
      </c>
      <c r="EJ14" s="13">
        <f>IF('Données projet'!$A$192&gt;35,EJ13+EI14-ER13,IF(A14&lt;'Données projet'!$A$192,$EG$205^A14,IF(A14='Données projet'!$A$192,'Données projet'!$B$192,EJ13+EI14-ER13)))</f>
        <v>6.8068325623758437</v>
      </c>
      <c r="EK14" s="18">
        <f>EJ14*VLOOKUP('Données projet'!$B$15,Paramètres!$A$1:$I$89,3,0)*VLOOKUP('Données projet'!$B$15,Paramètres!$A$1:$I$89,5,0)</f>
        <v>4.5660232828417167</v>
      </c>
      <c r="EL14" s="14">
        <f t="shared" si="45"/>
        <v>1.7632745904964304</v>
      </c>
      <c r="EM14" s="22">
        <f t="shared" si="19"/>
        <v>11.023527129397273</v>
      </c>
      <c r="EN14" s="60">
        <f t="shared" si="20"/>
        <v>205.51932573851141</v>
      </c>
      <c r="EO14" s="60">
        <f ca="1">AVERAGE(OFFSET($EN$3,0,0,'Données projet'!$E$15+1,1))-AVERAGE(OFFSET($H$3,0,0,'Données projet'!$E$15+1,1))</f>
        <v>239.52247785001794</v>
      </c>
      <c r="EP14" s="60">
        <f t="shared" si="46"/>
        <v>173.69760199651617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8">
        <f t="shared" si="1"/>
        <v>183.33333333333334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219.55641249162716</v>
      </c>
      <c r="S15" s="60">
        <f ca="1">AVERAGE(OFFSET($R$3,0,0,'Données projet'!$E$9+1,1))-AVERAGE(OFFSET($H$3,0,0,'Données projet'!$E$9+1,1))</f>
        <v>516.54532596122067</v>
      </c>
      <c r="T15" s="60">
        <f t="shared" si="34"/>
        <v>273.35778700650792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1.9230769230769229</v>
      </c>
      <c r="AI15" s="14">
        <f>IF('Données projet'!$A$62&gt;35,AI14+AH15-AQ14,IF(A15&lt;'Données projet'!$A$62,$AF$205^A15,IF(A15='Données projet'!$A$62,'Données projet'!$B$62,AI14+AH15-AQ14)))</f>
        <v>8.9333837686430861</v>
      </c>
      <c r="AJ15" s="14">
        <f>AI15*VLOOKUP('Données projet'!$B$10,Paramètres!$A$1:$I$89,3,0)*VLOOKUP('Données projet'!$B$10,Paramètres!$A$1:$I$89,5,0)</f>
        <v>8.5010079942407604</v>
      </c>
      <c r="AK15" s="14">
        <f t="shared" si="35"/>
        <v>3.0537405218739009</v>
      </c>
      <c r="AL15" s="22">
        <f t="shared" si="4"/>
        <v>20.124520332233033</v>
      </c>
      <c r="AM15" s="60">
        <f t="shared" si="5"/>
        <v>217.15429778496591</v>
      </c>
      <c r="AN15" s="60">
        <f ca="1">AVERAGE(OFFSET($AM$3,0,0,'Données projet'!$E$10+1,1))-AVERAGE(OFFSET($H$3,0,0,'Données projet'!$E$10+1,1))</f>
        <v>328.36544111680962</v>
      </c>
      <c r="AO15" s="60">
        <f t="shared" si="36"/>
        <v>226.85392900722772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0.6</v>
      </c>
      <c r="BD15" s="13">
        <f>IF('Données projet'!$A$88&gt;35,BD14+BC15-BL14,IF(A15&lt;'Données projet'!$A$88,$BA$205^A15,IF(A15='Données projet'!$A$88,'Données projet'!$B$88,BD14+BC15-BL14)))</f>
        <v>5.799546134795289</v>
      </c>
      <c r="BE15" s="14">
        <f>BD15*VLOOKUP('Données projet'!$B$11,Paramètres!$A$1:$I$89,3,0)*VLOOKUP('Données projet'!$B$11,Paramètres!$A$1:$I$89,5,0)</f>
        <v>5.0664835033571656</v>
      </c>
      <c r="BF15" s="14">
        <f t="shared" si="37"/>
        <v>1.9329955120863267</v>
      </c>
      <c r="BG15" s="22">
        <f t="shared" si="7"/>
        <v>12.190759285230749</v>
      </c>
      <c r="BH15" s="60">
        <f t="shared" si="8"/>
        <v>209.22053673796361</v>
      </c>
      <c r="BI15" s="60">
        <f ca="1">AVERAGE(OFFSET($BH$3,0,0,'Données projet'!$E$11+1,1))-AVERAGE(OFFSET($H$3,0,0,'Données projet'!$E$11+1,1))</f>
        <v>296.01124173332352</v>
      </c>
      <c r="BJ15" s="60">
        <f t="shared" si="38"/>
        <v>315.50730924873733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1.7333333333333334</v>
      </c>
      <c r="BY15" s="13">
        <f>IF('Données projet'!$A$114&gt;35,BY14+BX15-CG14,IF(A15&lt;'Données projet'!$A$114,$BV$205^A15,IF(A15='Données projet'!$A$114,'Données projet'!$B$114,BY14+BX15-CG14)))</f>
        <v>13.551228811604867</v>
      </c>
      <c r="BZ15" s="14">
        <f>BY15*VLOOKUP('Données projet'!$B$12,Paramètres!$A$1:$I$89,3,0)*VLOOKUP('Données projet'!$B$12,Paramètres!$A$1:$I$89,5,0)</f>
        <v>8.8787651173635087</v>
      </c>
      <c r="CA15" s="14">
        <f t="shared" si="39"/>
        <v>3.1733384446387176</v>
      </c>
      <c r="CB15" s="22">
        <f t="shared" si="10"/>
        <v>20.990747037153877</v>
      </c>
      <c r="CC15" s="60">
        <f t="shared" si="11"/>
        <v>218.02052448988675</v>
      </c>
      <c r="CD15" s="60">
        <f ca="1">AVERAGE(OFFSET($CC$3,0,0,'Données projet'!$E$12+1,1))-AVERAGE(OFFSET($H$3,0,0,'Données projet'!$E$12+1,1))</f>
        <v>216.42026264996392</v>
      </c>
      <c r="CE15" s="60">
        <f t="shared" si="40"/>
        <v>216.4587454288401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1.2</v>
      </c>
      <c r="CT15" s="13">
        <f>IF('Données projet'!$A$140&gt;35,CT14+CS15-DB14,IF(A15&lt;'Données projet'!$A$140,$CQ$205^A15,IF(A15='Données projet'!$A$140,'Données projet'!$B$140,CT14+CS15-DB14)))</f>
        <v>5.1170328173444979</v>
      </c>
      <c r="CU15" s="18">
        <f>CT15*VLOOKUP('Données projet'!$B$13,Paramètres!$A$1:$I$89,3,0)*VLOOKUP('Données projet'!$B$13,Paramètres!$A$1:$I$89,5,0)</f>
        <v>4.9491941409355986</v>
      </c>
      <c r="CV15" s="14">
        <f t="shared" si="41"/>
        <v>1.8934016024425293</v>
      </c>
      <c r="CW15" s="22">
        <f t="shared" si="13"/>
        <v>11.917520919716907</v>
      </c>
      <c r="CX15" s="60">
        <f t="shared" si="14"/>
        <v>208.94729837244978</v>
      </c>
      <c r="CY15" s="60">
        <f ca="1">AVERAGE(OFFSET($CX$3,0,0,'Données projet'!$E$13+1,1))-AVERAGE(OFFSET($H$3,0,0,'Données projet'!$E$13+1,1))</f>
        <v>385.5283976785621</v>
      </c>
      <c r="CZ15" s="60">
        <f t="shared" si="42"/>
        <v>173.19148969173838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220.89932300937437</v>
      </c>
      <c r="DT15" s="60">
        <f ca="1">AVERAGE(OFFSET($DS$3,0,0,'Données projet'!$E$14+1,1))-AVERAGE(OFFSET($H$3,0,0,'Données projet'!$E$14+1,1))</f>
        <v>543.15812193567342</v>
      </c>
      <c r="DU15" s="60">
        <f t="shared" si="44"/>
        <v>286.40725588660575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1.6346153846153846</v>
      </c>
      <c r="EJ15" s="13">
        <f>IF('Données projet'!$A$192&gt;35,EJ14+EI15-ER14,IF(A15&lt;'Données projet'!$A$192,$EG$205^A15,IF(A15='Données projet'!$A$192,'Données projet'!$B$192,EJ14+EI15-ER14)))</f>
        <v>8.1034012980399712</v>
      </c>
      <c r="EK15" s="18">
        <f>EJ15*VLOOKUP('Données projet'!$B$15,Paramètres!$A$1:$I$89,3,0)*VLOOKUP('Données projet'!$B$15,Paramètres!$A$1:$I$89,5,0)</f>
        <v>5.435761590725213</v>
      </c>
      <c r="EL15" s="14">
        <f t="shared" si="45"/>
        <v>2.0569709334145188</v>
      </c>
      <c r="EM15" s="22">
        <f t="shared" si="19"/>
        <v>13.049842479543365</v>
      </c>
      <c r="EN15" s="60">
        <f t="shared" si="20"/>
        <v>210.07961993227624</v>
      </c>
      <c r="EO15" s="60">
        <f ca="1">AVERAGE(OFFSET($EN$3,0,0,'Données projet'!$E$15+1,1))-AVERAGE(OFFSET($H$3,0,0,'Données projet'!$E$15+1,1))</f>
        <v>239.52247785001794</v>
      </c>
      <c r="EP15" s="60">
        <f t="shared" si="46"/>
        <v>173.69760199651617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8">
        <f t="shared" si="1"/>
        <v>183.33333333333334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226.54366252015072</v>
      </c>
      <c r="S16" s="60">
        <f ca="1">AVERAGE(OFFSET($R$3,0,0,'Données projet'!$E$9+1,1))-AVERAGE(OFFSET($H$3,0,0,'Données projet'!$E$9+1,1))</f>
        <v>516.54532596122067</v>
      </c>
      <c r="T16" s="60">
        <f t="shared" si="34"/>
        <v>273.35778700650792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1.9230769230769229</v>
      </c>
      <c r="AI16" s="14">
        <f>IF('Données projet'!$A$62&gt;35,AI15+AH16-AQ15,IF(A16&lt;'Données projet'!$A$62,$AF$205^A16,IF(A16='Données projet'!$A$62,'Données projet'!$B$62,AI15+AH16-AQ15)))</f>
        <v>10.721790668064457</v>
      </c>
      <c r="AJ16" s="14">
        <f>AI16*VLOOKUP('Données projet'!$B$10,Paramètres!$A$1:$I$89,3,0)*VLOOKUP('Données projet'!$B$10,Paramètres!$A$1:$I$89,5,0)</f>
        <v>10.202855999730138</v>
      </c>
      <c r="AK16" s="14">
        <f t="shared" si="35"/>
        <v>3.5880510174094495</v>
      </c>
      <c r="AL16" s="22">
        <f t="shared" si="4"/>
        <v>24.019163054851447</v>
      </c>
      <c r="AM16" s="60">
        <f t="shared" si="5"/>
        <v>223.56016330647026</v>
      </c>
      <c r="AN16" s="60">
        <f ca="1">AVERAGE(OFFSET($AM$3,0,0,'Données projet'!$E$10+1,1))-AVERAGE(OFFSET($H$3,0,0,'Données projet'!$E$10+1,1))</f>
        <v>328.36544111680962</v>
      </c>
      <c r="AO16" s="60">
        <f t="shared" si="36"/>
        <v>226.85392900722772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0.6</v>
      </c>
      <c r="BD16" s="13">
        <f>IF('Données projet'!$A$88&gt;35,BD15+BC16-BL15,IF(A16&lt;'Données projet'!$A$88,$BA$205^A16,IF(A16='Données projet'!$A$88,'Données projet'!$B$88,BD15+BC16-BL15)))</f>
        <v>6.7144458364886441</v>
      </c>
      <c r="BE16" s="14">
        <f>BD16*VLOOKUP('Données projet'!$B$11,Paramètres!$A$1:$I$89,3,0)*VLOOKUP('Données projet'!$B$11,Paramètres!$A$1:$I$89,5,0)</f>
        <v>5.86573988275648</v>
      </c>
      <c r="BF16" s="14">
        <f t="shared" si="37"/>
        <v>2.2000983287624218</v>
      </c>
      <c r="BG16" s="22">
        <f t="shared" si="7"/>
        <v>14.048001551728753</v>
      </c>
      <c r="BH16" s="60">
        <f t="shared" si="8"/>
        <v>213.58900180334757</v>
      </c>
      <c r="BI16" s="60">
        <f ca="1">AVERAGE(OFFSET($BH$3,0,0,'Données projet'!$E$11+1,1))-AVERAGE(OFFSET($H$3,0,0,'Données projet'!$E$11+1,1))</f>
        <v>296.01124173332352</v>
      </c>
      <c r="BJ16" s="60">
        <f t="shared" si="38"/>
        <v>315.50730924873733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1.7333333333333334</v>
      </c>
      <c r="BY16" s="13">
        <f>IF('Données projet'!$A$114&gt;35,BY15+BX16-CG15,IF(A16&lt;'Données projet'!$A$114,$BV$205^A16,IF(A16='Données projet'!$A$114,'Données projet'!$B$114,BY15+BX16-CG15)))</f>
        <v>16.838764957104519</v>
      </c>
      <c r="BZ16" s="14">
        <f>BY16*VLOOKUP('Données projet'!$B$12,Paramètres!$A$1:$I$89,3,0)*VLOOKUP('Données projet'!$B$12,Paramètres!$A$1:$I$89,5,0)</f>
        <v>11.03275879989488</v>
      </c>
      <c r="CA16" s="14">
        <f t="shared" si="39"/>
        <v>3.8447469097238414</v>
      </c>
      <c r="CB16" s="22">
        <f t="shared" si="10"/>
        <v>25.911655777585938</v>
      </c>
      <c r="CC16" s="60">
        <f t="shared" si="11"/>
        <v>225.45265602920475</v>
      </c>
      <c r="CD16" s="60">
        <f ca="1">AVERAGE(OFFSET($CC$3,0,0,'Données projet'!$E$12+1,1))-AVERAGE(OFFSET($H$3,0,0,'Données projet'!$E$12+1,1))</f>
        <v>216.42026264996392</v>
      </c>
      <c r="CE16" s="60">
        <f t="shared" si="40"/>
        <v>216.4587454288401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1.2</v>
      </c>
      <c r="CT16" s="13">
        <f>IF('Données projet'!$A$140&gt;35,CT15+CS16-DB15,IF(A16&lt;'Données projet'!$A$140,$CQ$205^A16,IF(A16='Données projet'!$A$140,'Données projet'!$B$140,CT15+CS16-DB15)))</f>
        <v>5.8627726400958746</v>
      </c>
      <c r="CU16" s="18">
        <f>CT16*VLOOKUP('Données projet'!$B$13,Paramètres!$A$1:$I$89,3,0)*VLOOKUP('Données projet'!$B$13,Paramètres!$A$1:$I$89,5,0)</f>
        <v>5.6704736975007304</v>
      </c>
      <c r="CV16" s="14">
        <f t="shared" si="41"/>
        <v>2.1352568017564701</v>
      </c>
      <c r="CW16" s="22">
        <f t="shared" si="13"/>
        <v>13.594980619539625</v>
      </c>
      <c r="CX16" s="60">
        <f t="shared" si="14"/>
        <v>213.13598087115844</v>
      </c>
      <c r="CY16" s="60">
        <f ca="1">AVERAGE(OFFSET($CX$3,0,0,'Données projet'!$E$13+1,1))-AVERAGE(OFFSET($H$3,0,0,'Données projet'!$E$13+1,1))</f>
        <v>385.5283976785621</v>
      </c>
      <c r="CZ16" s="60">
        <f t="shared" si="42"/>
        <v>173.19148969173838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228.15423860329571</v>
      </c>
      <c r="DT16" s="60">
        <f ca="1">AVERAGE(OFFSET($DS$3,0,0,'Données projet'!$E$14+1,1))-AVERAGE(OFFSET($H$3,0,0,'Données projet'!$E$14+1,1))</f>
        <v>543.15812193567342</v>
      </c>
      <c r="DU16" s="60">
        <f t="shared" si="44"/>
        <v>286.40725588660575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1.6346153846153846</v>
      </c>
      <c r="EJ16" s="13">
        <f>IF('Données projet'!$A$192&gt;35,EJ15+EI16-ER15,IF(A16&lt;'Données projet'!$A$192,$EG$205^A16,IF(A16='Données projet'!$A$192,'Données projet'!$B$192,EJ15+EI16-ER15)))</f>
        <v>9.6469410691889088</v>
      </c>
      <c r="EK16" s="18">
        <f>EJ16*VLOOKUP('Données projet'!$B$15,Paramètres!$A$1:$I$89,3,0)*VLOOKUP('Données projet'!$B$15,Paramètres!$A$1:$I$89,5,0)</f>
        <v>6.4711680692119211</v>
      </c>
      <c r="EL16" s="14">
        <f t="shared" si="45"/>
        <v>2.399586226511079</v>
      </c>
      <c r="EM16" s="22">
        <f t="shared" si="19"/>
        <v>15.449897065050889</v>
      </c>
      <c r="EN16" s="60">
        <f t="shared" si="20"/>
        <v>214.9908973166697</v>
      </c>
      <c r="EO16" s="60">
        <f ca="1">AVERAGE(OFFSET($EN$3,0,0,'Données projet'!$E$15+1,1))-AVERAGE(OFFSET($H$3,0,0,'Données projet'!$E$15+1,1))</f>
        <v>239.52247785001794</v>
      </c>
      <c r="EP16" s="60">
        <f t="shared" si="46"/>
        <v>173.69760199651617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8">
        <f t="shared" si="1"/>
        <v>183.33333333333334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234.400863286803</v>
      </c>
      <c r="S17" s="60">
        <f ca="1">AVERAGE(OFFSET($R$3,0,0,'Données projet'!$E$9+1,1))-AVERAGE(OFFSET($H$3,0,0,'Données projet'!$E$9+1,1))</f>
        <v>516.54532596122067</v>
      </c>
      <c r="T17" s="60">
        <f t="shared" si="34"/>
        <v>273.35778700650792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1.9230769230769229</v>
      </c>
      <c r="AI17" s="14">
        <f>IF('Données projet'!$A$62&gt;35,AI16+AH17-AQ16,IF(A17&lt;'Données projet'!$A$62,$AF$205^A17,IF(A17='Données projet'!$A$62,'Données projet'!$B$62,AI16+AH17-AQ16)))</f>
        <v>12.868225311589313</v>
      </c>
      <c r="AJ17" s="14">
        <f>AI17*VLOOKUP('Données projet'!$B$10,Paramètres!$A$1:$I$89,3,0)*VLOOKUP('Données projet'!$B$10,Paramètres!$A$1:$I$89,5,0)</f>
        <v>12.24540320650839</v>
      </c>
      <c r="AK17" s="14">
        <f t="shared" si="35"/>
        <v>4.2158493857994523</v>
      </c>
      <c r="AL17" s="22">
        <f t="shared" si="4"/>
        <v>28.670014931602825</v>
      </c>
      <c r="AM17" s="60">
        <f t="shared" si="5"/>
        <v>230.69987670387601</v>
      </c>
      <c r="AN17" s="60">
        <f ca="1">AVERAGE(OFFSET($AM$3,0,0,'Données projet'!$E$10+1,1))-AVERAGE(OFFSET($H$3,0,0,'Données projet'!$E$10+1,1))</f>
        <v>328.36544111680962</v>
      </c>
      <c r="AO17" s="60">
        <f t="shared" si="36"/>
        <v>226.85392900722772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0.6</v>
      </c>
      <c r="BD17" s="13">
        <f>IF('Données projet'!$A$88&gt;35,BD16+BC17-BL16,IF(A17&lt;'Données projet'!$A$88,$BA$205^A17,IF(A17='Données projet'!$A$88,'Données projet'!$B$88,BD16+BC17-BL16)))</f>
        <v>7.7736743261084582</v>
      </c>
      <c r="BE17" s="14">
        <f>BD17*VLOOKUP('Données projet'!$B$11,Paramètres!$A$1:$I$89,3,0)*VLOOKUP('Données projet'!$B$11,Paramètres!$A$1:$I$89,5,0)</f>
        <v>6.7910818912883508</v>
      </c>
      <c r="BF17" s="14">
        <f t="shared" si="37"/>
        <v>2.5041096194780144</v>
      </c>
      <c r="BG17" s="22">
        <f t="shared" si="7"/>
        <v>16.189125214584752</v>
      </c>
      <c r="BH17" s="60">
        <f t="shared" si="8"/>
        <v>218.21898698685794</v>
      </c>
      <c r="BI17" s="60">
        <f ca="1">AVERAGE(OFFSET($BH$3,0,0,'Données projet'!$E$11+1,1))-AVERAGE(OFFSET($H$3,0,0,'Données projet'!$E$11+1,1))</f>
        <v>296.01124173332352</v>
      </c>
      <c r="BJ17" s="60">
        <f t="shared" si="38"/>
        <v>315.50730924873733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1.7333333333333334</v>
      </c>
      <c r="BY17" s="13">
        <f>IF('Données projet'!$A$114&gt;35,BY16+BX17-CG16,IF(A17&lt;'Données projet'!$A$114,$BV$205^A17,IF(A17='Données projet'!$A$114,'Données projet'!$B$114,BY16+BX17-CG16)))</f>
        <v>20.92385932099328</v>
      </c>
      <c r="BZ17" s="14">
        <f>BY17*VLOOKUP('Données projet'!$B$12,Paramètres!$A$1:$I$89,3,0)*VLOOKUP('Données projet'!$B$12,Paramètres!$A$1:$I$89,5,0)</f>
        <v>13.709312627114798</v>
      </c>
      <c r="CA17" s="14">
        <f t="shared" si="39"/>
        <v>4.6582106061851087</v>
      </c>
      <c r="CB17" s="22">
        <f t="shared" si="10"/>
        <v>31.990102964664004</v>
      </c>
      <c r="CC17" s="60">
        <f t="shared" si="11"/>
        <v>234.0199647369372</v>
      </c>
      <c r="CD17" s="60">
        <f ca="1">AVERAGE(OFFSET($CC$3,0,0,'Données projet'!$E$12+1,1))-AVERAGE(OFFSET($H$3,0,0,'Données projet'!$E$12+1,1))</f>
        <v>216.42026264996392</v>
      </c>
      <c r="CE17" s="60">
        <f t="shared" si="40"/>
        <v>216.4587454288401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1.2</v>
      </c>
      <c r="CT17" s="13">
        <f>IF('Données projet'!$A$140&gt;35,CT16+CS17-DB16,IF(A17&lt;'Données projet'!$A$140,$CQ$205^A17,IF(A17='Données projet'!$A$140,'Données projet'!$B$140,CT16+CS17-DB16)))</f>
        <v>6.7171941741218459</v>
      </c>
      <c r="CU17" s="18">
        <f>CT17*VLOOKUP('Données projet'!$B$13,Paramètres!$A$1:$I$89,3,0)*VLOOKUP('Données projet'!$B$13,Paramètres!$A$1:$I$89,5,0)</f>
        <v>6.4968702052106497</v>
      </c>
      <c r="CV17" s="14">
        <f t="shared" si="41"/>
        <v>2.4080055723865681</v>
      </c>
      <c r="CW17" s="22">
        <f t="shared" si="13"/>
        <v>15.509325312648487</v>
      </c>
      <c r="CX17" s="60">
        <f t="shared" si="14"/>
        <v>217.53918708492168</v>
      </c>
      <c r="CY17" s="60">
        <f ca="1">AVERAGE(OFFSET($CX$3,0,0,'Données projet'!$E$13+1,1))-AVERAGE(OFFSET($H$3,0,0,'Données projet'!$E$13+1,1))</f>
        <v>385.5283976785621</v>
      </c>
      <c r="CZ17" s="60">
        <f t="shared" si="42"/>
        <v>173.19148969173838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236.33261916391379</v>
      </c>
      <c r="DT17" s="60">
        <f ca="1">AVERAGE(OFFSET($DS$3,0,0,'Données projet'!$E$14+1,1))-AVERAGE(OFFSET($H$3,0,0,'Données projet'!$E$14+1,1))</f>
        <v>543.15812193567342</v>
      </c>
      <c r="DU17" s="60">
        <f t="shared" si="44"/>
        <v>286.40725588660575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1.6346153846153846</v>
      </c>
      <c r="EJ17" s="13">
        <f>IF('Données projet'!$A$192&gt;35,EJ16+EI17-ER16,IF(A17&lt;'Données projet'!$A$192,$EG$205^A17,IF(A17='Données projet'!$A$192,'Données projet'!$B$192,EJ16+EI17-ER16)))</f>
        <v>11.484495037276947</v>
      </c>
      <c r="EK17" s="18">
        <f>EJ17*VLOOKUP('Données projet'!$B$15,Paramètres!$A$1:$I$89,3,0)*VLOOKUP('Données projet'!$B$15,Paramètres!$A$1:$I$89,5,0)</f>
        <v>7.7037992710053755</v>
      </c>
      <c r="EL17" s="14">
        <f t="shared" si="45"/>
        <v>2.7992685579195422</v>
      </c>
      <c r="EM17" s="22">
        <f t="shared" si="19"/>
        <v>18.292843135377566</v>
      </c>
      <c r="EN17" s="60">
        <f t="shared" si="20"/>
        <v>220.32270490765075</v>
      </c>
      <c r="EO17" s="60">
        <f ca="1">AVERAGE(OFFSET($EN$3,0,0,'Données projet'!$E$15+1,1))-AVERAGE(OFFSET($H$3,0,0,'Données projet'!$E$15+1,1))</f>
        <v>239.52247785001794</v>
      </c>
      <c r="EP17" s="60">
        <f t="shared" si="46"/>
        <v>173.69760199651617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8">
        <f t="shared" si="1"/>
        <v>183.33333333333334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243.30683204586495</v>
      </c>
      <c r="S18" s="60">
        <f ca="1">AVERAGE(OFFSET($R$3,0,0,'Données projet'!$E$9+1,1))-AVERAGE(OFFSET($H$3,0,0,'Données projet'!$E$9+1,1))</f>
        <v>516.54532596122067</v>
      </c>
      <c r="T18" s="60">
        <f t="shared" si="34"/>
        <v>273.35778700650792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1.9230769230769229</v>
      </c>
      <c r="AI18" s="14">
        <f>IF('Données projet'!$A$62&gt;35,AI17+AH18-AQ17,IF(A18&lt;'Données projet'!$A$62,$AF$205^A18,IF(A18='Données projet'!$A$62,'Données projet'!$B$62,AI17+AH18-AQ17)))</f>
        <v>15.444362587963218</v>
      </c>
      <c r="AJ18" s="14">
        <f>AI18*VLOOKUP('Données projet'!$B$10,Paramètres!$A$1:$I$89,3,0)*VLOOKUP('Données projet'!$B$10,Paramètres!$A$1:$I$89,5,0)</f>
        <v>14.6968554387058</v>
      </c>
      <c r="AK18" s="14">
        <f t="shared" si="35"/>
        <v>4.9534931241244982</v>
      </c>
      <c r="AL18" s="22">
        <f t="shared" si="4"/>
        <v>34.22435708026277</v>
      </c>
      <c r="AM18" s="60">
        <f t="shared" si="5"/>
        <v>238.72110701314381</v>
      </c>
      <c r="AN18" s="60">
        <f ca="1">AVERAGE(OFFSET($AM$3,0,0,'Données projet'!$E$10+1,1))-AVERAGE(OFFSET($H$3,0,0,'Données projet'!$E$10+1,1))</f>
        <v>328.36544111680962</v>
      </c>
      <c r="AO18" s="60">
        <f t="shared" si="36"/>
        <v>226.85392900722772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9</v>
      </c>
      <c r="BB18" s="13">
        <f>VLOOKUP(A18,'Données projet'!$A$87:$I$107,9,0)</f>
        <v>0.6</v>
      </c>
      <c r="BC18" s="13">
        <f t="array" ref="BC18">INDEX(BB:BB,MIN(IF(ISNUMBER(BB18:BB214),ROW(BB18:BB214),"")))</f>
        <v>0.6</v>
      </c>
      <c r="BD18" s="13">
        <f>IF('Données projet'!$A$88&gt;35,BD17+BC18-BL17,IF(A18&lt;'Données projet'!$A$88,$BA$205^A18,IF(A18='Données projet'!$A$88,'Données projet'!$B$88,BD17+BC18-BL17)))</f>
        <v>9</v>
      </c>
      <c r="BE18" s="14">
        <f>BD18*VLOOKUP('Données projet'!$B$11,Paramètres!$A$1:$I$89,3,0)*VLOOKUP('Données projet'!$B$11,Paramètres!$A$1:$I$89,5,0)</f>
        <v>7.8624000000000018</v>
      </c>
      <c r="BF18" s="14">
        <f t="shared" si="37"/>
        <v>2.8501294257559766</v>
      </c>
      <c r="BG18" s="22">
        <f t="shared" si="7"/>
        <v>18.657655416524996</v>
      </c>
      <c r="BH18" s="60">
        <f t="shared" si="8"/>
        <v>223.15440534940603</v>
      </c>
      <c r="BI18" s="60">
        <f ca="1">AVERAGE(OFFSET($BH$3,0,0,'Données projet'!$E$11+1,1))-AVERAGE(OFFSET($H$3,0,0,'Données projet'!$E$11+1,1))</f>
        <v>296.01124173332352</v>
      </c>
      <c r="BJ18" s="60">
        <f t="shared" si="38"/>
        <v>315.50730924873733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26</v>
      </c>
      <c r="BW18" s="13">
        <f>VLOOKUP(A18,'Données projet'!$A$113:$I$133,9,0)</f>
        <v>1.7333333333333334</v>
      </c>
      <c r="BX18" s="13">
        <f t="array" ref="BX18">INDEX(BW:BW,MIN(IF(ISNUMBER(BW18:BW214),ROW(BW18:BW214),"")))</f>
        <v>1.7333333333333334</v>
      </c>
      <c r="BY18" s="13">
        <f>IF('Données projet'!$A$114&gt;35,BY17+BX18-CG17,IF(A18&lt;'Données projet'!$A$114,$BV$205^A18,IF(A18='Données projet'!$A$114,'Données projet'!$B$114,BY17+BX18-CG17)))</f>
        <v>26</v>
      </c>
      <c r="BZ18" s="14">
        <f>BY18*VLOOKUP('Données projet'!$B$12,Paramètres!$A$1:$I$89,3,0)*VLOOKUP('Données projet'!$B$12,Paramètres!$A$1:$I$89,5,0)</f>
        <v>17.0352</v>
      </c>
      <c r="CA18" s="14">
        <f t="shared" si="39"/>
        <v>5.6437852896626746</v>
      </c>
      <c r="CB18" s="22">
        <f t="shared" si="10"/>
        <v>39.499232712829155</v>
      </c>
      <c r="CC18" s="60">
        <f t="shared" si="11"/>
        <v>243.9959826457102</v>
      </c>
      <c r="CD18" s="60">
        <f ca="1">AVERAGE(OFFSET($CC$3,0,0,'Données projet'!$E$12+1,1))-AVERAGE(OFFSET($H$3,0,0,'Données projet'!$E$12+1,1))</f>
        <v>216.42026264996392</v>
      </c>
      <c r="CE18" s="60">
        <f t="shared" si="40"/>
        <v>216.4587454288401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1.2</v>
      </c>
      <c r="CT18" s="13">
        <f>IF('Données projet'!$A$140&gt;35,CT17+CS18-DB17,IF(A18&lt;'Données projet'!$A$140,$CQ$205^A18,IF(A18='Données projet'!$A$140,'Données projet'!$B$140,CT17+CS18-DB17)))</f>
        <v>7.6961363407260848</v>
      </c>
      <c r="CU18" s="18">
        <f>CT18*VLOOKUP('Données projet'!$B$13,Paramètres!$A$1:$I$89,3,0)*VLOOKUP('Données projet'!$B$13,Paramètres!$A$1:$I$89,5,0)</f>
        <v>7.4437030687502697</v>
      </c>
      <c r="CV18" s="14">
        <f t="shared" si="41"/>
        <v>2.7155941298840056</v>
      </c>
      <c r="CW18" s="22">
        <f t="shared" si="13"/>
        <v>17.694109287621362</v>
      </c>
      <c r="CX18" s="60">
        <f t="shared" si="14"/>
        <v>222.1908592205024</v>
      </c>
      <c r="CY18" s="60">
        <f ca="1">AVERAGE(OFFSET($CX$3,0,0,'Données projet'!$E$13+1,1))-AVERAGE(OFFSET($H$3,0,0,'Données projet'!$E$13+1,1))</f>
        <v>385.5283976785621</v>
      </c>
      <c r="CZ18" s="60">
        <f t="shared" si="42"/>
        <v>173.19148969173838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245.62401133525759</v>
      </c>
      <c r="DT18" s="60">
        <f ca="1">AVERAGE(OFFSET($DS$3,0,0,'Données projet'!$E$14+1,1))-AVERAGE(OFFSET($H$3,0,0,'Données projet'!$E$14+1,1))</f>
        <v>543.15812193567342</v>
      </c>
      <c r="DU18" s="60">
        <f t="shared" si="44"/>
        <v>286.40725588660575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1.6346153846153846</v>
      </c>
      <c r="EJ18" s="13">
        <f>IF('Données projet'!$A$192&gt;35,EJ17+EI18-ER17,IF(A18&lt;'Données projet'!$A$192,$EG$205^A18,IF(A18='Données projet'!$A$192,'Données projet'!$B$192,EJ17+EI18-ER17)))</f>
        <v>13.672067167746068</v>
      </c>
      <c r="EK18" s="18">
        <f>EJ18*VLOOKUP('Données projet'!$B$15,Paramètres!$A$1:$I$89,3,0)*VLOOKUP('Données projet'!$B$15,Paramètres!$A$1:$I$89,5,0)</f>
        <v>9.171222656124062</v>
      </c>
      <c r="EL18" s="14">
        <f t="shared" si="45"/>
        <v>3.2655231859494838</v>
      </c>
      <c r="EM18" s="22">
        <f t="shared" si="19"/>
        <v>21.660665674944756</v>
      </c>
      <c r="EN18" s="60">
        <f t="shared" si="20"/>
        <v>226.15741560782581</v>
      </c>
      <c r="EO18" s="60">
        <f ca="1">AVERAGE(OFFSET($EN$3,0,0,'Données projet'!$E$15+1,1))-AVERAGE(OFFSET($H$3,0,0,'Données projet'!$E$15+1,1))</f>
        <v>239.52247785001794</v>
      </c>
      <c r="EP18" s="60">
        <f t="shared" si="46"/>
        <v>173.69760199651617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8">
        <f t="shared" si="1"/>
        <v>183.33333333333334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253.47615920895097</v>
      </c>
      <c r="S19" s="60">
        <f ca="1">AVERAGE(OFFSET($R$3,0,0,'Données projet'!$E$9+1,1))-AVERAGE(OFFSET($H$3,0,0,'Données projet'!$E$9+1,1))</f>
        <v>516.54532596122067</v>
      </c>
      <c r="T19" s="60">
        <f t="shared" si="34"/>
        <v>273.35778700650792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1.9230769230769229</v>
      </c>
      <c r="AI19" s="14">
        <f>IF('Données projet'!$A$62&gt;35,AI18+AH19-AQ18,IF(A19&lt;'Données projet'!$A$62,$AF$205^A19,IF(A19='Données projet'!$A$62,'Données projet'!$B$62,AI18+AH19-AQ18)))</f>
        <v>18.536226245095026</v>
      </c>
      <c r="AJ19" s="14">
        <f>AI19*VLOOKUP('Données projet'!$B$10,Paramètres!$A$1:$I$89,3,0)*VLOOKUP('Données projet'!$B$10,Paramètres!$A$1:$I$89,5,0)</f>
        <v>17.639072894832427</v>
      </c>
      <c r="AK19" s="14">
        <f t="shared" si="35"/>
        <v>5.8202017874259768</v>
      </c>
      <c r="AL19" s="22">
        <f t="shared" si="4"/>
        <v>40.858236738266719</v>
      </c>
      <c r="AM19" s="60">
        <f t="shared" si="5"/>
        <v>247.80028266038079</v>
      </c>
      <c r="AN19" s="60">
        <f ca="1">AVERAGE(OFFSET($AM$3,0,0,'Données projet'!$E$10+1,1))-AVERAGE(OFFSET($H$3,0,0,'Données projet'!$E$10+1,1))</f>
        <v>328.36544111680962</v>
      </c>
      <c r="AO19" s="60">
        <f t="shared" si="36"/>
        <v>226.85392900722772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9.6</v>
      </c>
      <c r="BD19" s="13">
        <f>IF('Données projet'!$A$88&gt;35,BD18+BC19-BL18,IF(A19&lt;'Données projet'!$A$88,$BA$205^A19,IF(A19='Données projet'!$A$88,'Données projet'!$B$88,BD18+BC19-BL18)))</f>
        <v>18.600000000000001</v>
      </c>
      <c r="BE19" s="14">
        <f>BD19*VLOOKUP('Données projet'!$B$11,Paramètres!$A$1:$I$89,3,0)*VLOOKUP('Données projet'!$B$11,Paramètres!$A$1:$I$89,5,0)</f>
        <v>16.248960000000004</v>
      </c>
      <c r="BF19" s="14">
        <f t="shared" si="37"/>
        <v>5.4129939058841199</v>
      </c>
      <c r="BG19" s="22">
        <f t="shared" si="7"/>
        <v>37.727903052748182</v>
      </c>
      <c r="BH19" s="60">
        <f t="shared" si="8"/>
        <v>244.66994897486225</v>
      </c>
      <c r="BI19" s="60">
        <f ca="1">AVERAGE(OFFSET($BH$3,0,0,'Données projet'!$E$11+1,1))-AVERAGE(OFFSET($H$3,0,0,'Données projet'!$E$11+1,1))</f>
        <v>296.01124173332352</v>
      </c>
      <c r="BJ19" s="60">
        <f t="shared" si="38"/>
        <v>315.50730924873733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7.6</v>
      </c>
      <c r="BY19" s="13">
        <f>IF('Données projet'!$A$114&gt;35,BY18+BX19-CG18,IF(A19&lt;'Données projet'!$A$114,$BV$205^A19,IF(A19='Données projet'!$A$114,'Données projet'!$B$114,BY18+BX19-CG18)))</f>
        <v>33.6</v>
      </c>
      <c r="BZ19" s="14">
        <f>BY19*VLOOKUP('Données projet'!$B$12,Paramètres!$A$1:$I$89,3,0)*VLOOKUP('Données projet'!$B$12,Paramètres!$A$1:$I$89,5,0)</f>
        <v>22.014720000000001</v>
      </c>
      <c r="CA19" s="14">
        <f t="shared" si="39"/>
        <v>7.0790245501888318</v>
      </c>
      <c r="CB19" s="22">
        <f t="shared" si="10"/>
        <v>50.671605091578876</v>
      </c>
      <c r="CC19" s="60">
        <f t="shared" si="11"/>
        <v>257.61365101369296</v>
      </c>
      <c r="CD19" s="60">
        <f ca="1">AVERAGE(OFFSET($CC$3,0,0,'Données projet'!$E$12+1,1))-AVERAGE(OFFSET($H$3,0,0,'Données projet'!$E$12+1,1))</f>
        <v>216.42026264996392</v>
      </c>
      <c r="CE19" s="60">
        <f t="shared" si="40"/>
        <v>216.4587454288401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1.2</v>
      </c>
      <c r="CT19" s="13">
        <f>IF('Données projet'!$A$140&gt;35,CT18+CS19-DB18,IF(A19&lt;'Données projet'!$A$140,$CQ$205^A19,IF(A19='Données projet'!$A$140,'Données projet'!$B$140,CT18+CS19-DB18)))</f>
        <v>8.8177463744060987</v>
      </c>
      <c r="CU19" s="18">
        <f>CT19*VLOOKUP('Données projet'!$B$13,Paramètres!$A$1:$I$89,3,0)*VLOOKUP('Données projet'!$B$13,Paramètres!$A$1:$I$89,5,0)</f>
        <v>8.528524293325578</v>
      </c>
      <c r="CV19" s="14">
        <f t="shared" si="41"/>
        <v>3.0624727628647754</v>
      </c>
      <c r="CW19" s="22">
        <f t="shared" si="13"/>
        <v>20.187653206198199</v>
      </c>
      <c r="CX19" s="60">
        <f t="shared" si="14"/>
        <v>227.12969912831227</v>
      </c>
      <c r="CY19" s="60">
        <f ca="1">AVERAGE(OFFSET($CX$3,0,0,'Données projet'!$E$13+1,1))-AVERAGE(OFFSET($H$3,0,0,'Données projet'!$E$13+1,1))</f>
        <v>385.5283976785621</v>
      </c>
      <c r="CZ19" s="60">
        <f t="shared" si="42"/>
        <v>173.19148969173838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256.25589171371746</v>
      </c>
      <c r="DT19" s="60">
        <f ca="1">AVERAGE(OFFSET($DS$3,0,0,'Données projet'!$E$14+1,1))-AVERAGE(OFFSET($H$3,0,0,'Données projet'!$E$14+1,1))</f>
        <v>543.15812193567342</v>
      </c>
      <c r="DU19" s="60">
        <f t="shared" si="44"/>
        <v>286.40725588660575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1.6346153846153846</v>
      </c>
      <c r="EJ19" s="13">
        <f>IF('Données projet'!$A$192&gt;35,EJ18+EI19-ER18,IF(A19&lt;'Données projet'!$A$192,$EG$205^A19,IF(A19='Données projet'!$A$192,'Données projet'!$B$192,EJ18+EI19-ER18)))</f>
        <v>16.276329088273204</v>
      </c>
      <c r="EK19" s="18">
        <f>EJ19*VLOOKUP('Données projet'!$B$15,Paramètres!$A$1:$I$89,3,0)*VLOOKUP('Données projet'!$B$15,Paramètres!$A$1:$I$89,5,0)</f>
        <v>10.918161552413665</v>
      </c>
      <c r="EL19" s="14">
        <f t="shared" si="45"/>
        <v>3.8094385934513699</v>
      </c>
      <c r="EM19" s="22">
        <f t="shared" si="19"/>
        <v>25.650570254048265</v>
      </c>
      <c r="EN19" s="60">
        <f t="shared" si="20"/>
        <v>232.59261617616232</v>
      </c>
      <c r="EO19" s="60">
        <f ca="1">AVERAGE(OFFSET($EN$3,0,0,'Données projet'!$E$15+1,1))-AVERAGE(OFFSET($H$3,0,0,'Données projet'!$E$15+1,1))</f>
        <v>239.52247785001794</v>
      </c>
      <c r="EP19" s="60">
        <f t="shared" si="46"/>
        <v>173.69760199651617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8">
        <f t="shared" si="1"/>
        <v>183.33333333333334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265.16640185982811</v>
      </c>
      <c r="S20" s="60">
        <f ca="1">AVERAGE(OFFSET($R$3,0,0,'Données projet'!$E$9+1,1))-AVERAGE(OFFSET($H$3,0,0,'Données projet'!$E$9+1,1))</f>
        <v>516.54532596122067</v>
      </c>
      <c r="T20" s="60">
        <f t="shared" si="34"/>
        <v>273.35778700650792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1.9230769230769229</v>
      </c>
      <c r="AI20" s="14">
        <f>IF('Données projet'!$A$62&gt;35,AI19+AH20-AQ19,IF(A20&lt;'Données projet'!$A$62,$AF$205^A20,IF(A20='Données projet'!$A$62,'Données projet'!$B$62,AI19+AH20-AQ19)))</f>
        <v>22.247061440860797</v>
      </c>
      <c r="AJ20" s="14">
        <f>AI20*VLOOKUP('Données projet'!$B$10,Paramètres!$A$1:$I$89,3,0)*VLOOKUP('Données projet'!$B$10,Paramètres!$A$1:$I$89,5,0)</f>
        <v>21.170303667123136</v>
      </c>
      <c r="AK20" s="14">
        <f t="shared" si="35"/>
        <v>6.838557760659798</v>
      </c>
      <c r="AL20" s="22">
        <f t="shared" si="4"/>
        <v>48.782100320055271</v>
      </c>
      <c r="AM20" s="60">
        <f t="shared" si="5"/>
        <v>258.14822463592799</v>
      </c>
      <c r="AN20" s="60">
        <f ca="1">AVERAGE(OFFSET($AM$3,0,0,'Données projet'!$E$10+1,1))-AVERAGE(OFFSET($H$3,0,0,'Données projet'!$E$10+1,1))</f>
        <v>328.36544111680962</v>
      </c>
      <c r="AO20" s="60">
        <f t="shared" si="36"/>
        <v>226.85392900722772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9.6</v>
      </c>
      <c r="BD20" s="13">
        <f>IF('Données projet'!$A$88&gt;35,BD19+BC20-BL19,IF(A20&lt;'Données projet'!$A$88,$BA$205^A20,IF(A20='Données projet'!$A$88,'Données projet'!$B$88,BD19+BC20-BL19)))</f>
        <v>28.200000000000003</v>
      </c>
      <c r="BE20" s="14">
        <f>BD20*VLOOKUP('Données projet'!$B$11,Paramètres!$A$1:$I$89,3,0)*VLOOKUP('Données projet'!$B$11,Paramètres!$A$1:$I$89,5,0)</f>
        <v>24.635520000000007</v>
      </c>
      <c r="BF20" s="14">
        <f t="shared" si="37"/>
        <v>7.8187263384607988</v>
      </c>
      <c r="BG20" s="22">
        <f t="shared" si="7"/>
        <v>56.524479039485897</v>
      </c>
      <c r="BH20" s="60">
        <f t="shared" si="8"/>
        <v>265.89060335535862</v>
      </c>
      <c r="BI20" s="60">
        <f ca="1">AVERAGE(OFFSET($BH$3,0,0,'Données projet'!$E$11+1,1))-AVERAGE(OFFSET($H$3,0,0,'Données projet'!$E$11+1,1))</f>
        <v>296.01124173332352</v>
      </c>
      <c r="BJ20" s="60">
        <f t="shared" si="38"/>
        <v>315.50730924873733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7.6</v>
      </c>
      <c r="BY20" s="13">
        <f>IF('Données projet'!$A$114&gt;35,BY19+BX20-CG19,IF(A20&lt;'Données projet'!$A$114,$BV$205^A20,IF(A20='Données projet'!$A$114,'Données projet'!$B$114,BY19+BX20-CG19)))</f>
        <v>41.2</v>
      </c>
      <c r="BZ20" s="14">
        <f>BY20*VLOOKUP('Données projet'!$B$12,Paramètres!$A$1:$I$89,3,0)*VLOOKUP('Données projet'!$B$12,Paramètres!$A$1:$I$89,5,0)</f>
        <v>26.994240000000005</v>
      </c>
      <c r="CA20" s="14">
        <f t="shared" si="39"/>
        <v>8.4766297304562706</v>
      </c>
      <c r="CB20" s="22">
        <f t="shared" si="10"/>
        <v>61.778431447211325</v>
      </c>
      <c r="CC20" s="60">
        <f t="shared" si="11"/>
        <v>271.14455576308404</v>
      </c>
      <c r="CD20" s="60">
        <f ca="1">AVERAGE(OFFSET($CC$3,0,0,'Données projet'!$E$12+1,1))-AVERAGE(OFFSET($H$3,0,0,'Données projet'!$E$12+1,1))</f>
        <v>216.42026264996392</v>
      </c>
      <c r="CE20" s="60">
        <f t="shared" si="40"/>
        <v>216.4587454288401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1.2</v>
      </c>
      <c r="CT20" s="13">
        <f>IF('Données projet'!$A$140&gt;35,CT19+CS20-DB19,IF(A20&lt;'Données projet'!$A$140,$CQ$205^A20,IF(A20='Données projet'!$A$140,'Données projet'!$B$140,CT19+CS20-DB19)))</f>
        <v>10.102816228956828</v>
      </c>
      <c r="CU20" s="18">
        <f>CT20*VLOOKUP('Données projet'!$B$13,Paramètres!$A$1:$I$89,3,0)*VLOOKUP('Données projet'!$B$13,Paramètres!$A$1:$I$89,5,0)</f>
        <v>9.7714438566470445</v>
      </c>
      <c r="CV20" s="14">
        <f t="shared" si="41"/>
        <v>3.4536602211941068</v>
      </c>
      <c r="CW20" s="22">
        <f t="shared" si="13"/>
        <v>23.033722935573341</v>
      </c>
      <c r="CX20" s="60">
        <f t="shared" si="14"/>
        <v>232.39984725144606</v>
      </c>
      <c r="CY20" s="60">
        <f ca="1">AVERAGE(OFFSET($CX$3,0,0,'Données projet'!$E$13+1,1))-AVERAGE(OFFSET($H$3,0,0,'Données projet'!$E$13+1,1))</f>
        <v>385.5283976785621</v>
      </c>
      <c r="CZ20" s="60">
        <f t="shared" si="42"/>
        <v>173.19148969173838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268.50129494598258</v>
      </c>
      <c r="DT20" s="60">
        <f ca="1">AVERAGE(OFFSET($DS$3,0,0,'Données projet'!$E$14+1,1))-AVERAGE(OFFSET($H$3,0,0,'Données projet'!$E$14+1,1))</f>
        <v>543.15812193567342</v>
      </c>
      <c r="DU20" s="60">
        <f t="shared" si="44"/>
        <v>286.40725588660575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1.6346153846153846</v>
      </c>
      <c r="EJ20" s="13">
        <f>IF('Données projet'!$A$192&gt;35,EJ19+EI20-ER19,IF(A20&lt;'Données projet'!$A$192,$EG$205^A20,IF(A20='Données projet'!$A$192,'Données projet'!$B$192,EJ19+EI20-ER19)))</f>
        <v>19.376652070196204</v>
      </c>
      <c r="EK20" s="18">
        <f>EJ20*VLOOKUP('Données projet'!$B$15,Paramètres!$A$1:$I$89,3,0)*VLOOKUP('Données projet'!$B$15,Paramètres!$A$1:$I$89,5,0)</f>
        <v>12.997858208687614</v>
      </c>
      <c r="EL20" s="14">
        <f t="shared" si="45"/>
        <v>4.4439501944792648</v>
      </c>
      <c r="EM20" s="22">
        <f t="shared" si="19"/>
        <v>30.37781630218231</v>
      </c>
      <c r="EN20" s="60">
        <f t="shared" si="20"/>
        <v>239.74394061805503</v>
      </c>
      <c r="EO20" s="60">
        <f ca="1">AVERAGE(OFFSET($EN$3,0,0,'Données projet'!$E$15+1,1))-AVERAGE(OFFSET($H$3,0,0,'Données projet'!$E$15+1,1))</f>
        <v>239.52247785001794</v>
      </c>
      <c r="EP20" s="60">
        <f t="shared" si="46"/>
        <v>173.69760199651617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8">
        <f t="shared" si="1"/>
        <v>183.33333333333334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278.6867268862473</v>
      </c>
      <c r="S21" s="60">
        <f ca="1">AVERAGE(OFFSET($R$3,0,0,'Données projet'!$E$9+1,1))-AVERAGE(OFFSET($H$3,0,0,'Données projet'!$E$9+1,1))</f>
        <v>516.54532596122067</v>
      </c>
      <c r="T21" s="60">
        <f t="shared" si="34"/>
        <v>273.35778700650792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1.9230769230769229</v>
      </c>
      <c r="AI21" s="14">
        <f>IF('Données projet'!$A$62&gt;35,AI20+AH21-AQ20,IF(A21&lt;'Données projet'!$A$62,$AF$205^A21,IF(A21='Données projet'!$A$62,'Données projet'!$B$62,AI20+AH21-AQ20)))</f>
        <v>26.700782360401</v>
      </c>
      <c r="AJ21" s="14">
        <f>AI21*VLOOKUP('Données projet'!$B$10,Paramètres!$A$1:$I$89,3,0)*VLOOKUP('Données projet'!$B$10,Paramètres!$A$1:$I$89,5,0)</f>
        <v>25.408464494157592</v>
      </c>
      <c r="AK21" s="14">
        <f t="shared" si="35"/>
        <v>8.0350946503115779</v>
      </c>
      <c r="AL21" s="22">
        <f t="shared" si="4"/>
        <v>58.247532176617135</v>
      </c>
      <c r="AM21" s="60">
        <f t="shared" si="5"/>
        <v>270.01688536862025</v>
      </c>
      <c r="AN21" s="60">
        <f ca="1">AVERAGE(OFFSET($AM$3,0,0,'Données projet'!$E$10+1,1))-AVERAGE(OFFSET($H$3,0,0,'Données projet'!$E$10+1,1))</f>
        <v>328.36544111680962</v>
      </c>
      <c r="AO21" s="60">
        <f t="shared" si="36"/>
        <v>226.85392900722772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9.6</v>
      </c>
      <c r="BD21" s="13">
        <f>IF('Données projet'!$A$88&gt;35,BD20+BC21-BL20,IF(A21&lt;'Données projet'!$A$88,$BA$205^A21,IF(A21='Données projet'!$A$88,'Données projet'!$B$88,BD20+BC21-BL20)))</f>
        <v>37.800000000000004</v>
      </c>
      <c r="BE21" s="14">
        <f>BD21*VLOOKUP('Données projet'!$B$11,Paramètres!$A$1:$I$89,3,0)*VLOOKUP('Données projet'!$B$11,Paramètres!$A$1:$I$89,5,0)</f>
        <v>33.022080000000003</v>
      </c>
      <c r="BF21" s="14">
        <f t="shared" si="37"/>
        <v>10.129025278332465</v>
      </c>
      <c r="BG21" s="22">
        <f t="shared" si="7"/>
        <v>75.154841693095705</v>
      </c>
      <c r="BH21" s="60">
        <f t="shared" si="8"/>
        <v>286.92419488509881</v>
      </c>
      <c r="BI21" s="60">
        <f ca="1">AVERAGE(OFFSET($BH$3,0,0,'Données projet'!$E$11+1,1))-AVERAGE(OFFSET($H$3,0,0,'Données projet'!$E$11+1,1))</f>
        <v>296.01124173332352</v>
      </c>
      <c r="BJ21" s="60">
        <f t="shared" si="38"/>
        <v>315.50730924873733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7.6</v>
      </c>
      <c r="BY21" s="13">
        <f>IF('Données projet'!$A$114&gt;35,BY20+BX21-CG20,IF(A21&lt;'Données projet'!$A$114,$BV$205^A21,IF(A21='Données projet'!$A$114,'Données projet'!$B$114,BY20+BX21-CG20)))</f>
        <v>48.800000000000004</v>
      </c>
      <c r="BZ21" s="14">
        <f>BY21*VLOOKUP('Données projet'!$B$12,Paramètres!$A$1:$I$89,3,0)*VLOOKUP('Données projet'!$B$12,Paramètres!$A$1:$I$89,5,0)</f>
        <v>31.973760000000006</v>
      </c>
      <c r="CA21" s="14">
        <f t="shared" si="39"/>
        <v>9.8443668135310141</v>
      </c>
      <c r="CB21" s="22">
        <f t="shared" si="10"/>
        <v>72.833237533566532</v>
      </c>
      <c r="CC21" s="60">
        <f t="shared" si="11"/>
        <v>284.60259072556966</v>
      </c>
      <c r="CD21" s="60">
        <f ca="1">AVERAGE(OFFSET($CC$3,0,0,'Données projet'!$E$12+1,1))-AVERAGE(OFFSET($H$3,0,0,'Données projet'!$E$12+1,1))</f>
        <v>216.42026264996392</v>
      </c>
      <c r="CE21" s="60">
        <f t="shared" si="40"/>
        <v>216.4587454288401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1.2</v>
      </c>
      <c r="CT21" s="13">
        <f>IF('Données projet'!$A$140&gt;35,CT20+CS21-DB20,IF(A21&lt;'Données projet'!$A$140,$CQ$205^A21,IF(A21='Données projet'!$A$140,'Données projet'!$B$140,CT20+CS21-DB20)))</f>
        <v>11.575168010312384</v>
      </c>
      <c r="CU21" s="18">
        <f>CT21*VLOOKUP('Données projet'!$B$13,Paramètres!$A$1:$I$89,3,0)*VLOOKUP('Données projet'!$B$13,Paramètres!$A$1:$I$89,5,0)</f>
        <v>11.195502499574138</v>
      </c>
      <c r="CV21" s="14">
        <f t="shared" si="41"/>
        <v>3.8948163288481799</v>
      </c>
      <c r="CW21" s="22">
        <f t="shared" si="13"/>
        <v>26.282305292835535</v>
      </c>
      <c r="CX21" s="60">
        <f t="shared" si="14"/>
        <v>238.05165848483864</v>
      </c>
      <c r="CY21" s="60">
        <f ca="1">AVERAGE(OFFSET($CX$3,0,0,'Données projet'!$E$13+1,1))-AVERAGE(OFFSET($H$3,0,0,'Données projet'!$E$13+1,1))</f>
        <v>385.5283976785621</v>
      </c>
      <c r="CZ21" s="60">
        <f t="shared" si="42"/>
        <v>173.19148969173838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282.68797919922628</v>
      </c>
      <c r="DT21" s="60">
        <f ca="1">AVERAGE(OFFSET($DS$3,0,0,'Données projet'!$E$14+1,1))-AVERAGE(OFFSET($H$3,0,0,'Données projet'!$E$14+1,1))</f>
        <v>543.15812193567342</v>
      </c>
      <c r="DU21" s="60">
        <f t="shared" si="44"/>
        <v>286.40725588660575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1.6346153846153846</v>
      </c>
      <c r="EJ21" s="13">
        <f>IF('Données projet'!$A$192&gt;35,EJ20+EI21-ER20,IF(A21&lt;'Données projet'!$A$192,$EG$205^A21,IF(A21='Données projet'!$A$192,'Données projet'!$B$192,EJ20+EI21-ER20)))</f>
        <v>23.067526062737759</v>
      </c>
      <c r="EK21" s="18">
        <f>EJ21*VLOOKUP('Données projet'!$B$15,Paramètres!$A$1:$I$89,3,0)*VLOOKUP('Données projet'!$B$15,Paramètres!$A$1:$I$89,5,0)</f>
        <v>15.473696482884488</v>
      </c>
      <c r="EL21" s="14">
        <f t="shared" si="45"/>
        <v>5.1841479647319577</v>
      </c>
      <c r="EM21" s="22">
        <f t="shared" si="19"/>
        <v>35.979079079598641</v>
      </c>
      <c r="EN21" s="60">
        <f t="shared" si="20"/>
        <v>247.74843227160176</v>
      </c>
      <c r="EO21" s="60">
        <f ca="1">AVERAGE(OFFSET($EN$3,0,0,'Données projet'!$E$15+1,1))-AVERAGE(OFFSET($H$3,0,0,'Données projet'!$E$15+1,1))</f>
        <v>239.52247785001794</v>
      </c>
      <c r="EP21" s="60">
        <f t="shared" si="46"/>
        <v>173.69760199651617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8">
        <f t="shared" si="1"/>
        <v>183.33333333333334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294.40829648405634</v>
      </c>
      <c r="S22" s="60">
        <f ca="1">AVERAGE(OFFSET($R$3,0,0,'Données projet'!$E$9+1,1))-AVERAGE(OFFSET($H$3,0,0,'Données projet'!$E$9+1,1))</f>
        <v>516.54532596122067</v>
      </c>
      <c r="T22" s="60">
        <f t="shared" si="34"/>
        <v>273.35778700650792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1.9230769230769229</v>
      </c>
      <c r="AI22" s="14">
        <f>IF('Données projet'!$A$62&gt;35,AI21+AH22-AQ21,IF(A22&lt;'Données projet'!$A$62,$AF$205^A22,IF(A22='Données projet'!$A$62,'Données projet'!$B$62,AI21+AH22-AQ21)))</f>
        <v>32.046110024583811</v>
      </c>
      <c r="AJ22" s="14">
        <f>AI22*VLOOKUP('Données projet'!$B$10,Paramètres!$A$1:$I$89,3,0)*VLOOKUP('Données projet'!$B$10,Paramètres!$A$1:$I$89,5,0)</f>
        <v>30.495078299393953</v>
      </c>
      <c r="AK22" s="14">
        <f t="shared" si="35"/>
        <v>9.4409886264142084</v>
      </c>
      <c r="AL22" s="22">
        <f t="shared" si="4"/>
        <v>69.555316562449207</v>
      </c>
      <c r="AM22" s="60">
        <f t="shared" si="5"/>
        <v>283.7074108054727</v>
      </c>
      <c r="AN22" s="60">
        <f ca="1">AVERAGE(OFFSET($AM$3,0,0,'Données projet'!$E$10+1,1))-AVERAGE(OFFSET($H$3,0,0,'Données projet'!$E$10+1,1))</f>
        <v>328.36544111680962</v>
      </c>
      <c r="AO22" s="60">
        <f t="shared" si="36"/>
        <v>226.85392900722772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9.6</v>
      </c>
      <c r="BD22" s="13">
        <f>IF('Données projet'!$A$88&gt;35,BD21+BC22-BL21,IF(A22&lt;'Données projet'!$A$88,$BA$205^A22,IF(A22='Données projet'!$A$88,'Données projet'!$B$88,BD21+BC22-BL21)))</f>
        <v>47.400000000000006</v>
      </c>
      <c r="BE22" s="14">
        <f>BD22*VLOOKUP('Données projet'!$B$11,Paramètres!$A$1:$I$89,3,0)*VLOOKUP('Données projet'!$B$11,Paramètres!$A$1:$I$89,5,0)</f>
        <v>41.408640000000005</v>
      </c>
      <c r="BF22" s="14">
        <f t="shared" si="37"/>
        <v>12.371251711099637</v>
      </c>
      <c r="BG22" s="22">
        <f t="shared" si="7"/>
        <v>93.666644730165203</v>
      </c>
      <c r="BH22" s="60">
        <f t="shared" si="8"/>
        <v>307.81873897318872</v>
      </c>
      <c r="BI22" s="60">
        <f ca="1">AVERAGE(OFFSET($BH$3,0,0,'Données projet'!$E$11+1,1))-AVERAGE(OFFSET($H$3,0,0,'Données projet'!$E$11+1,1))</f>
        <v>296.01124173332352</v>
      </c>
      <c r="BJ22" s="60">
        <f t="shared" si="38"/>
        <v>315.50730924873733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7.6</v>
      </c>
      <c r="BY22" s="13">
        <f>IF('Données projet'!$A$114&gt;35,BY21+BX22-CG21,IF(A22&lt;'Données projet'!$A$114,$BV$205^A22,IF(A22='Données projet'!$A$114,'Données projet'!$B$114,BY21+BX22-CG21)))</f>
        <v>56.400000000000006</v>
      </c>
      <c r="BZ22" s="14">
        <f>BY22*VLOOKUP('Données projet'!$B$12,Paramètres!$A$1:$I$89,3,0)*VLOOKUP('Données projet'!$B$12,Paramètres!$A$1:$I$89,5,0)</f>
        <v>36.953280000000007</v>
      </c>
      <c r="CA22" s="14">
        <f t="shared" si="39"/>
        <v>11.18742789563016</v>
      </c>
      <c r="CB22" s="22">
        <f t="shared" si="10"/>
        <v>83.845066251555863</v>
      </c>
      <c r="CC22" s="60">
        <f t="shared" si="11"/>
        <v>297.99716049457936</v>
      </c>
      <c r="CD22" s="60">
        <f ca="1">AVERAGE(OFFSET($CC$3,0,0,'Données projet'!$E$12+1,1))-AVERAGE(OFFSET($H$3,0,0,'Données projet'!$E$12+1,1))</f>
        <v>216.42026264996392</v>
      </c>
      <c r="CE22" s="60">
        <f t="shared" si="40"/>
        <v>216.4587454288401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1.2</v>
      </c>
      <c r="CT22" s="13">
        <f>IF('Données projet'!$A$140&gt;35,CT21+CS22-DB21,IF(A22&lt;'Données projet'!$A$140,$CQ$205^A22,IF(A22='Données projet'!$A$140,'Données projet'!$B$140,CT21+CS22-DB21)))</f>
        <v>13.262095581124292</v>
      </c>
      <c r="CU22" s="18">
        <f>CT22*VLOOKUP('Données projet'!$B$13,Paramètres!$A$1:$I$89,3,0)*VLOOKUP('Données projet'!$B$13,Paramètres!$A$1:$I$89,5,0)</f>
        <v>12.827098846063416</v>
      </c>
      <c r="CV22" s="14">
        <f t="shared" si="41"/>
        <v>4.3923238720390128</v>
      </c>
      <c r="CW22" s="22">
        <f t="shared" si="13"/>
        <v>29.990494567361733</v>
      </c>
      <c r="CX22" s="60">
        <f t="shared" si="14"/>
        <v>244.14258881038526</v>
      </c>
      <c r="CY22" s="60">
        <f ca="1">AVERAGE(OFFSET($CX$3,0,0,'Données projet'!$E$13+1,1))-AVERAGE(OFFSET($H$3,0,0,'Données projet'!$E$13+1,1))</f>
        <v>385.5283976785621</v>
      </c>
      <c r="CZ22" s="60">
        <f t="shared" si="42"/>
        <v>173.19148969173838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299.20943951379633</v>
      </c>
      <c r="DT22" s="60">
        <f ca="1">AVERAGE(OFFSET($DS$3,0,0,'Données projet'!$E$14+1,1))-AVERAGE(OFFSET($H$3,0,0,'Données projet'!$E$14+1,1))</f>
        <v>543.15812193567342</v>
      </c>
      <c r="DU22" s="60">
        <f t="shared" si="44"/>
        <v>286.40725588660575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1.6346153846153846</v>
      </c>
      <c r="EJ22" s="13">
        <f>IF('Données projet'!$A$192&gt;35,EJ21+EI22-ER21,IF(A22&lt;'Données projet'!$A$192,$EG$205^A22,IF(A22='Données projet'!$A$192,'Données projet'!$B$192,EJ21+EI22-ER21)))</f>
        <v>27.461439506030089</v>
      </c>
      <c r="EK22" s="18">
        <f>EJ22*VLOOKUP('Données projet'!$B$15,Paramètres!$A$1:$I$89,3,0)*VLOOKUP('Données projet'!$B$15,Paramètres!$A$1:$I$89,5,0)</f>
        <v>18.421133620644984</v>
      </c>
      <c r="EL22" s="14">
        <f t="shared" si="45"/>
        <v>6.0476353118497785</v>
      </c>
      <c r="EM22" s="22">
        <f t="shared" si="19"/>
        <v>42.616439224095039</v>
      </c>
      <c r="EN22" s="60">
        <f t="shared" si="20"/>
        <v>256.76853346711857</v>
      </c>
      <c r="EO22" s="60">
        <f ca="1">AVERAGE(OFFSET($EN$3,0,0,'Données projet'!$E$15+1,1))-AVERAGE(OFFSET($H$3,0,0,'Données projet'!$E$15+1,1))</f>
        <v>239.52247785001794</v>
      </c>
      <c r="EP22" s="60">
        <f t="shared" si="46"/>
        <v>173.69760199651617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8">
        <f t="shared" si="1"/>
        <v>183.33333333333334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312.77674802649938</v>
      </c>
      <c r="S23" s="60">
        <f ca="1">AVERAGE(OFFSET($R$3,0,0,'Données projet'!$E$9+1,1))-AVERAGE(OFFSET($H$3,0,0,'Données projet'!$E$9+1,1))</f>
        <v>516.54532596122067</v>
      </c>
      <c r="T23" s="60">
        <f t="shared" si="34"/>
        <v>273.35778700650792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38.46153846153846</v>
      </c>
      <c r="AG23" s="13">
        <f>VLOOKUP(A23,'Données projet'!$A$61:$I$81,9,0)</f>
        <v>1.9230769230769229</v>
      </c>
      <c r="AH23" s="13">
        <f t="array" ref="AH23">INDEX(AG:AG,MIN(IF(ISNUMBER(AG23:AG219),ROW(AG23:AG219),"")))</f>
        <v>1.9230769230769229</v>
      </c>
      <c r="AI23" s="14">
        <f>IF('Données projet'!$A$62&gt;35,AI22+AH23-AQ22,IF(A23&lt;'Données projet'!$A$62,$AF$205^A23,IF(A23='Données projet'!$A$62,'Données projet'!$B$62,AI22+AH23-AQ22)))</f>
        <v>38.46153846153846</v>
      </c>
      <c r="AJ23" s="14">
        <f>AI23*VLOOKUP('Données projet'!$B$10,Paramètres!$A$1:$I$89,3,0)*VLOOKUP('Données projet'!$B$10,Paramètres!$A$1:$I$89,5,0)</f>
        <v>36.6</v>
      </c>
      <c r="AK23" s="14">
        <f t="shared" si="35"/>
        <v>11.092870728115949</v>
      </c>
      <c r="AL23" s="22">
        <f t="shared" si="4"/>
        <v>83.065083184801949</v>
      </c>
      <c r="AM23" s="60">
        <f t="shared" si="5"/>
        <v>299.57978607169764</v>
      </c>
      <c r="AN23" s="60">
        <f ca="1">AVERAGE(OFFSET($AM$3,0,0,'Données projet'!$E$10+1,1))-AVERAGE(OFFSET($H$3,0,0,'Données projet'!$E$10+1,1))</f>
        <v>328.36544111680962</v>
      </c>
      <c r="AO23" s="60">
        <f t="shared" si="36"/>
        <v>226.85392900722772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6.4102564102564097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57</v>
      </c>
      <c r="BB23" s="13">
        <f>VLOOKUP(A23,'Données projet'!$A$87:$I$107,9,0)</f>
        <v>9.6</v>
      </c>
      <c r="BC23" s="13">
        <f t="array" ref="BC23">INDEX(BB:BB,MIN(IF(ISNUMBER(BB23:BB219),ROW(BB23:BB219),"")))</f>
        <v>9.6</v>
      </c>
      <c r="BD23" s="13">
        <f>IF('Données projet'!$A$88&gt;35,BD22+BC23-BL22,IF(A23&lt;'Données projet'!$A$88,$BA$205^A23,IF(A23='Données projet'!$A$88,'Données projet'!$B$88,BD22+BC23-BL22)))</f>
        <v>57.000000000000007</v>
      </c>
      <c r="BE23" s="14">
        <f>BD23*VLOOKUP('Données projet'!$B$11,Paramètres!$A$1:$I$89,3,0)*VLOOKUP('Données projet'!$B$11,Paramètres!$A$1:$I$89,5,0)</f>
        <v>49.795200000000008</v>
      </c>
      <c r="BF23" s="14">
        <f t="shared" si="37"/>
        <v>14.560856542690781</v>
      </c>
      <c r="BG23" s="22">
        <f t="shared" si="7"/>
        <v>112.08679847851981</v>
      </c>
      <c r="BH23" s="60">
        <f t="shared" si="8"/>
        <v>328.60150136541552</v>
      </c>
      <c r="BI23" s="60">
        <f ca="1">AVERAGE(OFFSET($BH$3,0,0,'Données projet'!$E$11+1,1))-AVERAGE(OFFSET($H$3,0,0,'Données projet'!$E$11+1,1))</f>
        <v>296.01124173332352</v>
      </c>
      <c r="BJ23" s="60">
        <f t="shared" si="38"/>
        <v>315.50730924873733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21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64</v>
      </c>
      <c r="BW23" s="13">
        <f>VLOOKUP(A23,'Données projet'!$A$113:$I$133,9,0)</f>
        <v>7.6</v>
      </c>
      <c r="BX23" s="13">
        <f t="array" ref="BX23">INDEX(BW:BW,MIN(IF(ISNUMBER(BW23:BW219),ROW(BW23:BW219),"")))</f>
        <v>7.6</v>
      </c>
      <c r="BY23" s="13">
        <f>IF('Données projet'!$A$114&gt;35,BY22+BX23-CG22,IF(A23&lt;'Données projet'!$A$114,$BV$205^A23,IF(A23='Données projet'!$A$114,'Données projet'!$B$114,BY22+BX23-CG22)))</f>
        <v>64</v>
      </c>
      <c r="BZ23" s="14">
        <f>BY23*VLOOKUP('Données projet'!$B$12,Paramètres!$A$1:$I$89,3,0)*VLOOKUP('Données projet'!$B$12,Paramètres!$A$1:$I$89,5,0)</f>
        <v>41.9328</v>
      </c>
      <c r="CA23" s="14">
        <f t="shared" si="39"/>
        <v>12.509520351031938</v>
      </c>
      <c r="CB23" s="22">
        <f t="shared" si="10"/>
        <v>94.820374611380615</v>
      </c>
      <c r="CC23" s="60">
        <f t="shared" si="11"/>
        <v>311.33507749827635</v>
      </c>
      <c r="CD23" s="60">
        <f ca="1">AVERAGE(OFFSET($CC$3,0,0,'Données projet'!$E$12+1,1))-AVERAGE(OFFSET($H$3,0,0,'Données projet'!$E$12+1,1))</f>
        <v>216.42026264996392</v>
      </c>
      <c r="CE23" s="60">
        <f t="shared" si="40"/>
        <v>216.4587454288401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1.2</v>
      </c>
      <c r="CT23" s="13">
        <f>IF('Données projet'!$A$140&gt;35,CT22+CS23-DB22,IF(A23&lt;'Données projet'!$A$140,$CQ$205^A23,IF(A23='Données projet'!$A$140,'Données projet'!$B$140,CT22+CS23-DB22)))</f>
        <v>15.194870523363559</v>
      </c>
      <c r="CU23" s="18">
        <f>CT23*VLOOKUP('Données projet'!$B$13,Paramètres!$A$1:$I$89,3,0)*VLOOKUP('Données projet'!$B$13,Paramètres!$A$1:$I$89,5,0)</f>
        <v>14.696478770197235</v>
      </c>
      <c r="CV23" s="14">
        <f t="shared" si="41"/>
        <v>4.9533809473858224</v>
      </c>
      <c r="CW23" s="22">
        <f t="shared" si="13"/>
        <v>34.223505674790481</v>
      </c>
      <c r="CX23" s="60">
        <f t="shared" si="14"/>
        <v>250.73820856168621</v>
      </c>
      <c r="CY23" s="60">
        <f ca="1">AVERAGE(OFFSET($CX$3,0,0,'Données projet'!$E$13+1,1))-AVERAGE(OFFSET($H$3,0,0,'Données projet'!$E$13+1,1))</f>
        <v>385.5283976785621</v>
      </c>
      <c r="CZ23" s="60">
        <f t="shared" si="42"/>
        <v>173.19148969173838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318.53814238488746</v>
      </c>
      <c r="DT23" s="60">
        <f ca="1">AVERAGE(OFFSET($DS$3,0,0,'Données projet'!$E$14+1,1))-AVERAGE(OFFSET($H$3,0,0,'Données projet'!$E$14+1,1))</f>
        <v>543.15812193567342</v>
      </c>
      <c r="DU23" s="60">
        <f t="shared" si="44"/>
        <v>286.40725588660575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32.692307692307693</v>
      </c>
      <c r="EH23" s="13">
        <f>VLOOKUP(A23,'Données projet'!$A$191:$I$211,9,0)</f>
        <v>1.6346153846153846</v>
      </c>
      <c r="EI23" s="13">
        <f t="array" ref="EI23">INDEX(EH:EH,MIN(IF(ISNUMBER(EH23:EH219),ROW(EH23:EH219),"")))</f>
        <v>1.6346153846153846</v>
      </c>
      <c r="EJ23" s="13">
        <f>IF('Données projet'!$A$192&gt;35,EJ22+EI23-ER22,IF(A23&lt;'Données projet'!$A$192,$EG$205^A23,IF(A23='Données projet'!$A$192,'Données projet'!$B$192,EJ22+EI23-ER22)))</f>
        <v>32.692307692307693</v>
      </c>
      <c r="EK23" s="18">
        <f>EJ23*VLOOKUP('Données projet'!$B$15,Paramètres!$A$1:$I$89,3,0)*VLOOKUP('Données projet'!$B$15,Paramètres!$A$1:$I$89,5,0)</f>
        <v>21.930000000000003</v>
      </c>
      <c r="EL23" s="14">
        <f t="shared" si="45"/>
        <v>7.0549477202322466</v>
      </c>
      <c r="EM23" s="22">
        <f t="shared" si="19"/>
        <v>50.482117279404498</v>
      </c>
      <c r="EN23" s="60">
        <f t="shared" si="20"/>
        <v>266.99682016630021</v>
      </c>
      <c r="EO23" s="60">
        <f ca="1">AVERAGE(OFFSET($EN$3,0,0,'Données projet'!$E$15+1,1))-AVERAGE(OFFSET($H$3,0,0,'Données projet'!$E$15+1,1))</f>
        <v>239.52247785001794</v>
      </c>
      <c r="EP23" s="60">
        <f t="shared" si="46"/>
        <v>173.69760199651617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7.0512820512820511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8">
        <f t="shared" si="1"/>
        <v>183.33333333333334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327.59245112039338</v>
      </c>
      <c r="S24" s="60">
        <f ca="1">AVERAGE(OFFSET($R$3,0,0,'Données projet'!$E$9+1,1))-AVERAGE(OFFSET($H$3,0,0,'Données projet'!$E$9+1,1))</f>
        <v>516.54532596122067</v>
      </c>
      <c r="T24" s="60">
        <f t="shared" si="34"/>
        <v>273.35778700650792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4.8717948717948714</v>
      </c>
      <c r="AI24" s="14">
        <f>IF('Données projet'!$A$62&gt;35,AI23+AH24-AQ23,IF(A24&lt;'Données projet'!$A$62,$AF$205^A24,IF(A24='Données projet'!$A$62,'Données projet'!$B$62,AI23+AH24-AQ23)))</f>
        <v>36.92307692307692</v>
      </c>
      <c r="AJ24" s="14">
        <f>AI24*VLOOKUP('Données projet'!$B$10,Paramètres!$A$1:$I$89,3,0)*VLOOKUP('Données projet'!$B$10,Paramètres!$A$1:$I$89,5,0)</f>
        <v>35.135999999999996</v>
      </c>
      <c r="AK24" s="14">
        <f t="shared" si="35"/>
        <v>10.699877693257092</v>
      </c>
      <c r="AL24" s="22">
        <f t="shared" si="4"/>
        <v>79.830820315756085</v>
      </c>
      <c r="AM24" s="60">
        <f t="shared" si="5"/>
        <v>298.68834869163049</v>
      </c>
      <c r="AN24" s="60">
        <f ca="1">AVERAGE(OFFSET($AM$3,0,0,'Données projet'!$E$10+1,1))-AVERAGE(OFFSET($H$3,0,0,'Données projet'!$E$10+1,1))</f>
        <v>328.36544111680962</v>
      </c>
      <c r="AO24" s="60">
        <f t="shared" si="36"/>
        <v>226.85392900722772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46</v>
      </c>
      <c r="BE24" s="14">
        <f>BD24*VLOOKUP('Données projet'!$B$11,Paramètres!$A$1:$I$89,3,0)*VLOOKUP('Données projet'!$B$11,Paramètres!$A$1:$I$89,5,0)</f>
        <v>40.185600000000001</v>
      </c>
      <c r="BF24" s="14">
        <f t="shared" si="37"/>
        <v>12.047826945473735</v>
      </c>
      <c r="BG24" s="22">
        <f t="shared" si="7"/>
        <v>90.973218596700079</v>
      </c>
      <c r="BH24" s="60">
        <f t="shared" si="8"/>
        <v>309.83074697257445</v>
      </c>
      <c r="BI24" s="60">
        <f ca="1">AVERAGE(OFFSET($BH$3,0,0,'Données projet'!$E$11+1,1))-AVERAGE(OFFSET($H$3,0,0,'Données projet'!$E$11+1,1))</f>
        <v>296.01124173332352</v>
      </c>
      <c r="BJ24" s="60">
        <f t="shared" si="38"/>
        <v>315.50730924873733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5.2</v>
      </c>
      <c r="BY24" s="13">
        <f>IF('Données projet'!$A$114&gt;35,BY23+BX24-CG23,IF(A24&lt;'Données projet'!$A$114,$BV$205^A24,IF(A24='Données projet'!$A$114,'Données projet'!$B$114,BY23+BX24-CG23)))</f>
        <v>59.2</v>
      </c>
      <c r="BZ24" s="14">
        <f>BY24*VLOOKUP('Données projet'!$B$12,Paramètres!$A$1:$I$89,3,0)*VLOOKUP('Données projet'!$B$12,Paramètres!$A$1:$I$89,5,0)</f>
        <v>38.787840000000003</v>
      </c>
      <c r="CA24" s="14">
        <f t="shared" si="39"/>
        <v>11.67679062583016</v>
      </c>
      <c r="CB24" s="22">
        <f t="shared" si="10"/>
        <v>87.892565006654195</v>
      </c>
      <c r="CC24" s="60">
        <f t="shared" si="11"/>
        <v>306.75009338252858</v>
      </c>
      <c r="CD24" s="60">
        <f ca="1">AVERAGE(OFFSET($CC$3,0,0,'Données projet'!$E$12+1,1))-AVERAGE(OFFSET($H$3,0,0,'Données projet'!$E$12+1,1))</f>
        <v>216.42026264996392</v>
      </c>
      <c r="CE24" s="60">
        <f t="shared" si="40"/>
        <v>216.4587454288401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1.2</v>
      </c>
      <c r="CT24" s="13">
        <f>IF('Données projet'!$A$140&gt;35,CT23+CS24-DB23,IF(A24&lt;'Données projet'!$A$140,$CQ$205^A24,IF(A24='Données projet'!$A$140,'Données projet'!$B$140,CT23+CS24-DB23)))</f>
        <v>17.409321838276906</v>
      </c>
      <c r="CU24" s="18">
        <f>CT24*VLOOKUP('Données projet'!$B$13,Paramètres!$A$1:$I$89,3,0)*VLOOKUP('Données projet'!$B$13,Paramètres!$A$1:$I$89,5,0)</f>
        <v>16.838296081981426</v>
      </c>
      <c r="CV24" s="14">
        <f t="shared" si="41"/>
        <v>5.5861051062554639</v>
      </c>
      <c r="CW24" s="22">
        <f t="shared" si="13"/>
        <v>39.055832069512576</v>
      </c>
      <c r="CX24" s="60">
        <f t="shared" si="14"/>
        <v>257.91336044538696</v>
      </c>
      <c r="CY24" s="60">
        <f ca="1">AVERAGE(OFFSET($CX$3,0,0,'Données projet'!$E$13+1,1))-AVERAGE(OFFSET($H$3,0,0,'Données projet'!$E$13+1,1))</f>
        <v>385.5283976785621</v>
      </c>
      <c r="CZ24" s="60">
        <f t="shared" si="42"/>
        <v>173.19148969173838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334.10241309302609</v>
      </c>
      <c r="DT24" s="60">
        <f ca="1">AVERAGE(OFFSET($DS$3,0,0,'Données projet'!$E$14+1,1))-AVERAGE(OFFSET($H$3,0,0,'Données projet'!$E$14+1,1))</f>
        <v>543.15812193567342</v>
      </c>
      <c r="DU24" s="60">
        <f t="shared" si="44"/>
        <v>286.40725588660575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5.1282051282051269</v>
      </c>
      <c r="EJ24" s="13">
        <f>IF('Données projet'!$A$192&gt;35,EJ23+EI24-ER23,IF(A24&lt;'Données projet'!$A$192,$EG$205^A24,IF(A24='Données projet'!$A$192,'Données projet'!$B$192,EJ23+EI24-ER23)))</f>
        <v>30.769230769230766</v>
      </c>
      <c r="EK24" s="18">
        <f>EJ24*VLOOKUP('Données projet'!$B$15,Paramètres!$A$1:$I$89,3,0)*VLOOKUP('Données projet'!$B$15,Paramètres!$A$1:$I$89,5,0)</f>
        <v>20.64</v>
      </c>
      <c r="EL24" s="14">
        <f t="shared" si="45"/>
        <v>6.6869726907097018</v>
      </c>
      <c r="EM24" s="22">
        <f t="shared" si="19"/>
        <v>47.594477436319387</v>
      </c>
      <c r="EN24" s="60">
        <f t="shared" si="20"/>
        <v>266.45200581219376</v>
      </c>
      <c r="EO24" s="60">
        <f ca="1">AVERAGE(OFFSET($EN$3,0,0,'Données projet'!$E$15+1,1))-AVERAGE(OFFSET($H$3,0,0,'Données projet'!$E$15+1,1))</f>
        <v>239.52247785001794</v>
      </c>
      <c r="EP24" s="60">
        <f t="shared" si="46"/>
        <v>173.69760199651617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8">
        <f t="shared" si="1"/>
        <v>183.33333333333334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342.35349780478379</v>
      </c>
      <c r="S25" s="60">
        <f ca="1">AVERAGE(OFFSET($R$3,0,0,'Données projet'!$E$9+1,1))-AVERAGE(OFFSET($H$3,0,0,'Données projet'!$E$9+1,1))</f>
        <v>516.54532596122067</v>
      </c>
      <c r="T25" s="60">
        <f t="shared" si="34"/>
        <v>273.35778700650792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4.8717948717948714</v>
      </c>
      <c r="AI25" s="14">
        <f>IF('Données projet'!$A$62&gt;35,AI24+AH25-AQ24,IF(A25&lt;'Données projet'!$A$62,$AF$205^A25,IF(A25='Données projet'!$A$62,'Données projet'!$B$62,AI24+AH25-AQ24)))</f>
        <v>41.794871794871788</v>
      </c>
      <c r="AJ25" s="14">
        <f>AI25*VLOOKUP('Données projet'!$B$10,Paramètres!$A$1:$I$89,3,0)*VLOOKUP('Données projet'!$B$10,Paramètres!$A$1:$I$89,5,0)</f>
        <v>39.771999999999998</v>
      </c>
      <c r="AK25" s="14">
        <f t="shared" si="35"/>
        <v>11.938195391404328</v>
      </c>
      <c r="AL25" s="22">
        <f t="shared" si="4"/>
        <v>90.061923640029207</v>
      </c>
      <c r="AM25" s="60">
        <f t="shared" si="5"/>
        <v>311.24283754349761</v>
      </c>
      <c r="AN25" s="60">
        <f ca="1">AVERAGE(OFFSET($AM$3,0,0,'Données projet'!$E$10+1,1))-AVERAGE(OFFSET($H$3,0,0,'Données projet'!$E$10+1,1))</f>
        <v>328.36544111680962</v>
      </c>
      <c r="AO25" s="60">
        <f t="shared" si="36"/>
        <v>226.85392900722772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10</v>
      </c>
      <c r="BD25" s="13">
        <f>IF('Données projet'!$A$88&gt;35,BD24+BC25-BL24,IF(A25&lt;'Données projet'!$A$88,$BA$205^A25,IF(A25='Données projet'!$A$88,'Données projet'!$B$88,BD24+BC25-BL24)))</f>
        <v>56</v>
      </c>
      <c r="BE25" s="14">
        <f>BD25*VLOOKUP('Données projet'!$B$11,Paramètres!$A$1:$I$89,3,0)*VLOOKUP('Données projet'!$B$11,Paramètres!$A$1:$I$89,5,0)</f>
        <v>48.921600000000005</v>
      </c>
      <c r="BF25" s="14">
        <f t="shared" si="37"/>
        <v>14.334905731333867</v>
      </c>
      <c r="BG25" s="22">
        <f t="shared" si="7"/>
        <v>110.17174748207316</v>
      </c>
      <c r="BH25" s="60">
        <f t="shared" si="8"/>
        <v>331.35266138554152</v>
      </c>
      <c r="BI25" s="60">
        <f ca="1">AVERAGE(OFFSET($BH$3,0,0,'Données projet'!$E$11+1,1))-AVERAGE(OFFSET($H$3,0,0,'Données projet'!$E$11+1,1))</f>
        <v>296.01124173332352</v>
      </c>
      <c r="BJ25" s="60">
        <f t="shared" si="38"/>
        <v>315.50730924873733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5.2</v>
      </c>
      <c r="BY25" s="13">
        <f>IF('Données projet'!$A$114&gt;35,BY24+BX25-CG24,IF(A25&lt;'Données projet'!$A$114,$BV$205^A25,IF(A25='Données projet'!$A$114,'Données projet'!$B$114,BY24+BX25-CG24)))</f>
        <v>64.400000000000006</v>
      </c>
      <c r="BZ25" s="14">
        <f>BY25*VLOOKUP('Données projet'!$B$12,Paramètres!$A$1:$I$89,3,0)*VLOOKUP('Données projet'!$B$12,Paramètres!$A$1:$I$89,5,0)</f>
        <v>42.194880000000005</v>
      </c>
      <c r="CA25" s="14">
        <f t="shared" si="39"/>
        <v>12.578579106182664</v>
      </c>
      <c r="CB25" s="22">
        <f t="shared" si="10"/>
        <v>95.397107943268153</v>
      </c>
      <c r="CC25" s="60">
        <f t="shared" si="11"/>
        <v>316.57802184673653</v>
      </c>
      <c r="CD25" s="60">
        <f ca="1">AVERAGE(OFFSET($CC$3,0,0,'Données projet'!$E$12+1,1))-AVERAGE(OFFSET($H$3,0,0,'Données projet'!$E$12+1,1))</f>
        <v>216.42026264996392</v>
      </c>
      <c r="CE25" s="60">
        <f t="shared" si="40"/>
        <v>216.4587454288401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1.2</v>
      </c>
      <c r="CT25" s="13">
        <f>IF('Données projet'!$A$140&gt;35,CT24+CS25-DB24,IF(A25&lt;'Données projet'!$A$140,$CQ$205^A25,IF(A25='Données projet'!$A$140,'Données projet'!$B$140,CT24+CS25-DB24)))</f>
        <v>19.946500129940819</v>
      </c>
      <c r="CU25" s="18">
        <f>CT25*VLOOKUP('Données projet'!$B$13,Paramètres!$A$1:$I$89,3,0)*VLOOKUP('Données projet'!$B$13,Paramètres!$A$1:$I$89,5,0)</f>
        <v>19.292254925678762</v>
      </c>
      <c r="CV25" s="14">
        <f t="shared" si="41"/>
        <v>6.2996508020651527</v>
      </c>
      <c r="CW25" s="22">
        <f t="shared" si="13"/>
        <v>44.572569142487318</v>
      </c>
      <c r="CX25" s="60">
        <f t="shared" si="14"/>
        <v>265.7534830459557</v>
      </c>
      <c r="CY25" s="60">
        <f ca="1">AVERAGE(OFFSET($CX$3,0,0,'Données projet'!$E$13+1,1))-AVERAGE(OFFSET($H$3,0,0,'Données projet'!$E$13+1,1))</f>
        <v>385.5283976785621</v>
      </c>
      <c r="CZ25" s="60">
        <f t="shared" si="42"/>
        <v>173.19148969173838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349.6101191899329</v>
      </c>
      <c r="DT25" s="60">
        <f ca="1">AVERAGE(OFFSET($DS$3,0,0,'Données projet'!$E$14+1,1))-AVERAGE(OFFSET($H$3,0,0,'Données projet'!$E$14+1,1))</f>
        <v>543.15812193567342</v>
      </c>
      <c r="DU25" s="60">
        <f t="shared" si="44"/>
        <v>286.40725588660575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5.1282051282051269</v>
      </c>
      <c r="EJ25" s="13">
        <f>IF('Données projet'!$A$192&gt;35,EJ24+EI25-ER24,IF(A25&lt;'Données projet'!$A$192,$EG$205^A25,IF(A25='Données projet'!$A$192,'Données projet'!$B$192,EJ24+EI25-ER24)))</f>
        <v>35.897435897435891</v>
      </c>
      <c r="EK25" s="18">
        <f>EJ25*VLOOKUP('Données projet'!$B$15,Paramètres!$A$1:$I$89,3,0)*VLOOKUP('Données projet'!$B$15,Paramètres!$A$1:$I$89,5,0)</f>
        <v>24.079999999999995</v>
      </c>
      <c r="EL25" s="14">
        <f t="shared" si="45"/>
        <v>7.662733698772076</v>
      </c>
      <c r="EM25" s="22">
        <f t="shared" si="19"/>
        <v>55.285261192028024</v>
      </c>
      <c r="EN25" s="60">
        <f t="shared" si="20"/>
        <v>276.4661750954964</v>
      </c>
      <c r="EO25" s="60">
        <f ca="1">AVERAGE(OFFSET($EN$3,0,0,'Données projet'!$E$15+1,1))-AVERAGE(OFFSET($H$3,0,0,'Données projet'!$E$15+1,1))</f>
        <v>239.52247785001794</v>
      </c>
      <c r="EP25" s="60">
        <f t="shared" si="46"/>
        <v>173.69760199651617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8">
        <f t="shared" si="1"/>
        <v>183.33333333333334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357.06435466839378</v>
      </c>
      <c r="S26" s="60">
        <f ca="1">AVERAGE(OFFSET($R$3,0,0,'Données projet'!$E$9+1,1))-AVERAGE(OFFSET($H$3,0,0,'Données projet'!$E$9+1,1))</f>
        <v>516.54532596122067</v>
      </c>
      <c r="T26" s="60">
        <f t="shared" si="34"/>
        <v>273.35778700650792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4.8717948717948714</v>
      </c>
      <c r="AI26" s="14">
        <f>IF('Données projet'!$A$62&gt;35,AI25+AH26-AQ25,IF(A26&lt;'Données projet'!$A$62,$AF$205^A26,IF(A26='Données projet'!$A$62,'Données projet'!$B$62,AI25+AH26-AQ25)))</f>
        <v>46.666666666666657</v>
      </c>
      <c r="AJ26" s="14">
        <f>AI26*VLOOKUP('Données projet'!$B$10,Paramètres!$A$1:$I$89,3,0)*VLOOKUP('Données projet'!$B$10,Paramètres!$A$1:$I$89,5,0)</f>
        <v>44.407999999999994</v>
      </c>
      <c r="AK26" s="14">
        <f t="shared" si="35"/>
        <v>13.159784995839097</v>
      </c>
      <c r="AL26" s="22">
        <f t="shared" si="4"/>
        <v>100.26389220108642</v>
      </c>
      <c r="AM26" s="60">
        <f t="shared" si="5"/>
        <v>323.74908891063291</v>
      </c>
      <c r="AN26" s="60">
        <f ca="1">AVERAGE(OFFSET($AM$3,0,0,'Données projet'!$E$10+1,1))-AVERAGE(OFFSET($H$3,0,0,'Données projet'!$E$10+1,1))</f>
        <v>328.36544111680962</v>
      </c>
      <c r="AO26" s="60">
        <f t="shared" si="36"/>
        <v>226.85392900722772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10</v>
      </c>
      <c r="BD26" s="13">
        <f>IF('Données projet'!$A$88&gt;35,BD25+BC26-BL25,IF(A26&lt;'Données projet'!$A$88,$BA$205^A26,IF(A26='Données projet'!$A$88,'Données projet'!$B$88,BD25+BC26-BL25)))</f>
        <v>66</v>
      </c>
      <c r="BE26" s="14">
        <f>BD26*VLOOKUP('Données projet'!$B$11,Paramètres!$A$1:$I$89,3,0)*VLOOKUP('Données projet'!$B$11,Paramètres!$A$1:$I$89,5,0)</f>
        <v>57.657600000000002</v>
      </c>
      <c r="BF26" s="14">
        <f t="shared" si="37"/>
        <v>16.574671209026025</v>
      </c>
      <c r="BG26" s="22">
        <f t="shared" si="7"/>
        <v>129.28787235572034</v>
      </c>
      <c r="BH26" s="60">
        <f t="shared" si="8"/>
        <v>352.77306906526684</v>
      </c>
      <c r="BI26" s="60">
        <f ca="1">AVERAGE(OFFSET($BH$3,0,0,'Données projet'!$E$11+1,1))-AVERAGE(OFFSET($H$3,0,0,'Données projet'!$E$11+1,1))</f>
        <v>296.01124173332352</v>
      </c>
      <c r="BJ26" s="60">
        <f t="shared" si="38"/>
        <v>315.50730924873733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5.2</v>
      </c>
      <c r="BY26" s="13">
        <f>IF('Données projet'!$A$114&gt;35,BY25+BX26-CG25,IF(A26&lt;'Données projet'!$A$114,$BV$205^A26,IF(A26='Données projet'!$A$114,'Données projet'!$B$114,BY25+BX26-CG25)))</f>
        <v>69.600000000000009</v>
      </c>
      <c r="BZ26" s="14">
        <f>BY26*VLOOKUP('Données projet'!$B$12,Paramètres!$A$1:$I$89,3,0)*VLOOKUP('Données projet'!$B$12,Paramètres!$A$1:$I$89,5,0)</f>
        <v>45.601920000000007</v>
      </c>
      <c r="CA26" s="14">
        <f t="shared" si="39"/>
        <v>13.471921919810917</v>
      </c>
      <c r="CB26" s="22">
        <f t="shared" si="10"/>
        <v>102.88694134367069</v>
      </c>
      <c r="CC26" s="60">
        <f t="shared" si="11"/>
        <v>326.37213805321721</v>
      </c>
      <c r="CD26" s="60">
        <f ca="1">AVERAGE(OFFSET($CC$3,0,0,'Données projet'!$E$12+1,1))-AVERAGE(OFFSET($H$3,0,0,'Données projet'!$E$12+1,1))</f>
        <v>216.42026264996392</v>
      </c>
      <c r="CE26" s="60">
        <f t="shared" si="40"/>
        <v>216.4587454288401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1.2</v>
      </c>
      <c r="CT26" s="13">
        <f>IF('Données projet'!$A$140&gt;35,CT25+CS26-DB25,IF(A26&lt;'Données projet'!$A$140,$CQ$205^A26,IF(A26='Données projet'!$A$140,'Données projet'!$B$140,CT25+CS26-DB25)))</f>
        <v>22.853438584779923</v>
      </c>
      <c r="CU26" s="18">
        <f>CT26*VLOOKUP('Données projet'!$B$13,Paramètres!$A$1:$I$89,3,0)*VLOOKUP('Données projet'!$B$13,Paramètres!$A$1:$I$89,5,0)</f>
        <v>22.103845799199142</v>
      </c>
      <c r="CV26" s="14">
        <f t="shared" si="41"/>
        <v>7.1043418398123555</v>
      </c>
      <c r="CW26" s="22">
        <f t="shared" si="13"/>
        <v>50.870926804611692</v>
      </c>
      <c r="CX26" s="60">
        <f t="shared" si="14"/>
        <v>274.35612351415818</v>
      </c>
      <c r="CY26" s="60">
        <f ca="1">AVERAGE(OFFSET($CX$3,0,0,'Données projet'!$E$13+1,1))-AVERAGE(OFFSET($H$3,0,0,'Données projet'!$E$13+1,1))</f>
        <v>385.5283976785621</v>
      </c>
      <c r="CZ26" s="60">
        <f t="shared" si="42"/>
        <v>173.19148969173838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365.06595101292129</v>
      </c>
      <c r="DT26" s="60">
        <f ca="1">AVERAGE(OFFSET($DS$3,0,0,'Données projet'!$E$14+1,1))-AVERAGE(OFFSET($H$3,0,0,'Données projet'!$E$14+1,1))</f>
        <v>543.15812193567342</v>
      </c>
      <c r="DU26" s="60">
        <f t="shared" si="44"/>
        <v>286.40725588660575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5.1282051282051269</v>
      </c>
      <c r="EJ26" s="13">
        <f>IF('Données projet'!$A$192&gt;35,EJ25+EI26-ER25,IF(A26&lt;'Données projet'!$A$192,$EG$205^A26,IF(A26='Données projet'!$A$192,'Données projet'!$B$192,EJ25+EI26-ER25)))</f>
        <v>41.025641025641015</v>
      </c>
      <c r="EK26" s="18">
        <f>EJ26*VLOOKUP('Données projet'!$B$15,Paramètres!$A$1:$I$89,3,0)*VLOOKUP('Données projet'!$B$15,Paramètres!$A$1:$I$89,5,0)</f>
        <v>27.519999999999992</v>
      </c>
      <c r="EL26" s="14">
        <f t="shared" si="45"/>
        <v>8.6223454216505129</v>
      </c>
      <c r="EM26" s="22">
        <f t="shared" si="19"/>
        <v>62.947918276041293</v>
      </c>
      <c r="EN26" s="60">
        <f t="shared" si="20"/>
        <v>286.43311498558779</v>
      </c>
      <c r="EO26" s="60">
        <f ca="1">AVERAGE(OFFSET($EN$3,0,0,'Données projet'!$E$15+1,1))-AVERAGE(OFFSET($H$3,0,0,'Données projet'!$E$15+1,1))</f>
        <v>239.52247785001794</v>
      </c>
      <c r="EP26" s="60">
        <f t="shared" si="46"/>
        <v>173.69760199651617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8">
        <f t="shared" si="1"/>
        <v>183.33333333333334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371.72865061439427</v>
      </c>
      <c r="S27" s="60">
        <f ca="1">AVERAGE(OFFSET($R$3,0,0,'Données projet'!$E$9+1,1))-AVERAGE(OFFSET($H$3,0,0,'Données projet'!$E$9+1,1))</f>
        <v>516.54532596122067</v>
      </c>
      <c r="T27" s="60">
        <f t="shared" si="34"/>
        <v>273.35778700650792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4.8717948717948714</v>
      </c>
      <c r="AI27" s="14">
        <f>IF('Données projet'!$A$62&gt;35,AI26+AH27-AQ26,IF(A27&lt;'Données projet'!$A$62,$AF$205^A27,IF(A27='Données projet'!$A$62,'Données projet'!$B$62,AI26+AH27-AQ26)))</f>
        <v>51.538461538461526</v>
      </c>
      <c r="AJ27" s="14">
        <f>AI27*VLOOKUP('Données projet'!$B$10,Paramètres!$A$1:$I$89,3,0)*VLOOKUP('Données projet'!$B$10,Paramètres!$A$1:$I$89,5,0)</f>
        <v>49.04399999999999</v>
      </c>
      <c r="AK27" s="14">
        <f t="shared" si="35"/>
        <v>14.366591783195865</v>
      </c>
      <c r="AL27" s="22">
        <f t="shared" si="4"/>
        <v>110.44011402239944</v>
      </c>
      <c r="AM27" s="60">
        <f t="shared" si="5"/>
        <v>336.21082220601926</v>
      </c>
      <c r="AN27" s="60">
        <f ca="1">AVERAGE(OFFSET($AM$3,0,0,'Données projet'!$E$10+1,1))-AVERAGE(OFFSET($H$3,0,0,'Données projet'!$E$10+1,1))</f>
        <v>328.36544111680962</v>
      </c>
      <c r="AO27" s="60">
        <f t="shared" si="36"/>
        <v>226.85392900722772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10</v>
      </c>
      <c r="BD27" s="13">
        <f>IF('Données projet'!$A$88&gt;35,BD26+BC27-BL26,IF(A27&lt;'Données projet'!$A$88,$BA$205^A27,IF(A27='Données projet'!$A$88,'Données projet'!$B$88,BD26+BC27-BL26)))</f>
        <v>76</v>
      </c>
      <c r="BE27" s="14">
        <f>BD27*VLOOKUP('Données projet'!$B$11,Paramètres!$A$1:$I$89,3,0)*VLOOKUP('Données projet'!$B$11,Paramètres!$A$1:$I$89,5,0)</f>
        <v>66.393600000000006</v>
      </c>
      <c r="BF27" s="14">
        <f t="shared" si="37"/>
        <v>18.775122997078544</v>
      </c>
      <c r="BG27" s="22">
        <f t="shared" si="7"/>
        <v>148.33552588657844</v>
      </c>
      <c r="BH27" s="60">
        <f t="shared" si="8"/>
        <v>374.10623407019824</v>
      </c>
      <c r="BI27" s="60">
        <f ca="1">AVERAGE(OFFSET($BH$3,0,0,'Données projet'!$E$11+1,1))-AVERAGE(OFFSET($H$3,0,0,'Données projet'!$E$11+1,1))</f>
        <v>296.01124173332352</v>
      </c>
      <c r="BJ27" s="60">
        <f t="shared" si="38"/>
        <v>315.50730924873733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5.2</v>
      </c>
      <c r="BY27" s="13">
        <f>IF('Données projet'!$A$114&gt;35,BY26+BX27-CG26,IF(A27&lt;'Données projet'!$A$114,$BV$205^A27,IF(A27='Données projet'!$A$114,'Données projet'!$B$114,BY26+BX27-CG26)))</f>
        <v>74.800000000000011</v>
      </c>
      <c r="BZ27" s="14">
        <f>BY27*VLOOKUP('Données projet'!$B$12,Paramètres!$A$1:$I$89,3,0)*VLOOKUP('Données projet'!$B$12,Paramètres!$A$1:$I$89,5,0)</f>
        <v>49.008960000000009</v>
      </c>
      <c r="CA27" s="14">
        <f t="shared" si="39"/>
        <v>14.35752181559339</v>
      </c>
      <c r="CB27" s="22">
        <f t="shared" si="10"/>
        <v>110.36328916215852</v>
      </c>
      <c r="CC27" s="60">
        <f t="shared" si="11"/>
        <v>336.13399734577831</v>
      </c>
      <c r="CD27" s="60">
        <f ca="1">AVERAGE(OFFSET($CC$3,0,0,'Données projet'!$E$12+1,1))-AVERAGE(OFFSET($H$3,0,0,'Données projet'!$E$12+1,1))</f>
        <v>216.42026264996392</v>
      </c>
      <c r="CE27" s="60">
        <f t="shared" si="40"/>
        <v>216.4587454288401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1.2</v>
      </c>
      <c r="CT27" s="13">
        <f>IF('Données projet'!$A$140&gt;35,CT26+CS27-DB26,IF(A27&lt;'Données projet'!$A$140,$CQ$205^A27,IF(A27='Données projet'!$A$140,'Données projet'!$B$140,CT26+CS27-DB26)))</f>
        <v>26.184024853780567</v>
      </c>
      <c r="CU27" s="18">
        <f>CT27*VLOOKUP('Données projet'!$B$13,Paramètres!$A$1:$I$89,3,0)*VLOOKUP('Données projet'!$B$13,Paramètres!$A$1:$I$89,5,0)</f>
        <v>25.325188838576565</v>
      </c>
      <c r="CV27" s="14">
        <f t="shared" si="41"/>
        <v>8.0118207441534324</v>
      </c>
      <c r="CW27" s="22">
        <f t="shared" si="13"/>
        <v>58.061958356588072</v>
      </c>
      <c r="CX27" s="60">
        <f t="shared" si="14"/>
        <v>283.83266654020787</v>
      </c>
      <c r="CY27" s="60">
        <f ca="1">AVERAGE(OFFSET($CX$3,0,0,'Données projet'!$E$13+1,1))-AVERAGE(OFFSET($H$3,0,0,'Données projet'!$E$13+1,1))</f>
        <v>385.5283976785621</v>
      </c>
      <c r="CZ27" s="60">
        <f t="shared" si="42"/>
        <v>173.19148969173838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380.47371614079827</v>
      </c>
      <c r="DT27" s="60">
        <f ca="1">AVERAGE(OFFSET($DS$3,0,0,'Données projet'!$E$14+1,1))-AVERAGE(OFFSET($H$3,0,0,'Données projet'!$E$14+1,1))</f>
        <v>543.15812193567342</v>
      </c>
      <c r="DU27" s="60">
        <f t="shared" si="44"/>
        <v>286.40725588660575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5.1282051282051269</v>
      </c>
      <c r="EJ27" s="13">
        <f>IF('Données projet'!$A$192&gt;35,EJ26+EI27-ER26,IF(A27&lt;'Données projet'!$A$192,$EG$205^A27,IF(A27='Données projet'!$A$192,'Données projet'!$B$192,EJ26+EI27-ER26)))</f>
        <v>46.153846153846139</v>
      </c>
      <c r="EK27" s="18">
        <f>EJ27*VLOOKUP('Données projet'!$B$15,Paramètres!$A$1:$I$89,3,0)*VLOOKUP('Données projet'!$B$15,Paramètres!$A$1:$I$89,5,0)</f>
        <v>30.95999999999999</v>
      </c>
      <c r="EL27" s="14">
        <f t="shared" si="45"/>
        <v>9.568057709011704</v>
      </c>
      <c r="EM27" s="22">
        <f t="shared" si="19"/>
        <v>70.586367176528697</v>
      </c>
      <c r="EN27" s="60">
        <f t="shared" si="20"/>
        <v>296.35707536014849</v>
      </c>
      <c r="EO27" s="60">
        <f ca="1">AVERAGE(OFFSET($EN$3,0,0,'Données projet'!$E$15+1,1))-AVERAGE(OFFSET($H$3,0,0,'Données projet'!$E$15+1,1))</f>
        <v>239.52247785001794</v>
      </c>
      <c r="EP27" s="60">
        <f t="shared" si="46"/>
        <v>173.69760199651617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8">
        <f t="shared" si="1"/>
        <v>183.33333333333334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386.34940252889123</v>
      </c>
      <c r="S28" s="60">
        <f ca="1">AVERAGE(OFFSET($R$3,0,0,'Données projet'!$E$9+1,1))-AVERAGE(OFFSET($H$3,0,0,'Données projet'!$E$9+1,1))</f>
        <v>516.54532596122067</v>
      </c>
      <c r="T28" s="60">
        <f t="shared" si="34"/>
        <v>273.35778700650792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56.410256410256409</v>
      </c>
      <c r="AG28" s="13">
        <f>VLOOKUP(A28,'Données projet'!$A$61:$I$81,9,0)</f>
        <v>4.8717948717948714</v>
      </c>
      <c r="AH28" s="13">
        <f t="array" ref="AH28">INDEX(AG:AG,MIN(IF(ISNUMBER(AG28:AG224),ROW(AG28:AG224),"")))</f>
        <v>4.8717948717948714</v>
      </c>
      <c r="AI28" s="14">
        <f>IF('Données projet'!$A$62&gt;35,AI27+AH28-AQ27,IF(A28&lt;'Données projet'!$A$62,$AF$205^A28,IF(A28='Données projet'!$A$62,'Données projet'!$B$62,AI27+AH28-AQ27)))</f>
        <v>56.410256410256395</v>
      </c>
      <c r="AJ28" s="14">
        <f>AI28*VLOOKUP('Données projet'!$B$10,Paramètres!$A$1:$I$89,3,0)*VLOOKUP('Données projet'!$B$10,Paramètres!$A$1:$I$89,5,0)</f>
        <v>53.679999999999986</v>
      </c>
      <c r="AK28" s="14">
        <f t="shared" si="35"/>
        <v>15.560172103376749</v>
      </c>
      <c r="AL28" s="22">
        <f t="shared" si="4"/>
        <v>120.59329974671448</v>
      </c>
      <c r="AM28" s="60">
        <f t="shared" si="5"/>
        <v>348.63107371304659</v>
      </c>
      <c r="AN28" s="60">
        <f ca="1">AVERAGE(OFFSET($AM$3,0,0,'Données projet'!$E$10+1,1))-AVERAGE(OFFSET($H$3,0,0,'Données projet'!$E$10+1,1))</f>
        <v>328.36544111680962</v>
      </c>
      <c r="AO28" s="60">
        <f t="shared" si="36"/>
        <v>226.85392900722772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86</v>
      </c>
      <c r="BB28" s="13">
        <f>VLOOKUP(A28,'Données projet'!$A$87:$I$107,9,0)</f>
        <v>10</v>
      </c>
      <c r="BC28" s="13">
        <f t="array" ref="BC28">INDEX(BB:BB,MIN(IF(ISNUMBER(BB28:BB224),ROW(BB28:BB224),"")))</f>
        <v>10</v>
      </c>
      <c r="BD28" s="13">
        <f>IF('Données projet'!$A$88&gt;35,BD27+BC28-BL27,IF(A28&lt;'Données projet'!$A$88,$BA$205^A28,IF(A28='Données projet'!$A$88,'Données projet'!$B$88,BD27+BC28-BL27)))</f>
        <v>86</v>
      </c>
      <c r="BE28" s="14">
        <f>BD28*VLOOKUP('Données projet'!$B$11,Paramètres!$A$1:$I$89,3,0)*VLOOKUP('Données projet'!$B$11,Paramètres!$A$1:$I$89,5,0)</f>
        <v>75.129600000000011</v>
      </c>
      <c r="BF28" s="14">
        <f t="shared" si="37"/>
        <v>20.942027818647581</v>
      </c>
      <c r="BG28" s="22">
        <f t="shared" si="7"/>
        <v>167.32475178414452</v>
      </c>
      <c r="BH28" s="60">
        <f t="shared" si="8"/>
        <v>395.36252575047661</v>
      </c>
      <c r="BI28" s="60">
        <f ca="1">AVERAGE(OFFSET($BH$3,0,0,'Données projet'!$E$11+1,1))-AVERAGE(OFFSET($H$3,0,0,'Données projet'!$E$11+1,1))</f>
        <v>296.01124173332352</v>
      </c>
      <c r="BJ28" s="60">
        <f t="shared" si="38"/>
        <v>315.50730924873733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80</v>
      </c>
      <c r="BW28" s="13">
        <f>VLOOKUP(A28,'Données projet'!$A$113:$I$133,9,0)</f>
        <v>5.2</v>
      </c>
      <c r="BX28" s="13">
        <f t="array" ref="BX28">INDEX(BW:BW,MIN(IF(ISNUMBER(BW28:BW224),ROW(BW28:BW224),"")))</f>
        <v>5.2</v>
      </c>
      <c r="BY28" s="13">
        <f>IF('Données projet'!$A$114&gt;35,BY27+BX28-CG27,IF(A28&lt;'Données projet'!$A$114,$BV$205^A28,IF(A28='Données projet'!$A$114,'Données projet'!$B$114,BY27+BX28-CG27)))</f>
        <v>80.000000000000014</v>
      </c>
      <c r="BZ28" s="14">
        <f>BY28*VLOOKUP('Données projet'!$B$12,Paramètres!$A$1:$I$89,3,0)*VLOOKUP('Données projet'!$B$12,Paramètres!$A$1:$I$89,5,0)</f>
        <v>52.416000000000004</v>
      </c>
      <c r="CA28" s="14">
        <f t="shared" si="39"/>
        <v>15.235978301273029</v>
      </c>
      <c r="CB28" s="22">
        <f t="shared" si="10"/>
        <v>117.82719554138386</v>
      </c>
      <c r="CC28" s="60">
        <f t="shared" si="11"/>
        <v>345.86496950771595</v>
      </c>
      <c r="CD28" s="60">
        <f ca="1">AVERAGE(OFFSET($CC$3,0,0,'Données projet'!$E$12+1,1))-AVERAGE(OFFSET($H$3,0,0,'Données projet'!$E$12+1,1))</f>
        <v>216.42026264996392</v>
      </c>
      <c r="CE28" s="60">
        <f t="shared" si="40"/>
        <v>216.4587454288401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30</v>
      </c>
      <c r="CR28" s="13">
        <f>VLOOKUP(A28,'Données projet'!$A$139:$I$159,9,0)</f>
        <v>1.2</v>
      </c>
      <c r="CS28" s="13">
        <f t="array" ref="CS28">INDEX(CR:CR,MIN(IF(ISNUMBER(CR28:CR224),ROW(CR28:CR224),"")))</f>
        <v>1.2</v>
      </c>
      <c r="CT28" s="13">
        <f>IF('Données projet'!$A$140&gt;35,CT27+CS28-DB27,IF(A28&lt;'Données projet'!$A$140,$CQ$205^A28,IF(A28='Données projet'!$A$140,'Données projet'!$B$140,CT27+CS28-DB27)))</f>
        <v>30</v>
      </c>
      <c r="CU28" s="18">
        <f>CT28*VLOOKUP('Données projet'!$B$13,Paramètres!$A$1:$I$89,3,0)*VLOOKUP('Données projet'!$B$13,Paramètres!$A$1:$I$89,5,0)</f>
        <v>29.016000000000002</v>
      </c>
      <c r="CV28" s="14">
        <f t="shared" si="41"/>
        <v>9.0352172071357728</v>
      </c>
      <c r="CW28" s="22">
        <f t="shared" si="13"/>
        <v>66.272536635761469</v>
      </c>
      <c r="CX28" s="60">
        <f t="shared" si="14"/>
        <v>294.31031060209358</v>
      </c>
      <c r="CY28" s="60">
        <f ca="1">AVERAGE(OFFSET($CX$3,0,0,'Données projet'!$E$13+1,1))-AVERAGE(OFFSET($H$3,0,0,'Données projet'!$E$13+1,1))</f>
        <v>385.5283976785621</v>
      </c>
      <c r="CZ28" s="60">
        <f t="shared" si="42"/>
        <v>173.19148969173838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395.83657728468927</v>
      </c>
      <c r="DT28" s="60">
        <f ca="1">AVERAGE(OFFSET($DS$3,0,0,'Données projet'!$E$14+1,1))-AVERAGE(OFFSET($H$3,0,0,'Données projet'!$E$14+1,1))</f>
        <v>543.15812193567342</v>
      </c>
      <c r="DU28" s="60">
        <f t="shared" si="44"/>
        <v>286.40725588660575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51.282051282051277</v>
      </c>
      <c r="EH28" s="13">
        <f>VLOOKUP(A28,'Données projet'!$A$191:$I$211,9,0)</f>
        <v>5.1282051282051269</v>
      </c>
      <c r="EI28" s="13">
        <f t="array" ref="EI28">INDEX(EH:EH,MIN(IF(ISNUMBER(EH28:EH224),ROW(EH28:EH224),"")))</f>
        <v>5.1282051282051269</v>
      </c>
      <c r="EJ28" s="13">
        <f>IF('Données projet'!$A$192&gt;35,EJ27+EI28-ER27,IF(A28&lt;'Données projet'!$A$192,$EG$205^A28,IF(A28='Données projet'!$A$192,'Données projet'!$B$192,EJ27+EI28-ER27)))</f>
        <v>51.282051282051263</v>
      </c>
      <c r="EK28" s="18">
        <f>EJ28*VLOOKUP('Données projet'!$B$15,Paramètres!$A$1:$I$89,3,0)*VLOOKUP('Données projet'!$B$15,Paramètres!$A$1:$I$89,5,0)</f>
        <v>34.399999999999991</v>
      </c>
      <c r="EL28" s="14">
        <f t="shared" si="45"/>
        <v>10.501591113324421</v>
      </c>
      <c r="EM28" s="22">
        <f t="shared" si="19"/>
        <v>78.203604522373354</v>
      </c>
      <c r="EN28" s="60">
        <f t="shared" si="20"/>
        <v>306.24137848870544</v>
      </c>
      <c r="EO28" s="60">
        <f ca="1">AVERAGE(OFFSET($EN$3,0,0,'Données projet'!$E$15+1,1))-AVERAGE(OFFSET($H$3,0,0,'Données projet'!$E$15+1,1))</f>
        <v>239.52247785001794</v>
      </c>
      <c r="EP28" s="60">
        <f t="shared" si="46"/>
        <v>173.69760199651617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8">
        <f t="shared" si="1"/>
        <v>183.33333333333334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69.966000000000008</v>
      </c>
      <c r="P29" s="14">
        <f t="shared" si="33"/>
        <v>19.665013934342461</v>
      </c>
      <c r="Q29" s="22">
        <f t="shared" si="2"/>
        <v>156.10734926897979</v>
      </c>
      <c r="R29" s="60">
        <f t="shared" si="0"/>
        <v>386.39406331816997</v>
      </c>
      <c r="S29" s="60">
        <f ca="1">AVERAGE(OFFSET($R$3,0,0,'Données projet'!$E$9+1,1))-AVERAGE(OFFSET($H$3,0,0,'Données projet'!$E$9+1,1))</f>
        <v>516.54532596122067</v>
      </c>
      <c r="T29" s="60">
        <f t="shared" si="34"/>
        <v>273.35778700650792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4.8717948717948705</v>
      </c>
      <c r="AI29" s="14">
        <f>IF('Données projet'!$A$62&gt;35,AI28+AH29-AQ28,IF(A29&lt;'Données projet'!$A$62,$AF$205^A29,IF(A29='Données projet'!$A$62,'Données projet'!$B$62,AI28+AH29-AQ28)))</f>
        <v>61.282051282051263</v>
      </c>
      <c r="AJ29" s="14">
        <f>AI29*VLOOKUP('Données projet'!$B$10,Paramètres!$A$1:$I$89,3,0)*VLOOKUP('Données projet'!$B$10,Paramètres!$A$1:$I$89,5,0)</f>
        <v>58.315999999999988</v>
      </c>
      <c r="AK29" s="14">
        <f t="shared" si="35"/>
        <v>16.741798119639665</v>
      </c>
      <c r="AL29" s="22">
        <f t="shared" si="4"/>
        <v>130.72566505837239</v>
      </c>
      <c r="AM29" s="60">
        <f t="shared" si="5"/>
        <v>361.01237910756254</v>
      </c>
      <c r="AN29" s="60">
        <f ca="1">AVERAGE(OFFSET($AM$3,0,0,'Données projet'!$E$10+1,1))-AVERAGE(OFFSET($H$3,0,0,'Données projet'!$E$10+1,1))</f>
        <v>328.36544111680962</v>
      </c>
      <c r="AO29" s="60">
        <f t="shared" si="36"/>
        <v>226.85392900722772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9.8000000000000007</v>
      </c>
      <c r="BD29" s="13">
        <f>IF('Données projet'!$A$88&gt;35,BD28+BC29-BL28,IF(A29&lt;'Données projet'!$A$88,$BA$205^A29,IF(A29='Données projet'!$A$88,'Données projet'!$B$88,BD28+BC29-BL28)))</f>
        <v>95.8</v>
      </c>
      <c r="BE29" s="14">
        <f>BD29*VLOOKUP('Données projet'!$B$11,Paramètres!$A$1:$I$89,3,0)*VLOOKUP('Données projet'!$B$11,Paramètres!$A$1:$I$89,5,0)</f>
        <v>83.690880000000007</v>
      </c>
      <c r="BF29" s="14">
        <f t="shared" si="37"/>
        <v>23.037240938104041</v>
      </c>
      <c r="BG29" s="22">
        <f t="shared" si="7"/>
        <v>185.88481063386453</v>
      </c>
      <c r="BH29" s="60">
        <f t="shared" si="8"/>
        <v>416.17152468305471</v>
      </c>
      <c r="BI29" s="60">
        <f ca="1">AVERAGE(OFFSET($BH$3,0,0,'Données projet'!$E$11+1,1))-AVERAGE(OFFSET($H$3,0,0,'Données projet'!$E$11+1,1))</f>
        <v>296.01124173332352</v>
      </c>
      <c r="BJ29" s="60">
        <f t="shared" si="38"/>
        <v>315.50730924873733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</v>
      </c>
      <c r="BY29" s="13">
        <f>IF('Données projet'!$A$114&gt;35,BY28+BX29-CG28,IF(A29&lt;'Données projet'!$A$114,$BV$205^A29,IF(A29='Données projet'!$A$114,'Données projet'!$B$114,BY28+BX29-CG28)))</f>
        <v>86.000000000000014</v>
      </c>
      <c r="BZ29" s="14">
        <f>BY29*VLOOKUP('Données projet'!$B$12,Paramètres!$A$1:$I$89,3,0)*VLOOKUP('Données projet'!$B$12,Paramètres!$A$1:$I$89,5,0)</f>
        <v>56.347200000000008</v>
      </c>
      <c r="CA29" s="14">
        <f t="shared" si="39"/>
        <v>16.241377637196607</v>
      </c>
      <c r="CB29" s="22">
        <f t="shared" si="10"/>
        <v>126.42510605145075</v>
      </c>
      <c r="CC29" s="60">
        <f t="shared" si="11"/>
        <v>356.71182010064092</v>
      </c>
      <c r="CD29" s="60">
        <f ca="1">AVERAGE(OFFSET($CC$3,0,0,'Données projet'!$E$12+1,1))-AVERAGE(OFFSET($H$3,0,0,'Données projet'!$E$12+1,1))</f>
        <v>216.42026264996392</v>
      </c>
      <c r="CE29" s="60">
        <f t="shared" si="40"/>
        <v>216.4587454288401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4.8</v>
      </c>
      <c r="CT29" s="13">
        <f>IF('Données projet'!$A$140&gt;35,CT28+CS29-DB28,IF(A29&lt;'Données projet'!$A$140,$CQ$205^A29,IF(A29='Données projet'!$A$140,'Données projet'!$B$140,CT28+CS29-DB28)))</f>
        <v>34.799999999999997</v>
      </c>
      <c r="CU29" s="18">
        <f>CT29*VLOOKUP('Données projet'!$B$13,Paramètres!$A$1:$I$89,3,0)*VLOOKUP('Données projet'!$B$13,Paramètres!$A$1:$I$89,5,0)</f>
        <v>33.658559999999994</v>
      </c>
      <c r="CV29" s="14">
        <f t="shared" si="41"/>
        <v>10.301338939492439</v>
      </c>
      <c r="CW29" s="22">
        <f t="shared" si="13"/>
        <v>76.563490652949312</v>
      </c>
      <c r="CX29" s="60">
        <f t="shared" si="14"/>
        <v>306.85020470213948</v>
      </c>
      <c r="CY29" s="60">
        <f ca="1">AVERAGE(OFFSET($CX$3,0,0,'Données projet'!$E$13+1,1))-AVERAGE(OFFSET($H$3,0,0,'Données projet'!$E$13+1,1))</f>
        <v>385.5283976785621</v>
      </c>
      <c r="CZ29" s="60">
        <f t="shared" si="42"/>
        <v>173.19148969173838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69</v>
      </c>
      <c r="DP29" s="18">
        <f>DO29*VLOOKUP('Données projet'!$B$14,Paramètres!$A$1:$I$89,3,0)*VLOOKUP('Données projet'!$B$14,Paramètres!$A$1:$I$89,5,0)</f>
        <v>74.271600000000007</v>
      </c>
      <c r="DQ29" s="14">
        <f t="shared" si="43"/>
        <v>20.730561869473863</v>
      </c>
      <c r="DR29" s="22">
        <f t="shared" si="16"/>
        <v>165.46209858933364</v>
      </c>
      <c r="DS29" s="60">
        <f t="shared" si="17"/>
        <v>395.74881263852382</v>
      </c>
      <c r="DT29" s="60">
        <f ca="1">AVERAGE(OFFSET($DS$3,0,0,'Données projet'!$E$14+1,1))-AVERAGE(OFFSET($H$3,0,0,'Données projet'!$E$14+1,1))</f>
        <v>543.15812193567342</v>
      </c>
      <c r="DU29" s="60">
        <f t="shared" si="44"/>
        <v>286.40725588660575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5.384615384615385</v>
      </c>
      <c r="EJ29" s="13">
        <f>IF('Données projet'!$A$192&gt;35,EJ28+EI29-ER28,IF(A29&lt;'Données projet'!$A$192,$EG$205^A29,IF(A29='Données projet'!$A$192,'Données projet'!$B$192,EJ28+EI29-ER28)))</f>
        <v>56.66666666666665</v>
      </c>
      <c r="EK29" s="18">
        <f>EJ29*VLOOKUP('Données projet'!$B$15,Paramètres!$A$1:$I$89,3,0)*VLOOKUP('Données projet'!$B$15,Paramètres!$A$1:$I$89,5,0)</f>
        <v>38.011999999999993</v>
      </c>
      <c r="EL29" s="14">
        <f t="shared" si="45"/>
        <v>11.470174197629985</v>
      </c>
      <c r="EM29" s="22">
        <f t="shared" si="19"/>
        <v>86.181453394205548</v>
      </c>
      <c r="EN29" s="60">
        <f t="shared" si="20"/>
        <v>316.46816744339571</v>
      </c>
      <c r="EO29" s="60">
        <f ca="1">AVERAGE(OFFSET($EN$3,0,0,'Données projet'!$E$15+1,1))-AVERAGE(OFFSET($H$3,0,0,'Données projet'!$E$15+1,1))</f>
        <v>239.52247785001794</v>
      </c>
      <c r="EP29" s="60">
        <f t="shared" si="46"/>
        <v>173.69760199651617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8">
        <f t="shared" si="1"/>
        <v>183.33333333333334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77.064000000000007</v>
      </c>
      <c r="P30" s="14">
        <f t="shared" si="33"/>
        <v>21.417762186678065</v>
      </c>
      <c r="Q30" s="22">
        <f t="shared" si="2"/>
        <v>171.52240247513097</v>
      </c>
      <c r="R30" s="60">
        <f t="shared" si="0"/>
        <v>404.04024534769451</v>
      </c>
      <c r="S30" s="60">
        <f ca="1">AVERAGE(OFFSET($R$3,0,0,'Données projet'!$E$9+1,1))-AVERAGE(OFFSET($H$3,0,0,'Données projet'!$E$9+1,1))</f>
        <v>516.54532596122067</v>
      </c>
      <c r="T30" s="60">
        <f t="shared" si="34"/>
        <v>273.35778700650792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4.8717948717948705</v>
      </c>
      <c r="AI30" s="14">
        <f>IF('Données projet'!$A$62&gt;35,AI29+AH30-AQ29,IF(A30&lt;'Données projet'!$A$62,$AF$205^A30,IF(A30='Données projet'!$A$62,'Données projet'!$B$62,AI29+AH30-AQ29)))</f>
        <v>66.153846153846132</v>
      </c>
      <c r="AJ30" s="14">
        <f>AI30*VLOOKUP('Données projet'!$B$10,Paramètres!$A$1:$I$89,3,0)*VLOOKUP('Données projet'!$B$10,Paramètres!$A$1:$I$89,5,0)</f>
        <v>62.951999999999984</v>
      </c>
      <c r="AK30" s="14">
        <f t="shared" si="35"/>
        <v>17.912528220143308</v>
      </c>
      <c r="AL30" s="22">
        <f t="shared" si="4"/>
        <v>140.83905331674956</v>
      </c>
      <c r="AM30" s="60">
        <f t="shared" si="5"/>
        <v>373.35689618931303</v>
      </c>
      <c r="AN30" s="60">
        <f ca="1">AVERAGE(OFFSET($AM$3,0,0,'Données projet'!$E$10+1,1))-AVERAGE(OFFSET($H$3,0,0,'Données projet'!$E$10+1,1))</f>
        <v>328.36544111680962</v>
      </c>
      <c r="AO30" s="60">
        <f t="shared" si="36"/>
        <v>226.85392900722772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9.8000000000000007</v>
      </c>
      <c r="BD30" s="13">
        <f>IF('Données projet'!$A$88&gt;35,BD29+BC30-BL29,IF(A30&lt;'Données projet'!$A$88,$BA$205^A30,IF(A30='Données projet'!$A$88,'Données projet'!$B$88,BD29+BC30-BL29)))</f>
        <v>105.6</v>
      </c>
      <c r="BE30" s="14">
        <f>BD30*VLOOKUP('Données projet'!$B$11,Paramètres!$A$1:$I$89,3,0)*VLOOKUP('Données projet'!$B$11,Paramètres!$A$1:$I$89,5,0)</f>
        <v>92.252160000000003</v>
      </c>
      <c r="BF30" s="14">
        <f t="shared" si="37"/>
        <v>25.107607958259987</v>
      </c>
      <c r="BG30" s="22">
        <f t="shared" si="7"/>
        <v>204.40159586063612</v>
      </c>
      <c r="BH30" s="60">
        <f t="shared" si="8"/>
        <v>436.91943873319963</v>
      </c>
      <c r="BI30" s="60">
        <f ca="1">AVERAGE(OFFSET($BH$3,0,0,'Données projet'!$E$11+1,1))-AVERAGE(OFFSET($H$3,0,0,'Données projet'!$E$11+1,1))</f>
        <v>296.01124173332352</v>
      </c>
      <c r="BJ30" s="60">
        <f t="shared" si="38"/>
        <v>315.50730924873733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</v>
      </c>
      <c r="BY30" s="13">
        <f>IF('Données projet'!$A$114&gt;35,BY29+BX30-CG29,IF(A30&lt;'Données projet'!$A$114,$BV$205^A30,IF(A30='Données projet'!$A$114,'Données projet'!$B$114,BY29+BX30-CG29)))</f>
        <v>92.000000000000014</v>
      </c>
      <c r="BZ30" s="14">
        <f>BY30*VLOOKUP('Données projet'!$B$12,Paramètres!$A$1:$I$89,3,0)*VLOOKUP('Données projet'!$B$12,Paramètres!$A$1:$I$89,5,0)</f>
        <v>60.278400000000012</v>
      </c>
      <c r="CA30" s="14">
        <f t="shared" si="39"/>
        <v>17.238638291828391</v>
      </c>
      <c r="CB30" s="22">
        <f t="shared" si="10"/>
        <v>135.00884169160113</v>
      </c>
      <c r="CC30" s="60">
        <f t="shared" si="11"/>
        <v>367.52668456416461</v>
      </c>
      <c r="CD30" s="60">
        <f ca="1">AVERAGE(OFFSET($CC$3,0,0,'Données projet'!$E$12+1,1))-AVERAGE(OFFSET($H$3,0,0,'Données projet'!$E$12+1,1))</f>
        <v>216.42026264996392</v>
      </c>
      <c r="CE30" s="60">
        <f t="shared" si="40"/>
        <v>216.4587454288401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4.8</v>
      </c>
      <c r="CT30" s="13">
        <f>IF('Données projet'!$A$140&gt;35,CT29+CS30-DB29,IF(A30&lt;'Données projet'!$A$140,$CQ$205^A30,IF(A30='Données projet'!$A$140,'Données projet'!$B$140,CT29+CS30-DB29)))</f>
        <v>39.599999999999994</v>
      </c>
      <c r="CU30" s="18">
        <f>CT30*VLOOKUP('Données projet'!$B$13,Paramètres!$A$1:$I$89,3,0)*VLOOKUP('Données projet'!$B$13,Paramètres!$A$1:$I$89,5,0)</f>
        <v>38.301119999999997</v>
      </c>
      <c r="CV30" s="14">
        <f t="shared" si="41"/>
        <v>11.547227522927502</v>
      </c>
      <c r="CW30" s="22">
        <f t="shared" si="13"/>
        <v>86.819205269098731</v>
      </c>
      <c r="CX30" s="60">
        <f t="shared" si="14"/>
        <v>319.33704814166225</v>
      </c>
      <c r="CY30" s="60">
        <f ca="1">AVERAGE(OFFSET($CX$3,0,0,'Données projet'!$E$13+1,1))-AVERAGE(OFFSET($H$3,0,0,'Données projet'!$E$13+1,1))</f>
        <v>385.5283976785621</v>
      </c>
      <c r="CZ30" s="60">
        <f t="shared" si="42"/>
        <v>173.19148969173838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76</v>
      </c>
      <c r="DP30" s="18">
        <f>DO30*VLOOKUP('Données projet'!$B$14,Paramètres!$A$1:$I$89,3,0)*VLOOKUP('Données projet'!$B$14,Paramètres!$A$1:$I$89,5,0)</f>
        <v>81.806399999999996</v>
      </c>
      <c r="DQ30" s="14">
        <f t="shared" si="43"/>
        <v>22.578282710556032</v>
      </c>
      <c r="DR30" s="22">
        <f t="shared" si="16"/>
        <v>181.80332238755173</v>
      </c>
      <c r="DS30" s="60">
        <f t="shared" si="17"/>
        <v>414.32116526011521</v>
      </c>
      <c r="DT30" s="60">
        <f ca="1">AVERAGE(OFFSET($DS$3,0,0,'Données projet'!$E$14+1,1))-AVERAGE(OFFSET($H$3,0,0,'Données projet'!$E$14+1,1))</f>
        <v>543.15812193567342</v>
      </c>
      <c r="DU30" s="60">
        <f t="shared" si="44"/>
        <v>286.40725588660575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5.384615384615385</v>
      </c>
      <c r="EJ30" s="13">
        <f>IF('Données projet'!$A$192&gt;35,EJ29+EI30-ER29,IF(A30&lt;'Données projet'!$A$192,$EG$205^A30,IF(A30='Données projet'!$A$192,'Données projet'!$B$192,EJ29+EI30-ER29)))</f>
        <v>62.051282051282037</v>
      </c>
      <c r="EK30" s="18">
        <f>EJ30*VLOOKUP('Données projet'!$B$15,Paramètres!$A$1:$I$89,3,0)*VLOOKUP('Données projet'!$B$15,Paramètres!$A$1:$I$89,5,0)</f>
        <v>41.623999999999995</v>
      </c>
      <c r="EL30" s="14">
        <f t="shared" si="45"/>
        <v>12.428086232039275</v>
      </c>
      <c r="EM30" s="22">
        <f t="shared" si="19"/>
        <v>94.140716854135064</v>
      </c>
      <c r="EN30" s="60">
        <f t="shared" si="20"/>
        <v>326.65855972669857</v>
      </c>
      <c r="EO30" s="60">
        <f ca="1">AVERAGE(OFFSET($EN$3,0,0,'Données projet'!$E$15+1,1))-AVERAGE(OFFSET($H$3,0,0,'Données projet'!$E$15+1,1))</f>
        <v>239.52247785001794</v>
      </c>
      <c r="EP30" s="60">
        <f t="shared" si="46"/>
        <v>173.69760199651617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8">
        <f t="shared" si="1"/>
        <v>183.33333333333334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84.162000000000006</v>
      </c>
      <c r="P31" s="14">
        <f t="shared" si="33"/>
        <v>23.151791590506594</v>
      </c>
      <c r="Q31" s="22">
        <f t="shared" si="2"/>
        <v>186.90485368679899</v>
      </c>
      <c r="R31" s="60">
        <f t="shared" si="0"/>
        <v>421.63632310878307</v>
      </c>
      <c r="S31" s="60">
        <f ca="1">AVERAGE(OFFSET($R$3,0,0,'Données projet'!$E$9+1,1))-AVERAGE(OFFSET($H$3,0,0,'Données projet'!$E$9+1,1))</f>
        <v>516.54532596122067</v>
      </c>
      <c r="T31" s="60">
        <f t="shared" si="34"/>
        <v>273.35778700650792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4.8717948717948705</v>
      </c>
      <c r="AI31" s="14">
        <f>IF('Données projet'!$A$62&gt;35,AI30+AH31-AQ30,IF(A31&lt;'Données projet'!$A$62,$AF$205^A31,IF(A31='Données projet'!$A$62,'Données projet'!$B$62,AI30+AH31-AQ30)))</f>
        <v>71.025641025641008</v>
      </c>
      <c r="AJ31" s="14">
        <f>AI31*VLOOKUP('Données projet'!$B$10,Paramètres!$A$1:$I$89,3,0)*VLOOKUP('Données projet'!$B$10,Paramètres!$A$1:$I$89,5,0)</f>
        <v>67.58799999999998</v>
      </c>
      <c r="AK31" s="14">
        <f t="shared" si="35"/>
        <v>19.073256065008206</v>
      </c>
      <c r="AL31" s="22">
        <f t="shared" si="4"/>
        <v>150.93502097988926</v>
      </c>
      <c r="AM31" s="60">
        <f t="shared" si="5"/>
        <v>385.66649040187338</v>
      </c>
      <c r="AN31" s="60">
        <f ca="1">AVERAGE(OFFSET($AM$3,0,0,'Données projet'!$E$10+1,1))-AVERAGE(OFFSET($H$3,0,0,'Données projet'!$E$10+1,1))</f>
        <v>328.36544111680962</v>
      </c>
      <c r="AO31" s="60">
        <f t="shared" si="36"/>
        <v>226.85392900722772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9.8000000000000007</v>
      </c>
      <c r="BD31" s="13">
        <f>IF('Données projet'!$A$88&gt;35,BD30+BC31-BL30,IF(A31&lt;'Données projet'!$A$88,$BA$205^A31,IF(A31='Données projet'!$A$88,'Données projet'!$B$88,BD30+BC31-BL30)))</f>
        <v>115.39999999999999</v>
      </c>
      <c r="BE31" s="14">
        <f>BD31*VLOOKUP('Données projet'!$B$11,Paramètres!$A$1:$I$89,3,0)*VLOOKUP('Données projet'!$B$11,Paramètres!$A$1:$I$89,5,0)</f>
        <v>100.81344</v>
      </c>
      <c r="BF31" s="14">
        <f t="shared" si="37"/>
        <v>27.155696942944218</v>
      </c>
      <c r="BG31" s="22">
        <f t="shared" si="7"/>
        <v>222.87958017562786</v>
      </c>
      <c r="BH31" s="60">
        <f t="shared" si="8"/>
        <v>457.61104959761195</v>
      </c>
      <c r="BI31" s="60">
        <f ca="1">AVERAGE(OFFSET($BH$3,0,0,'Données projet'!$E$11+1,1))-AVERAGE(OFFSET($H$3,0,0,'Données projet'!$E$11+1,1))</f>
        <v>296.01124173332352</v>
      </c>
      <c r="BJ31" s="60">
        <f t="shared" si="38"/>
        <v>315.50730924873733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</v>
      </c>
      <c r="BY31" s="13">
        <f>IF('Données projet'!$A$114&gt;35,BY30+BX31-CG30,IF(A31&lt;'Données projet'!$A$114,$BV$205^A31,IF(A31='Données projet'!$A$114,'Données projet'!$B$114,BY30+BX31-CG30)))</f>
        <v>98.000000000000014</v>
      </c>
      <c r="BZ31" s="14">
        <f>BY31*VLOOKUP('Données projet'!$B$12,Paramètres!$A$1:$I$89,3,0)*VLOOKUP('Données projet'!$B$12,Paramètres!$A$1:$I$89,5,0)</f>
        <v>64.209600000000009</v>
      </c>
      <c r="CA31" s="14">
        <f t="shared" si="39"/>
        <v>18.228351453708495</v>
      </c>
      <c r="CB31" s="22">
        <f t="shared" si="10"/>
        <v>143.57943211520899</v>
      </c>
      <c r="CC31" s="60">
        <f t="shared" si="11"/>
        <v>378.3109015371931</v>
      </c>
      <c r="CD31" s="60">
        <f ca="1">AVERAGE(OFFSET($CC$3,0,0,'Données projet'!$E$12+1,1))-AVERAGE(OFFSET($H$3,0,0,'Données projet'!$E$12+1,1))</f>
        <v>216.42026264996392</v>
      </c>
      <c r="CE31" s="60">
        <f t="shared" si="40"/>
        <v>216.4587454288401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4.8</v>
      </c>
      <c r="CT31" s="13">
        <f>IF('Données projet'!$A$140&gt;35,CT30+CS31-DB30,IF(A31&lt;'Données projet'!$A$140,$CQ$205^A31,IF(A31='Données projet'!$A$140,'Données projet'!$B$140,CT30+CS31-DB30)))</f>
        <v>44.399999999999991</v>
      </c>
      <c r="CU31" s="18">
        <f>CT31*VLOOKUP('Données projet'!$B$13,Paramètres!$A$1:$I$89,3,0)*VLOOKUP('Données projet'!$B$13,Paramètres!$A$1:$I$89,5,0)</f>
        <v>42.943679999999993</v>
      </c>
      <c r="CV31" s="14">
        <f t="shared" si="41"/>
        <v>12.775615987781539</v>
      </c>
      <c r="CW31" s="22">
        <f t="shared" si="13"/>
        <v>97.044440512052844</v>
      </c>
      <c r="CX31" s="60">
        <f t="shared" si="14"/>
        <v>331.77590993403692</v>
      </c>
      <c r="CY31" s="60">
        <f ca="1">AVERAGE(OFFSET($CX$3,0,0,'Données projet'!$E$13+1,1))-AVERAGE(OFFSET($H$3,0,0,'Données projet'!$E$13+1,1))</f>
        <v>385.5283976785621</v>
      </c>
      <c r="CZ31" s="60">
        <f t="shared" si="42"/>
        <v>173.19148969173838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83</v>
      </c>
      <c r="DP31" s="18">
        <f>DO31*VLOOKUP('Données projet'!$B$14,Paramètres!$A$1:$I$89,3,0)*VLOOKUP('Données projet'!$B$14,Paramètres!$A$1:$I$89,5,0)</f>
        <v>89.341200000000001</v>
      </c>
      <c r="DQ31" s="14">
        <f t="shared" si="43"/>
        <v>24.40627042312898</v>
      </c>
      <c r="DR31" s="22">
        <f t="shared" si="16"/>
        <v>198.11017765361632</v>
      </c>
      <c r="DS31" s="60">
        <f t="shared" si="17"/>
        <v>432.84164707560041</v>
      </c>
      <c r="DT31" s="60">
        <f ca="1">AVERAGE(OFFSET($DS$3,0,0,'Données projet'!$E$14+1,1))-AVERAGE(OFFSET($H$3,0,0,'Données projet'!$E$14+1,1))</f>
        <v>543.15812193567342</v>
      </c>
      <c r="DU31" s="60">
        <f t="shared" si="44"/>
        <v>286.40725588660575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5.384615384615385</v>
      </c>
      <c r="EJ31" s="13">
        <f>IF('Données projet'!$A$192&gt;35,EJ30+EI31-ER30,IF(A31&lt;'Données projet'!$A$192,$EG$205^A31,IF(A31='Données projet'!$A$192,'Données projet'!$B$192,EJ30+EI31-ER30)))</f>
        <v>67.435897435897417</v>
      </c>
      <c r="EK31" s="18">
        <f>EJ31*VLOOKUP('Données projet'!$B$15,Paramètres!$A$1:$I$89,3,0)*VLOOKUP('Données projet'!$B$15,Paramètres!$A$1:$I$89,5,0)</f>
        <v>45.23599999999999</v>
      </c>
      <c r="EL31" s="14">
        <f t="shared" si="45"/>
        <v>13.376358504258871</v>
      </c>
      <c r="EM31" s="22">
        <f t="shared" si="19"/>
        <v>102.0831910615842</v>
      </c>
      <c r="EN31" s="60">
        <f t="shared" si="20"/>
        <v>336.81466048356828</v>
      </c>
      <c r="EO31" s="60">
        <f ca="1">AVERAGE(OFFSET($EN$3,0,0,'Données projet'!$E$15+1,1))-AVERAGE(OFFSET($H$3,0,0,'Données projet'!$E$15+1,1))</f>
        <v>239.52247785001794</v>
      </c>
      <c r="EP31" s="60">
        <f t="shared" si="46"/>
        <v>173.69760199651617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8">
        <f t="shared" si="1"/>
        <v>183.33333333333334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91.26</v>
      </c>
      <c r="P32" s="14">
        <f t="shared" si="33"/>
        <v>24.868860330902777</v>
      </c>
      <c r="Q32" s="22">
        <f t="shared" si="2"/>
        <v>202.25776507632233</v>
      </c>
      <c r="R32" s="60">
        <f t="shared" si="0"/>
        <v>439.18566239909819</v>
      </c>
      <c r="S32" s="60">
        <f ca="1">AVERAGE(OFFSET($R$3,0,0,'Données projet'!$E$9+1,1))-AVERAGE(OFFSET($H$3,0,0,'Données projet'!$E$9+1,1))</f>
        <v>516.54532596122067</v>
      </c>
      <c r="T32" s="60">
        <f t="shared" si="34"/>
        <v>273.35778700650792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4.8717948717948705</v>
      </c>
      <c r="AI32" s="14">
        <f>IF('Données projet'!$A$62&gt;35,AI31+AH32-AQ31,IF(A32&lt;'Données projet'!$A$62,$AF$205^A32,IF(A32='Données projet'!$A$62,'Données projet'!$B$62,AI31+AH32-AQ31)))</f>
        <v>75.897435897435884</v>
      </c>
      <c r="AJ32" s="14">
        <f>AI32*VLOOKUP('Données projet'!$B$10,Paramètres!$A$1:$I$89,3,0)*VLOOKUP('Données projet'!$B$10,Paramètres!$A$1:$I$89,5,0)</f>
        <v>72.22399999999999</v>
      </c>
      <c r="AK32" s="14">
        <f t="shared" si="35"/>
        <v>20.224745778538328</v>
      </c>
      <c r="AL32" s="22">
        <f t="shared" si="4"/>
        <v>161.0148988976209</v>
      </c>
      <c r="AM32" s="60">
        <f t="shared" si="5"/>
        <v>397.94279622039676</v>
      </c>
      <c r="AN32" s="60">
        <f ca="1">AVERAGE(OFFSET($AM$3,0,0,'Données projet'!$E$10+1,1))-AVERAGE(OFFSET($H$3,0,0,'Données projet'!$E$10+1,1))</f>
        <v>328.36544111680962</v>
      </c>
      <c r="AO32" s="60">
        <f t="shared" si="36"/>
        <v>226.85392900722772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9.8000000000000007</v>
      </c>
      <c r="BD32" s="13">
        <f>IF('Données projet'!$A$88&gt;35,BD31+BC32-BL31,IF(A32&lt;'Données projet'!$A$88,$BA$205^A32,IF(A32='Données projet'!$A$88,'Données projet'!$B$88,BD31+BC32-BL31)))</f>
        <v>125.19999999999999</v>
      </c>
      <c r="BE32" s="14">
        <f>BD32*VLOOKUP('Données projet'!$B$11,Paramètres!$A$1:$I$89,3,0)*VLOOKUP('Données projet'!$B$11,Paramètres!$A$1:$I$89,5,0)</f>
        <v>109.37472</v>
      </c>
      <c r="BF32" s="14">
        <f t="shared" si="37"/>
        <v>29.183614885996381</v>
      </c>
      <c r="BG32" s="22">
        <f t="shared" si="7"/>
        <v>241.32243325977697</v>
      </c>
      <c r="BH32" s="60">
        <f t="shared" si="8"/>
        <v>478.25033058255281</v>
      </c>
      <c r="BI32" s="60">
        <f ca="1">AVERAGE(OFFSET($BH$3,0,0,'Données projet'!$E$11+1,1))-AVERAGE(OFFSET($H$3,0,0,'Données projet'!$E$11+1,1))</f>
        <v>296.01124173332352</v>
      </c>
      <c r="BJ32" s="60">
        <f t="shared" si="38"/>
        <v>315.50730924873733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</v>
      </c>
      <c r="BY32" s="13">
        <f>IF('Données projet'!$A$114&gt;35,BY31+BX32-CG31,IF(A32&lt;'Données projet'!$A$114,$BV$205^A32,IF(A32='Données projet'!$A$114,'Données projet'!$B$114,BY31+BX32-CG31)))</f>
        <v>104.00000000000001</v>
      </c>
      <c r="BZ32" s="14">
        <f>BY32*VLOOKUP('Données projet'!$B$12,Paramètres!$A$1:$I$89,3,0)*VLOOKUP('Données projet'!$B$12,Paramètres!$A$1:$I$89,5,0)</f>
        <v>68.140800000000013</v>
      </c>
      <c r="CA32" s="14">
        <f t="shared" si="39"/>
        <v>19.211031830304478</v>
      </c>
      <c r="CB32" s="22">
        <f t="shared" si="10"/>
        <v>152.13777377111367</v>
      </c>
      <c r="CC32" s="60">
        <f t="shared" si="11"/>
        <v>389.06567109388948</v>
      </c>
      <c r="CD32" s="60">
        <f ca="1">AVERAGE(OFFSET($CC$3,0,0,'Données projet'!$E$12+1,1))-AVERAGE(OFFSET($H$3,0,0,'Données projet'!$E$12+1,1))</f>
        <v>216.42026264996392</v>
      </c>
      <c r="CE32" s="60">
        <f t="shared" si="40"/>
        <v>216.4587454288401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4.8</v>
      </c>
      <c r="CT32" s="13">
        <f>IF('Données projet'!$A$140&gt;35,CT31+CS32-DB31,IF(A32&lt;'Données projet'!$A$140,$CQ$205^A32,IF(A32='Données projet'!$A$140,'Données projet'!$B$140,CT31+CS32-DB31)))</f>
        <v>49.199999999999989</v>
      </c>
      <c r="CU32" s="18">
        <f>CT32*VLOOKUP('Données projet'!$B$13,Paramètres!$A$1:$I$89,3,0)*VLOOKUP('Données projet'!$B$13,Paramètres!$A$1:$I$89,5,0)</f>
        <v>47.586239999999989</v>
      </c>
      <c r="CV32" s="14">
        <f t="shared" si="41"/>
        <v>13.98861191110446</v>
      </c>
      <c r="CW32" s="22">
        <f t="shared" si="13"/>
        <v>107.2428670785069</v>
      </c>
      <c r="CX32" s="60">
        <f t="shared" si="14"/>
        <v>344.17076440128272</v>
      </c>
      <c r="CY32" s="60">
        <f ca="1">AVERAGE(OFFSET($CX$3,0,0,'Données projet'!$E$13+1,1))-AVERAGE(OFFSET($H$3,0,0,'Données projet'!$E$13+1,1))</f>
        <v>385.5283976785621</v>
      </c>
      <c r="CZ32" s="60">
        <f t="shared" si="42"/>
        <v>173.19148969173838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90</v>
      </c>
      <c r="DP32" s="18">
        <f>DO32*VLOOKUP('Données projet'!$B$14,Paramètres!$A$1:$I$89,3,0)*VLOOKUP('Données projet'!$B$14,Paramètres!$A$1:$I$89,5,0)</f>
        <v>96.875999999999991</v>
      </c>
      <c r="DQ32" s="14">
        <f t="shared" si="43"/>
        <v>26.21637845945024</v>
      </c>
      <c r="DR32" s="22">
        <f t="shared" si="16"/>
        <v>214.38589248354245</v>
      </c>
      <c r="DS32" s="60">
        <f t="shared" si="17"/>
        <v>451.31378980631825</v>
      </c>
      <c r="DT32" s="60">
        <f ca="1">AVERAGE(OFFSET($DS$3,0,0,'Données projet'!$E$14+1,1))-AVERAGE(OFFSET($H$3,0,0,'Données projet'!$E$14+1,1))</f>
        <v>543.15812193567342</v>
      </c>
      <c r="DU32" s="60">
        <f t="shared" si="44"/>
        <v>286.40725588660575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5.384615384615385</v>
      </c>
      <c r="EJ32" s="13">
        <f>IF('Données projet'!$A$192&gt;35,EJ31+EI32-ER31,IF(A32&lt;'Données projet'!$A$192,$EG$205^A32,IF(A32='Données projet'!$A$192,'Données projet'!$B$192,EJ31+EI32-ER31)))</f>
        <v>72.820512820512803</v>
      </c>
      <c r="EK32" s="18">
        <f>EJ32*VLOOKUP('Données projet'!$B$15,Paramètres!$A$1:$I$89,3,0)*VLOOKUP('Données projet'!$B$15,Paramètres!$A$1:$I$89,5,0)</f>
        <v>48.847999999999992</v>
      </c>
      <c r="EL32" s="14">
        <f t="shared" si="45"/>
        <v>14.315848238881374</v>
      </c>
      <c r="EM32" s="22">
        <f t="shared" si="19"/>
        <v>110.0103690160517</v>
      </c>
      <c r="EN32" s="60">
        <f t="shared" si="20"/>
        <v>346.93826633882753</v>
      </c>
      <c r="EO32" s="60">
        <f ca="1">AVERAGE(OFFSET($EN$3,0,0,'Données projet'!$E$15+1,1))-AVERAGE(OFFSET($H$3,0,0,'Données projet'!$E$15+1,1))</f>
        <v>239.52247785001794</v>
      </c>
      <c r="EP32" s="60">
        <f t="shared" si="46"/>
        <v>173.69760199651617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8">
        <f t="shared" si="1"/>
        <v>183.33333333333334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98.358000000000004</v>
      </c>
      <c r="P33" s="14">
        <f t="shared" si="33"/>
        <v>26.570437554143126</v>
      </c>
      <c r="Q33" s="22">
        <f t="shared" si="2"/>
        <v>217.58369540679928</v>
      </c>
      <c r="R33" s="60">
        <f t="shared" si="0"/>
        <v>456.69112033984129</v>
      </c>
      <c r="S33" s="60">
        <f ca="1">AVERAGE(OFFSET($R$3,0,0,'Données projet'!$E$9+1,1))-AVERAGE(OFFSET($H$3,0,0,'Données projet'!$E$9+1,1))</f>
        <v>516.54532596122067</v>
      </c>
      <c r="T33" s="60">
        <f t="shared" si="34"/>
        <v>273.35778700650792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80.769230769230759</v>
      </c>
      <c r="AG33" s="13">
        <f>VLOOKUP(A33,'Données projet'!$A$61:$I$81,9,0)</f>
        <v>4.8717948717948705</v>
      </c>
      <c r="AH33" s="13">
        <f t="array" ref="AH33">INDEX(AG:AG,MIN(IF(ISNUMBER(AG33:AG229),ROW(AG33:AG229),"")))</f>
        <v>4.8717948717948705</v>
      </c>
      <c r="AI33" s="14">
        <f>IF('Données projet'!$A$62&gt;35,AI32+AH33-AQ32,IF(A33&lt;'Données projet'!$A$62,$AF$205^A33,IF(A33='Données projet'!$A$62,'Données projet'!$B$62,AI32+AH33-AQ32)))</f>
        <v>80.769230769230759</v>
      </c>
      <c r="AJ33" s="14">
        <f>AI33*VLOOKUP('Données projet'!$B$10,Paramètres!$A$1:$I$89,3,0)*VLOOKUP('Données projet'!$B$10,Paramètres!$A$1:$I$89,5,0)</f>
        <v>76.859999999999985</v>
      </c>
      <c r="AK33" s="14">
        <f t="shared" si="35"/>
        <v>21.367657841637747</v>
      </c>
      <c r="AL33" s="22">
        <f t="shared" si="4"/>
        <v>171.07983740751908</v>
      </c>
      <c r="AM33" s="60">
        <f t="shared" si="5"/>
        <v>410.18726234056106</v>
      </c>
      <c r="AN33" s="60">
        <f ca="1">AVERAGE(OFFSET($AM$3,0,0,'Données projet'!$E$10+1,1))-AVERAGE(OFFSET($H$3,0,0,'Données projet'!$E$10+1,1))</f>
        <v>328.36544111680962</v>
      </c>
      <c r="AO33" s="60">
        <f t="shared" si="36"/>
        <v>226.85392900722772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16.666666666666668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135</v>
      </c>
      <c r="BB33" s="13">
        <f>VLOOKUP(A33,'Données projet'!$A$87:$I$107,9,0)</f>
        <v>9.8000000000000007</v>
      </c>
      <c r="BC33" s="13">
        <f t="array" ref="BC33">INDEX(BB:BB,MIN(IF(ISNUMBER(BB33:BB229),ROW(BB33:BB229),"")))</f>
        <v>9.8000000000000007</v>
      </c>
      <c r="BD33" s="13">
        <f>IF('Données projet'!$A$88&gt;35,BD32+BC33-BL32,IF(A33&lt;'Données projet'!$A$88,$BA$205^A33,IF(A33='Données projet'!$A$88,'Données projet'!$B$88,BD32+BC33-BL32)))</f>
        <v>135</v>
      </c>
      <c r="BE33" s="14">
        <f>BD33*VLOOKUP('Données projet'!$B$11,Paramètres!$A$1:$I$89,3,0)*VLOOKUP('Données projet'!$B$11,Paramètres!$A$1:$I$89,5,0)</f>
        <v>117.93600000000002</v>
      </c>
      <c r="BF33" s="14">
        <f t="shared" si="37"/>
        <v>31.1931201812605</v>
      </c>
      <c r="BG33" s="22">
        <f t="shared" si="7"/>
        <v>259.73321764902875</v>
      </c>
      <c r="BH33" s="60">
        <f t="shared" si="8"/>
        <v>498.8406425820707</v>
      </c>
      <c r="BI33" s="60">
        <f ca="1">AVERAGE(OFFSET($BH$3,0,0,'Données projet'!$E$11+1,1))-AVERAGE(OFFSET($H$3,0,0,'Données projet'!$E$11+1,1))</f>
        <v>296.01124173332352</v>
      </c>
      <c r="BJ33" s="60">
        <f t="shared" si="38"/>
        <v>315.50730924873733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42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110</v>
      </c>
      <c r="BW33" s="13">
        <f>VLOOKUP(A33,'Données projet'!$A$113:$I$133,9,0)</f>
        <v>6</v>
      </c>
      <c r="BX33" s="13">
        <f t="array" ref="BX33">INDEX(BW:BW,MIN(IF(ISNUMBER(BW33:BW229),ROW(BW33:BW229),"")))</f>
        <v>6</v>
      </c>
      <c r="BY33" s="13">
        <f>IF('Données projet'!$A$114&gt;35,BY32+BX33-CG32,IF(A33&lt;'Données projet'!$A$114,$BV$205^A33,IF(A33='Données projet'!$A$114,'Données projet'!$B$114,BY32+BX33-CG32)))</f>
        <v>110.00000000000001</v>
      </c>
      <c r="BZ33" s="14">
        <f>BY33*VLOOKUP('Données projet'!$B$12,Paramètres!$A$1:$I$89,3,0)*VLOOKUP('Données projet'!$B$12,Paramètres!$A$1:$I$89,5,0)</f>
        <v>72.072000000000003</v>
      </c>
      <c r="CA33" s="14">
        <f t="shared" si="39"/>
        <v>20.187131385147271</v>
      </c>
      <c r="CB33" s="22">
        <f t="shared" si="10"/>
        <v>160.68465382913149</v>
      </c>
      <c r="CC33" s="60">
        <f t="shared" si="11"/>
        <v>399.79207876217345</v>
      </c>
      <c r="CD33" s="60">
        <f ca="1">AVERAGE(OFFSET($CC$3,0,0,'Données projet'!$E$12+1,1))-AVERAGE(OFFSET($H$3,0,0,'Données projet'!$E$12+1,1))</f>
        <v>216.42026264996392</v>
      </c>
      <c r="CE33" s="60">
        <f t="shared" si="40"/>
        <v>216.4587454288401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31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54</v>
      </c>
      <c r="CR33" s="13">
        <f>VLOOKUP(A33,'Données projet'!$A$139:$I$159,9,0)</f>
        <v>4.8</v>
      </c>
      <c r="CS33" s="13">
        <f t="array" ref="CS33">INDEX(CR:CR,MIN(IF(ISNUMBER(CR33:CR229),ROW(CR33:CR229),"")))</f>
        <v>4.8</v>
      </c>
      <c r="CT33" s="13">
        <f>IF('Données projet'!$A$140&gt;35,CT32+CS33-DB32,IF(A33&lt;'Données projet'!$A$140,$CQ$205^A33,IF(A33='Données projet'!$A$140,'Données projet'!$B$140,CT32+CS33-DB32)))</f>
        <v>53.999999999999986</v>
      </c>
      <c r="CU33" s="18">
        <f>CT33*VLOOKUP('Données projet'!$B$13,Paramètres!$A$1:$I$89,3,0)*VLOOKUP('Données projet'!$B$13,Paramètres!$A$1:$I$89,5,0)</f>
        <v>52.228799999999985</v>
      </c>
      <c r="CV33" s="14">
        <f t="shared" si="41"/>
        <v>15.187887899730002</v>
      </c>
      <c r="CW33" s="22">
        <f t="shared" si="13"/>
        <v>117.41739809202973</v>
      </c>
      <c r="CX33" s="60">
        <f t="shared" si="14"/>
        <v>356.52482302507173</v>
      </c>
      <c r="CY33" s="60">
        <f ca="1">AVERAGE(OFFSET($CX$3,0,0,'Données projet'!$E$13+1,1))-AVERAGE(OFFSET($H$3,0,0,'Données projet'!$E$13+1,1))</f>
        <v>385.5283976785621</v>
      </c>
      <c r="CZ33" s="60">
        <f t="shared" si="42"/>
        <v>173.19148969173838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97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97</v>
      </c>
      <c r="DP33" s="18">
        <f>DO33*VLOOKUP('Données projet'!$B$14,Paramètres!$A$1:$I$89,3,0)*VLOOKUP('Données projet'!$B$14,Paramètres!$A$1:$I$89,5,0)</f>
        <v>104.41079999999999</v>
      </c>
      <c r="DQ33" s="14">
        <f t="shared" si="43"/>
        <v>28.010155571424168</v>
      </c>
      <c r="DR33" s="22">
        <f t="shared" si="16"/>
        <v>230.63316428689711</v>
      </c>
      <c r="DS33" s="60">
        <f t="shared" si="17"/>
        <v>469.74058921993912</v>
      </c>
      <c r="DT33" s="60">
        <f ca="1">AVERAGE(OFFSET($DS$3,0,0,'Données projet'!$E$14+1,1))-AVERAGE(OFFSET($H$3,0,0,'Données projet'!$E$14+1,1))</f>
        <v>543.15812193567342</v>
      </c>
      <c r="DU33" s="60">
        <f t="shared" si="44"/>
        <v>286.40725588660575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78.205128205128204</v>
      </c>
      <c r="EH33" s="13">
        <f>VLOOKUP(A33,'Données projet'!$A$191:$I$211,9,0)</f>
        <v>5.384615384615385</v>
      </c>
      <c r="EI33" s="13">
        <f t="array" ref="EI33">INDEX(EH:EH,MIN(IF(ISNUMBER(EH33:EH229),ROW(EH33:EH229),"")))</f>
        <v>5.384615384615385</v>
      </c>
      <c r="EJ33" s="13">
        <f>IF('Données projet'!$A$192&gt;35,EJ32+EI33-ER32,IF(A33&lt;'Données projet'!$A$192,$EG$205^A33,IF(A33='Données projet'!$A$192,'Données projet'!$B$192,EJ32+EI33-ER32)))</f>
        <v>78.20512820512819</v>
      </c>
      <c r="EK33" s="18">
        <f>EJ33*VLOOKUP('Données projet'!$B$15,Paramètres!$A$1:$I$89,3,0)*VLOOKUP('Données projet'!$B$15,Paramètres!$A$1:$I$89,5,0)</f>
        <v>52.459999999999994</v>
      </c>
      <c r="EL33" s="14">
        <f t="shared" si="45"/>
        <v>15.247278696731632</v>
      </c>
      <c r="EM33" s="22">
        <f t="shared" si="19"/>
        <v>117.92351039680756</v>
      </c>
      <c r="EN33" s="60">
        <f t="shared" si="20"/>
        <v>357.03093532984951</v>
      </c>
      <c r="EO33" s="60">
        <f ca="1">AVERAGE(OFFSET($EN$3,0,0,'Données projet'!$E$15+1,1))-AVERAGE(OFFSET($H$3,0,0,'Données projet'!$E$15+1,1))</f>
        <v>239.52247785001794</v>
      </c>
      <c r="EP33" s="60">
        <f t="shared" si="46"/>
        <v>173.69760199651617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19.23076923076923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0.10600000000000001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1.5056683722854214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1.5056683722854214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8">
        <f t="shared" si="1"/>
        <v>183.33333333333334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106.47</v>
      </c>
      <c r="P34" s="14">
        <f t="shared" si="33"/>
        <v>28.49771681771891</v>
      </c>
      <c r="Q34" s="22">
        <f t="shared" si="2"/>
        <v>235.06877345752704</v>
      </c>
      <c r="R34" s="60">
        <f t="shared" si="0"/>
        <v>475.1168966703446</v>
      </c>
      <c r="S34" s="60">
        <f ca="1">AVERAGE(OFFSET($R$3,0,0,'Données projet'!$E$9+1,1))-AVERAGE(OFFSET($H$3,0,0,'Données projet'!$E$9+1,1))</f>
        <v>516.54532596122067</v>
      </c>
      <c r="T34" s="60">
        <f t="shared" si="34"/>
        <v>273.35778700650792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4.8717948717948731</v>
      </c>
      <c r="AI34" s="14">
        <f>IF('Données projet'!$A$62&gt;35,AI33+AH34-AQ33,IF(A34&lt;'Données projet'!$A$62,$AF$205^A34,IF(A34='Données projet'!$A$62,'Données projet'!$B$62,AI33+AH34-AQ33)))</f>
        <v>68.974358974358964</v>
      </c>
      <c r="AJ34" s="14">
        <f>AI34*VLOOKUP('Données projet'!$B$10,Paramètres!$A$1:$I$89,3,0)*VLOOKUP('Données projet'!$B$10,Paramètres!$A$1:$I$89,5,0)</f>
        <v>65.635999999999981</v>
      </c>
      <c r="AK34" s="14">
        <f t="shared" si="35"/>
        <v>18.585696032944064</v>
      </c>
      <c r="AL34" s="22">
        <f t="shared" si="4"/>
        <v>146.68612059071086</v>
      </c>
      <c r="AM34" s="60">
        <f t="shared" si="5"/>
        <v>386.73424380352844</v>
      </c>
      <c r="AN34" s="60">
        <f ca="1">AVERAGE(OFFSET($AM$3,0,0,'Données projet'!$E$10+1,1))-AVERAGE(OFFSET($H$3,0,0,'Données projet'!$E$10+1,1))</f>
        <v>328.36544111680962</v>
      </c>
      <c r="AO34" s="60">
        <f t="shared" si="36"/>
        <v>226.85392900722772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8.6</v>
      </c>
      <c r="BD34" s="13">
        <f>IF('Données projet'!$A$88&gt;35,BD33+BC34-BL33,IF(A34&lt;'Données projet'!$A$88,$BA$205^A34,IF(A34='Données projet'!$A$88,'Données projet'!$B$88,BD33+BC34-BL33)))</f>
        <v>101.6</v>
      </c>
      <c r="BE34" s="14">
        <f>BD34*VLOOKUP('Données projet'!$B$11,Paramètres!$A$1:$I$89,3,0)*VLOOKUP('Données projet'!$B$11,Paramètres!$A$1:$I$89,5,0)</f>
        <v>88.757760000000005</v>
      </c>
      <c r="BF34" s="14">
        <f t="shared" si="37"/>
        <v>24.265384701755014</v>
      </c>
      <c r="BG34" s="22">
        <f t="shared" si="7"/>
        <v>196.84864368888998</v>
      </c>
      <c r="BH34" s="60">
        <f t="shared" si="8"/>
        <v>436.89676690170757</v>
      </c>
      <c r="BI34" s="60">
        <f ca="1">AVERAGE(OFFSET($BH$3,0,0,'Données projet'!$E$11+1,1))-AVERAGE(OFFSET($H$3,0,0,'Données projet'!$E$11+1,1))</f>
        <v>296.01124173332352</v>
      </c>
      <c r="BJ34" s="60">
        <f t="shared" si="38"/>
        <v>315.50730924873733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6</v>
      </c>
      <c r="BY34" s="13">
        <f>IF('Données projet'!$A$114&gt;35,BY33+BX34-CG33,IF(A34&lt;'Données projet'!$A$114,$BV$205^A34,IF(A34='Données projet'!$A$114,'Données projet'!$B$114,BY33+BX34-CG33)))</f>
        <v>85.000000000000014</v>
      </c>
      <c r="BZ34" s="14">
        <f>BY34*VLOOKUP('Données projet'!$B$12,Paramètres!$A$1:$I$89,3,0)*VLOOKUP('Données projet'!$B$12,Paramètres!$A$1:$I$89,5,0)</f>
        <v>55.692000000000007</v>
      </c>
      <c r="CA34" s="14">
        <f t="shared" si="39"/>
        <v>16.074393504165204</v>
      </c>
      <c r="CB34" s="22">
        <f t="shared" si="10"/>
        <v>124.99313535308772</v>
      </c>
      <c r="CC34" s="60">
        <f t="shared" si="11"/>
        <v>365.04125856590531</v>
      </c>
      <c r="CD34" s="60">
        <f ca="1">AVERAGE(OFFSET($CC$3,0,0,'Données projet'!$E$12+1,1))-AVERAGE(OFFSET($H$3,0,0,'Données projet'!$E$12+1,1))</f>
        <v>216.42026264996392</v>
      </c>
      <c r="CE34" s="60">
        <f t="shared" si="40"/>
        <v>216.4587454288401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</v>
      </c>
      <c r="CT34" s="13">
        <f>IF('Données projet'!$A$140&gt;35,CT33+CS34-DB33,IF(A34&lt;'Données projet'!$A$140,$CQ$205^A34,IF(A34='Données projet'!$A$140,'Données projet'!$B$140,CT33+CS34-DB33)))</f>
        <v>58.999999999999986</v>
      </c>
      <c r="CU34" s="18">
        <f>CT34*VLOOKUP('Données projet'!$B$13,Paramètres!$A$1:$I$89,3,0)*VLOOKUP('Données projet'!$B$13,Paramètres!$A$1:$I$89,5,0)</f>
        <v>57.064799999999991</v>
      </c>
      <c r="CV34" s="14">
        <f t="shared" si="41"/>
        <v>16.424005972947381</v>
      </c>
      <c r="CW34" s="22">
        <f t="shared" si="13"/>
        <v>127.99300373621668</v>
      </c>
      <c r="CX34" s="60">
        <f t="shared" si="14"/>
        <v>368.04112694903426</v>
      </c>
      <c r="CY34" s="60">
        <f ca="1">AVERAGE(OFFSET($CX$3,0,0,'Données projet'!$E$13+1,1))-AVERAGE(OFFSET($H$3,0,0,'Données projet'!$E$13+1,1))</f>
        <v>385.5283976785621</v>
      </c>
      <c r="CZ34" s="60">
        <f t="shared" si="42"/>
        <v>173.19148969173838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105</v>
      </c>
      <c r="DP34" s="18">
        <f>DO34*VLOOKUP('Données projet'!$B$14,Paramètres!$A$1:$I$89,3,0)*VLOOKUP('Données projet'!$B$14,Paramètres!$A$1:$I$89,5,0)</f>
        <v>113.02199999999999</v>
      </c>
      <c r="DQ34" s="14">
        <f t="shared" si="43"/>
        <v>30.041864379091852</v>
      </c>
      <c r="DR34" s="22">
        <f t="shared" si="16"/>
        <v>249.16956379358496</v>
      </c>
      <c r="DS34" s="60">
        <f t="shared" si="17"/>
        <v>489.21768700640251</v>
      </c>
      <c r="DT34" s="60">
        <f ca="1">AVERAGE(OFFSET($DS$3,0,0,'Données projet'!$E$14+1,1))-AVERAGE(OFFSET($H$3,0,0,'Données projet'!$E$14+1,1))</f>
        <v>543.15812193567342</v>
      </c>
      <c r="DU34" s="60">
        <f t="shared" si="44"/>
        <v>286.40725588660575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5.2564102564102537</v>
      </c>
      <c r="EJ34" s="13">
        <f>IF('Données projet'!$A$192&gt;35,EJ33+EI34-ER33,IF(A34&lt;'Données projet'!$A$192,$EG$205^A34,IF(A34='Données projet'!$A$192,'Données projet'!$B$192,EJ33+EI34-ER33)))</f>
        <v>64.230769230769212</v>
      </c>
      <c r="EK34" s="18">
        <f>EJ34*VLOOKUP('Données projet'!$B$15,Paramètres!$A$1:$I$89,3,0)*VLOOKUP('Données projet'!$B$15,Paramètres!$A$1:$I$89,5,0)</f>
        <v>43.085999999999991</v>
      </c>
      <c r="EL34" s="14">
        <f t="shared" si="45"/>
        <v>12.813020204222275</v>
      </c>
      <c r="EM34" s="22">
        <f t="shared" si="19"/>
        <v>97.357460189020443</v>
      </c>
      <c r="EN34" s="60">
        <f t="shared" si="20"/>
        <v>337.40558340183799</v>
      </c>
      <c r="EO34" s="60">
        <f ca="1">AVERAGE(OFFSET($EN$3,0,0,'Données projet'!$E$15+1,1))-AVERAGE(OFFSET($H$3,0,0,'Données projet'!$E$15+1,1))</f>
        <v>239.52247785001794</v>
      </c>
      <c r="EP34" s="60">
        <f t="shared" si="46"/>
        <v>173.69760199651617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1.464495791465618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1.464495791465618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8">
        <f t="shared" si="1"/>
        <v>183.33333333333334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114.58200000000001</v>
      </c>
      <c r="P35" s="14">
        <f t="shared" si="33"/>
        <v>30.407962048850919</v>
      </c>
      <c r="Q35" s="22">
        <f t="shared" ref="Q35:Q66" si="53">(O35+P35)*0.475*44/12</f>
        <v>252.52418390174873</v>
      </c>
      <c r="R35" s="60">
        <f t="shared" si="0"/>
        <v>493.49668638227405</v>
      </c>
      <c r="S35" s="60">
        <f ca="1">AVERAGE(OFFSET($R$3,0,0,'Données projet'!$E$9+1,1))-AVERAGE(OFFSET($H$3,0,0,'Données projet'!$E$9+1,1))</f>
        <v>516.54532596122067</v>
      </c>
      <c r="T35" s="60">
        <f t="shared" si="34"/>
        <v>273.35778700650792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4.8717948717948731</v>
      </c>
      <c r="AI35" s="14">
        <f>IF('Données projet'!$A$62&gt;35,AI34+AH35-AQ34,IF(A35&lt;'Données projet'!$A$62,$AF$205^A35,IF(A35='Données projet'!$A$62,'Données projet'!$B$62,AI34+AH35-AQ34)))</f>
        <v>73.84615384615384</v>
      </c>
      <c r="AJ35" s="14">
        <f>AI35*VLOOKUP('Données projet'!$B$10,Paramètres!$A$1:$I$89,3,0)*VLOOKUP('Données projet'!$B$10,Paramètres!$A$1:$I$89,5,0)</f>
        <v>70.271999999999991</v>
      </c>
      <c r="AK35" s="14">
        <f t="shared" si="35"/>
        <v>19.740989504207562</v>
      </c>
      <c r="AL35" s="22">
        <f t="shared" si="4"/>
        <v>156.77262338649481</v>
      </c>
      <c r="AM35" s="60">
        <f t="shared" si="5"/>
        <v>397.74512586702014</v>
      </c>
      <c r="AN35" s="60">
        <f ca="1">AVERAGE(OFFSET($AM$3,0,0,'Données projet'!$E$10+1,1))-AVERAGE(OFFSET($H$3,0,0,'Données projet'!$E$10+1,1))</f>
        <v>328.36544111680962</v>
      </c>
      <c r="AO35" s="60">
        <f t="shared" si="36"/>
        <v>226.85392900722772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8.6</v>
      </c>
      <c r="BD35" s="13">
        <f>IF('Données projet'!$A$88&gt;35,BD34+BC35-BL34,IF(A35&lt;'Données projet'!$A$88,$BA$205^A35,IF(A35='Données projet'!$A$88,'Données projet'!$B$88,BD34+BC35-BL34)))</f>
        <v>110.19999999999999</v>
      </c>
      <c r="BE35" s="14">
        <f>BD35*VLOOKUP('Données projet'!$B$11,Paramètres!$A$1:$I$89,3,0)*VLOOKUP('Données projet'!$B$11,Paramètres!$A$1:$I$89,5,0)</f>
        <v>96.270719999999997</v>
      </c>
      <c r="BF35" s="14">
        <f t="shared" si="37"/>
        <v>26.071592384845928</v>
      </c>
      <c r="BG35" s="22">
        <f t="shared" si="7"/>
        <v>213.07952740360665</v>
      </c>
      <c r="BH35" s="60">
        <f t="shared" si="8"/>
        <v>454.05202988413197</v>
      </c>
      <c r="BI35" s="60">
        <f ca="1">AVERAGE(OFFSET($BH$3,0,0,'Données projet'!$E$11+1,1))-AVERAGE(OFFSET($H$3,0,0,'Données projet'!$E$11+1,1))</f>
        <v>296.01124173332352</v>
      </c>
      <c r="BJ35" s="60">
        <f t="shared" si="38"/>
        <v>315.50730924873733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6</v>
      </c>
      <c r="BY35" s="13">
        <f>IF('Données projet'!$A$114&gt;35,BY34+BX35-CG34,IF(A35&lt;'Données projet'!$A$114,$BV$205^A35,IF(A35='Données projet'!$A$114,'Données projet'!$B$114,BY34+BX35-CG34)))</f>
        <v>91.000000000000014</v>
      </c>
      <c r="BZ35" s="14">
        <f>BY35*VLOOKUP('Données projet'!$B$12,Paramètres!$A$1:$I$89,3,0)*VLOOKUP('Données projet'!$B$12,Paramètres!$A$1:$I$89,5,0)</f>
        <v>59.623200000000011</v>
      </c>
      <c r="CA35" s="14">
        <f t="shared" si="39"/>
        <v>17.072967249098898</v>
      </c>
      <c r="CB35" s="22">
        <f t="shared" si="10"/>
        <v>133.57915795884725</v>
      </c>
      <c r="CC35" s="60">
        <f t="shared" si="11"/>
        <v>374.55166043937254</v>
      </c>
      <c r="CD35" s="60">
        <f ca="1">AVERAGE(OFFSET($CC$3,0,0,'Données projet'!$E$12+1,1))-AVERAGE(OFFSET($H$3,0,0,'Données projet'!$E$12+1,1))</f>
        <v>216.42026264996392</v>
      </c>
      <c r="CE35" s="60">
        <f t="shared" si="40"/>
        <v>216.4587454288401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</v>
      </c>
      <c r="CT35" s="13">
        <f>IF('Données projet'!$A$140&gt;35,CT34+CS35-DB34,IF(A35&lt;'Données projet'!$A$140,$CQ$205^A35,IF(A35='Données projet'!$A$140,'Données projet'!$B$140,CT34+CS35-DB34)))</f>
        <v>63.999999999999986</v>
      </c>
      <c r="CU35" s="18">
        <f>CT35*VLOOKUP('Données projet'!$B$13,Paramètres!$A$1:$I$89,3,0)*VLOOKUP('Données projet'!$B$13,Paramètres!$A$1:$I$89,5,0)</f>
        <v>61.90079999999999</v>
      </c>
      <c r="CV35" s="14">
        <f t="shared" si="41"/>
        <v>17.647975079256284</v>
      </c>
      <c r="CW35" s="22">
        <f t="shared" si="13"/>
        <v>138.54744992970467</v>
      </c>
      <c r="CX35" s="60">
        <f t="shared" si="14"/>
        <v>379.51995241022996</v>
      </c>
      <c r="CY35" s="60">
        <f ca="1">AVERAGE(OFFSET($CX$3,0,0,'Données projet'!$E$13+1,1))-AVERAGE(OFFSET($H$3,0,0,'Données projet'!$E$13+1,1))</f>
        <v>385.5283976785621</v>
      </c>
      <c r="CZ35" s="60">
        <f t="shared" si="42"/>
        <v>173.19148969173838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113</v>
      </c>
      <c r="DP35" s="18">
        <f>DO35*VLOOKUP('Données projet'!$B$14,Paramètres!$A$1:$I$89,3,0)*VLOOKUP('Données projet'!$B$14,Paramètres!$A$1:$I$89,5,0)</f>
        <v>121.6332</v>
      </c>
      <c r="DQ35" s="14">
        <f t="shared" si="43"/>
        <v>32.05561616599968</v>
      </c>
      <c r="DR35" s="22">
        <f t="shared" si="16"/>
        <v>267.6746881557828</v>
      </c>
      <c r="DS35" s="60">
        <f t="shared" si="17"/>
        <v>508.6471906363081</v>
      </c>
      <c r="DT35" s="60">
        <f ca="1">AVERAGE(OFFSET($DS$3,0,0,'Données projet'!$E$14+1,1))-AVERAGE(OFFSET($H$3,0,0,'Données projet'!$E$14+1,1))</f>
        <v>543.15812193567342</v>
      </c>
      <c r="DU35" s="60">
        <f t="shared" si="44"/>
        <v>286.40725588660575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5.2564102564102537</v>
      </c>
      <c r="EJ35" s="13">
        <f>IF('Données projet'!$A$192&gt;35,EJ34+EI35-ER34,IF(A35&lt;'Données projet'!$A$192,$EG$205^A35,IF(A35='Données projet'!$A$192,'Données projet'!$B$192,EJ34+EI35-ER34)))</f>
        <v>69.487179487179461</v>
      </c>
      <c r="EK35" s="18">
        <f>EJ35*VLOOKUP('Données projet'!$B$15,Paramètres!$A$1:$I$89,3,0)*VLOOKUP('Données projet'!$B$15,Paramètres!$A$1:$I$89,5,0)</f>
        <v>46.611999999999981</v>
      </c>
      <c r="EL35" s="14">
        <f t="shared" si="45"/>
        <v>13.73525308049979</v>
      </c>
      <c r="EM35" s="22">
        <f t="shared" si="19"/>
        <v>105.10479911520376</v>
      </c>
      <c r="EN35" s="60">
        <f t="shared" si="20"/>
        <v>346.07730159572907</v>
      </c>
      <c r="EO35" s="60">
        <f ca="1">AVERAGE(OFFSET($EN$3,0,0,'Données projet'!$E$15+1,1))-AVERAGE(OFFSET($H$3,0,0,'Données projet'!$E$15+1,1))</f>
        <v>239.52247785001794</v>
      </c>
      <c r="EP35" s="60">
        <f t="shared" si="46"/>
        <v>173.69760199651617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1.4244490770335041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1.4244490770335041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8">
        <f t="shared" si="1"/>
        <v>183.33333333333334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122.69400000000002</v>
      </c>
      <c r="P36" s="14">
        <f t="shared" si="33"/>
        <v>32.302516360650685</v>
      </c>
      <c r="Q36" s="22">
        <f t="shared" si="53"/>
        <v>269.95226599479992</v>
      </c>
      <c r="R36" s="60">
        <f t="shared" si="0"/>
        <v>511.83311182934062</v>
      </c>
      <c r="S36" s="60">
        <f ca="1">AVERAGE(OFFSET($R$3,0,0,'Données projet'!$E$9+1,1))-AVERAGE(OFFSET($H$3,0,0,'Données projet'!$E$9+1,1))</f>
        <v>516.54532596122067</v>
      </c>
      <c r="T36" s="60">
        <f t="shared" si="34"/>
        <v>273.35778700650792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4.8717948717948731</v>
      </c>
      <c r="AI36" s="14">
        <f>IF('Données projet'!$A$62&gt;35,AI35+AH36-AQ35,IF(A36&lt;'Données projet'!$A$62,$AF$205^A36,IF(A36='Données projet'!$A$62,'Données projet'!$B$62,AI35+AH36-AQ35)))</f>
        <v>78.717948717948715</v>
      </c>
      <c r="AJ36" s="14">
        <f>AI36*VLOOKUP('Données projet'!$B$10,Paramètres!$A$1:$I$89,3,0)*VLOOKUP('Données projet'!$B$10,Paramètres!$A$1:$I$89,5,0)</f>
        <v>74.907999999999987</v>
      </c>
      <c r="AK36" s="14">
        <f t="shared" si="35"/>
        <v>20.88743849072662</v>
      </c>
      <c r="AL36" s="22">
        <f t="shared" si="4"/>
        <v>166.8437220380155</v>
      </c>
      <c r="AM36" s="60">
        <f t="shared" si="5"/>
        <v>408.72456787255624</v>
      </c>
      <c r="AN36" s="60">
        <f ca="1">AVERAGE(OFFSET($AM$3,0,0,'Données projet'!$E$10+1,1))-AVERAGE(OFFSET($H$3,0,0,'Données projet'!$E$10+1,1))</f>
        <v>328.36544111680962</v>
      </c>
      <c r="AO36" s="60">
        <f t="shared" si="36"/>
        <v>226.85392900722772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8.6</v>
      </c>
      <c r="BD36" s="13">
        <f>IF('Données projet'!$A$88&gt;35,BD35+BC36-BL35,IF(A36&lt;'Données projet'!$A$88,$BA$205^A36,IF(A36='Données projet'!$A$88,'Données projet'!$B$88,BD35+BC36-BL35)))</f>
        <v>118.79999999999998</v>
      </c>
      <c r="BE36" s="14">
        <f>BD36*VLOOKUP('Données projet'!$B$11,Paramètres!$A$1:$I$89,3,0)*VLOOKUP('Données projet'!$B$11,Paramètres!$A$1:$I$89,5,0)</f>
        <v>103.78367999999999</v>
      </c>
      <c r="BF36" s="14">
        <f t="shared" si="37"/>
        <v>27.861449539780477</v>
      </c>
      <c r="BG36" s="22">
        <f t="shared" si="7"/>
        <v>229.28193394845096</v>
      </c>
      <c r="BH36" s="60">
        <f t="shared" si="8"/>
        <v>471.16277978299172</v>
      </c>
      <c r="BI36" s="60">
        <f ca="1">AVERAGE(OFFSET($BH$3,0,0,'Données projet'!$E$11+1,1))-AVERAGE(OFFSET($H$3,0,0,'Données projet'!$E$11+1,1))</f>
        <v>296.01124173332352</v>
      </c>
      <c r="BJ36" s="60">
        <f t="shared" si="38"/>
        <v>315.50730924873733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6</v>
      </c>
      <c r="BY36" s="13">
        <f>IF('Données projet'!$A$114&gt;35,BY35+BX36-CG35,IF(A36&lt;'Données projet'!$A$114,$BV$205^A36,IF(A36='Données projet'!$A$114,'Données projet'!$B$114,BY35+BX36-CG35)))</f>
        <v>97.000000000000014</v>
      </c>
      <c r="BZ36" s="14">
        <f>BY36*VLOOKUP('Données projet'!$B$12,Paramètres!$A$1:$I$89,3,0)*VLOOKUP('Données projet'!$B$12,Paramètres!$A$1:$I$89,5,0)</f>
        <v>63.554400000000008</v>
      </c>
      <c r="CA36" s="14">
        <f t="shared" si="39"/>
        <v>18.063900706818366</v>
      </c>
      <c r="CB36" s="22">
        <f t="shared" si="10"/>
        <v>142.151873731042</v>
      </c>
      <c r="CC36" s="60">
        <f t="shared" si="11"/>
        <v>384.03271956558274</v>
      </c>
      <c r="CD36" s="60">
        <f ca="1">AVERAGE(OFFSET($CC$3,0,0,'Données projet'!$E$12+1,1))-AVERAGE(OFFSET($H$3,0,0,'Données projet'!$E$12+1,1))</f>
        <v>216.42026264996392</v>
      </c>
      <c r="CE36" s="60">
        <f t="shared" si="40"/>
        <v>216.4587454288401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</v>
      </c>
      <c r="CT36" s="13">
        <f>IF('Données projet'!$A$140&gt;35,CT35+CS36-DB35,IF(A36&lt;'Données projet'!$A$140,$CQ$205^A36,IF(A36='Données projet'!$A$140,'Données projet'!$B$140,CT35+CS36-DB35)))</f>
        <v>68.999999999999986</v>
      </c>
      <c r="CU36" s="18">
        <f>CT36*VLOOKUP('Données projet'!$B$13,Paramètres!$A$1:$I$89,3,0)*VLOOKUP('Données projet'!$B$13,Paramètres!$A$1:$I$89,5,0)</f>
        <v>66.736799999999988</v>
      </c>
      <c r="CV36" s="14">
        <f t="shared" si="41"/>
        <v>18.860852268900583</v>
      </c>
      <c r="CW36" s="22">
        <f t="shared" si="13"/>
        <v>149.0825777016685</v>
      </c>
      <c r="CX36" s="60">
        <f t="shared" si="14"/>
        <v>390.96342353620923</v>
      </c>
      <c r="CY36" s="60">
        <f ca="1">AVERAGE(OFFSET($CX$3,0,0,'Données projet'!$E$13+1,1))-AVERAGE(OFFSET($H$3,0,0,'Données projet'!$E$13+1,1))</f>
        <v>385.5283976785621</v>
      </c>
      <c r="CZ36" s="60">
        <f t="shared" si="42"/>
        <v>173.19148969173838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121</v>
      </c>
      <c r="DP36" s="18">
        <f>DO36*VLOOKUP('Données projet'!$B$14,Paramètres!$A$1:$I$89,3,0)*VLOOKUP('Données projet'!$B$14,Paramètres!$A$1:$I$89,5,0)</f>
        <v>130.24439999999998</v>
      </c>
      <c r="DQ36" s="14">
        <f t="shared" si="43"/>
        <v>34.052826821785409</v>
      </c>
      <c r="DR36" s="22">
        <f t="shared" si="16"/>
        <v>286.15100338127621</v>
      </c>
      <c r="DS36" s="60">
        <f t="shared" si="17"/>
        <v>528.03184921581692</v>
      </c>
      <c r="DT36" s="60">
        <f ca="1">AVERAGE(OFFSET($DS$3,0,0,'Données projet'!$E$14+1,1))-AVERAGE(OFFSET($H$3,0,0,'Données projet'!$E$14+1,1))</f>
        <v>543.15812193567342</v>
      </c>
      <c r="DU36" s="60">
        <f t="shared" si="44"/>
        <v>286.40725588660575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5.2564102564102537</v>
      </c>
      <c r="EJ36" s="13">
        <f>IF('Données projet'!$A$192&gt;35,EJ35+EI36-ER35,IF(A36&lt;'Données projet'!$A$192,$EG$205^A36,IF(A36='Données projet'!$A$192,'Données projet'!$B$192,EJ35+EI36-ER35)))</f>
        <v>74.743589743589709</v>
      </c>
      <c r="EK36" s="18">
        <f>EJ36*VLOOKUP('Données projet'!$B$15,Paramètres!$A$1:$I$89,3,0)*VLOOKUP('Données projet'!$B$15,Paramètres!$A$1:$I$89,5,0)</f>
        <v>50.137999999999977</v>
      </c>
      <c r="EL36" s="14">
        <f t="shared" si="45"/>
        <v>14.649393046331484</v>
      </c>
      <c r="EM36" s="22">
        <f t="shared" si="19"/>
        <v>112.83804288902729</v>
      </c>
      <c r="EN36" s="60">
        <f t="shared" si="20"/>
        <v>354.71888872356806</v>
      </c>
      <c r="EO36" s="60">
        <f ca="1">AVERAGE(OFFSET($EN$3,0,0,'Données projet'!$E$15+1,1))-AVERAGE(OFFSET($H$3,0,0,'Données projet'!$E$15+1,1))</f>
        <v>239.52247785001794</v>
      </c>
      <c r="EP36" s="60">
        <f t="shared" si="46"/>
        <v>173.69760199651617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1.3854974421135016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1.3854974421135016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8">
        <f t="shared" si="1"/>
        <v>183.33333333333334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130.80600000000001</v>
      </c>
      <c r="P37" s="14">
        <f t="shared" si="33"/>
        <v>34.182535218254564</v>
      </c>
      <c r="Q37" s="22">
        <f t="shared" si="53"/>
        <v>287.35503217179337</v>
      </c>
      <c r="R37" s="60">
        <f t="shared" si="0"/>
        <v>530.12846363390895</v>
      </c>
      <c r="S37" s="60">
        <f ca="1">AVERAGE(OFFSET($R$3,0,0,'Données projet'!$E$9+1,1))-AVERAGE(OFFSET($H$3,0,0,'Données projet'!$E$9+1,1))</f>
        <v>516.54532596122067</v>
      </c>
      <c r="T37" s="60">
        <f t="shared" si="34"/>
        <v>273.35778700650792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4.8717948717948731</v>
      </c>
      <c r="AI37" s="14">
        <f>IF('Données projet'!$A$62&gt;35,AI36+AH37-AQ36,IF(A37&lt;'Données projet'!$A$62,$AF$205^A37,IF(A37='Données projet'!$A$62,'Données projet'!$B$62,AI36+AH37-AQ36)))</f>
        <v>83.589743589743591</v>
      </c>
      <c r="AJ37" s="14">
        <f>AI37*VLOOKUP('Données projet'!$B$10,Paramètres!$A$1:$I$89,3,0)*VLOOKUP('Données projet'!$B$10,Paramètres!$A$1:$I$89,5,0)</f>
        <v>79.543999999999997</v>
      </c>
      <c r="AK37" s="14">
        <f t="shared" si="35"/>
        <v>22.025652692218049</v>
      </c>
      <c r="AL37" s="22">
        <f t="shared" si="4"/>
        <v>176.90047843894641</v>
      </c>
      <c r="AM37" s="60">
        <f t="shared" si="5"/>
        <v>419.67390990106196</v>
      </c>
      <c r="AN37" s="60">
        <f ca="1">AVERAGE(OFFSET($AM$3,0,0,'Données projet'!$E$10+1,1))-AVERAGE(OFFSET($H$3,0,0,'Données projet'!$E$10+1,1))</f>
        <v>328.36544111680962</v>
      </c>
      <c r="AO37" s="60">
        <f t="shared" si="36"/>
        <v>226.85392900722772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8.6</v>
      </c>
      <c r="BD37" s="13">
        <f>IF('Données projet'!$A$88&gt;35,BD36+BC37-BL36,IF(A37&lt;'Données projet'!$A$88,$BA$205^A37,IF(A37='Données projet'!$A$88,'Données projet'!$B$88,BD36+BC37-BL36)))</f>
        <v>127.39999999999998</v>
      </c>
      <c r="BE37" s="14">
        <f>BD37*VLOOKUP('Données projet'!$B$11,Paramètres!$A$1:$I$89,3,0)*VLOOKUP('Données projet'!$B$11,Paramètres!$A$1:$I$89,5,0)</f>
        <v>111.29664</v>
      </c>
      <c r="BF37" s="14">
        <f t="shared" si="37"/>
        <v>29.636274399319777</v>
      </c>
      <c r="BG37" s="22">
        <f t="shared" si="7"/>
        <v>245.45815924548194</v>
      </c>
      <c r="BH37" s="60">
        <f t="shared" si="8"/>
        <v>488.23159070759755</v>
      </c>
      <c r="BI37" s="60">
        <f ca="1">AVERAGE(OFFSET($BH$3,0,0,'Données projet'!$E$11+1,1))-AVERAGE(OFFSET($H$3,0,0,'Données projet'!$E$11+1,1))</f>
        <v>296.01124173332352</v>
      </c>
      <c r="BJ37" s="60">
        <f t="shared" si="38"/>
        <v>315.50730924873733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6</v>
      </c>
      <c r="BY37" s="13">
        <f>IF('Données projet'!$A$114&gt;35,BY36+BX37-CG36,IF(A37&lt;'Données projet'!$A$114,$BV$205^A37,IF(A37='Données projet'!$A$114,'Données projet'!$B$114,BY36+BX37-CG36)))</f>
        <v>103.00000000000001</v>
      </c>
      <c r="BZ37" s="14">
        <f>BY37*VLOOKUP('Données projet'!$B$12,Paramètres!$A$1:$I$89,3,0)*VLOOKUP('Données projet'!$B$12,Paramètres!$A$1:$I$89,5,0)</f>
        <v>67.485600000000005</v>
      </c>
      <c r="CA37" s="14">
        <f t="shared" si="39"/>
        <v>19.047720279466478</v>
      </c>
      <c r="CB37" s="22">
        <f t="shared" si="10"/>
        <v>150.71219948673746</v>
      </c>
      <c r="CC37" s="60">
        <f t="shared" si="11"/>
        <v>393.48563094885304</v>
      </c>
      <c r="CD37" s="60">
        <f ca="1">AVERAGE(OFFSET($CC$3,0,0,'Données projet'!$E$12+1,1))-AVERAGE(OFFSET($H$3,0,0,'Données projet'!$E$12+1,1))</f>
        <v>216.42026264996392</v>
      </c>
      <c r="CE37" s="60">
        <f t="shared" si="40"/>
        <v>216.4587454288401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</v>
      </c>
      <c r="CT37" s="13">
        <f>IF('Données projet'!$A$140&gt;35,CT36+CS37-DB36,IF(A37&lt;'Données projet'!$A$140,$CQ$205^A37,IF(A37='Données projet'!$A$140,'Données projet'!$B$140,CT36+CS37-DB36)))</f>
        <v>73.999999999999986</v>
      </c>
      <c r="CU37" s="18">
        <f>CT37*VLOOKUP('Données projet'!$B$13,Paramètres!$A$1:$I$89,3,0)*VLOOKUP('Données projet'!$B$13,Paramètres!$A$1:$I$89,5,0)</f>
        <v>71.572799999999987</v>
      </c>
      <c r="CV37" s="14">
        <f t="shared" si="41"/>
        <v>20.063532712034</v>
      </c>
      <c r="CW37" s="22">
        <f t="shared" si="13"/>
        <v>159.59994614012587</v>
      </c>
      <c r="CX37" s="60">
        <f t="shared" si="14"/>
        <v>402.37337760224148</v>
      </c>
      <c r="CY37" s="60">
        <f ca="1">AVERAGE(OFFSET($CX$3,0,0,'Données projet'!$E$13+1,1))-AVERAGE(OFFSET($H$3,0,0,'Données projet'!$E$13+1,1))</f>
        <v>385.5283976785621</v>
      </c>
      <c r="CZ37" s="60">
        <f t="shared" si="42"/>
        <v>173.19148969173838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129</v>
      </c>
      <c r="DP37" s="18">
        <f>DO37*VLOOKUP('Données projet'!$B$14,Paramètres!$A$1:$I$89,3,0)*VLOOKUP('Données projet'!$B$14,Paramètres!$A$1:$I$89,5,0)</f>
        <v>138.85559999999998</v>
      </c>
      <c r="DQ37" s="14">
        <f t="shared" si="43"/>
        <v>36.034714420414154</v>
      </c>
      <c r="DR37" s="22">
        <f t="shared" si="16"/>
        <v>304.60063094888795</v>
      </c>
      <c r="DS37" s="60">
        <f t="shared" si="17"/>
        <v>547.37406241100348</v>
      </c>
      <c r="DT37" s="60">
        <f ca="1">AVERAGE(OFFSET($DS$3,0,0,'Données projet'!$E$14+1,1))-AVERAGE(OFFSET($H$3,0,0,'Données projet'!$E$14+1,1))</f>
        <v>543.15812193567342</v>
      </c>
      <c r="DU37" s="60">
        <f t="shared" si="44"/>
        <v>286.40725588660575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5.2564102564102537</v>
      </c>
      <c r="EJ37" s="13">
        <f>IF('Données projet'!$A$192&gt;35,EJ36+EI37-ER36,IF(A37&lt;'Données projet'!$A$192,$EG$205^A37,IF(A37='Données projet'!$A$192,'Données projet'!$B$192,EJ36+EI37-ER36)))</f>
        <v>79.999999999999957</v>
      </c>
      <c r="EK37" s="18">
        <f>EJ37*VLOOKUP('Données projet'!$B$15,Paramètres!$A$1:$I$89,3,0)*VLOOKUP('Données projet'!$B$15,Paramètres!$A$1:$I$89,5,0)</f>
        <v>53.66399999999998</v>
      </c>
      <c r="EL37" s="14">
        <f t="shared" si="45"/>
        <v>15.556073979202775</v>
      </c>
      <c r="EM37" s="22">
        <f t="shared" si="19"/>
        <v>120.55829551377811</v>
      </c>
      <c r="EN37" s="60">
        <f t="shared" si="20"/>
        <v>363.33172697589367</v>
      </c>
      <c r="EO37" s="60">
        <f ca="1">AVERAGE(OFFSET($EN$3,0,0,'Données projet'!$E$15+1,1))-AVERAGE(OFFSET($H$3,0,0,'Données projet'!$E$15+1,1))</f>
        <v>239.52247785001794</v>
      </c>
      <c r="EP37" s="60">
        <f t="shared" si="46"/>
        <v>173.69760199651617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1.3476109416987641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1.3476109416987641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8">
        <f t="shared" si="1"/>
        <v>183.33333333333334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138.91800000000001</v>
      </c>
      <c r="P38" s="14">
        <f t="shared" si="33"/>
        <v>36.049022673886341</v>
      </c>
      <c r="Q38" s="22">
        <f t="shared" si="53"/>
        <v>304.73423115701871</v>
      </c>
      <c r="R38" s="60">
        <f t="shared" si="0"/>
        <v>548.38476388159324</v>
      </c>
      <c r="S38" s="60">
        <f ca="1">AVERAGE(OFFSET($R$3,0,0,'Données projet'!$E$9+1,1))-AVERAGE(OFFSET($H$3,0,0,'Données projet'!$E$9+1,1))</f>
        <v>516.54532596122067</v>
      </c>
      <c r="T38" s="60">
        <f t="shared" si="34"/>
        <v>273.35778700650792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88.461538461538453</v>
      </c>
      <c r="AG38" s="13">
        <f>VLOOKUP(A38,'Données projet'!$A$61:$I$81,9,0)</f>
        <v>4.8717948717948731</v>
      </c>
      <c r="AH38" s="13">
        <f t="array" ref="AH38">INDEX(AG:AG,MIN(IF(ISNUMBER(AG38:AG234),ROW(AG38:AG234),"")))</f>
        <v>4.8717948717948731</v>
      </c>
      <c r="AI38" s="14">
        <f>IF('Données projet'!$A$62&gt;35,AI37+AH38-AQ37,IF(A38&lt;'Données projet'!$A$62,$AF$205^A38,IF(A38='Données projet'!$A$62,'Données projet'!$B$62,AI37+AH38-AQ37)))</f>
        <v>88.461538461538467</v>
      </c>
      <c r="AJ38" s="14">
        <f>AI38*VLOOKUP('Données projet'!$B$10,Paramètres!$A$1:$I$89,3,0)*VLOOKUP('Données projet'!$B$10,Paramètres!$A$1:$I$89,5,0)</f>
        <v>84.18</v>
      </c>
      <c r="AK38" s="14">
        <f t="shared" si="35"/>
        <v>23.156166724555288</v>
      </c>
      <c r="AL38" s="22">
        <f t="shared" si="4"/>
        <v>186.94382371193379</v>
      </c>
      <c r="AM38" s="60">
        <f t="shared" si="5"/>
        <v>430.59435643650829</v>
      </c>
      <c r="AN38" s="60">
        <f ca="1">AVERAGE(OFFSET($AM$3,0,0,'Données projet'!$E$10+1,1))-AVERAGE(OFFSET($H$3,0,0,'Données projet'!$E$10+1,1))</f>
        <v>328.36544111680962</v>
      </c>
      <c r="AO38" s="60">
        <f t="shared" si="36"/>
        <v>226.85392900722772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136</v>
      </c>
      <c r="BB38" s="13">
        <f>VLOOKUP(A38,'Données projet'!$A$87:$I$107,9,0)</f>
        <v>8.6</v>
      </c>
      <c r="BC38" s="13">
        <f t="array" ref="BC38">INDEX(BB:BB,MIN(IF(ISNUMBER(BB38:BB234),ROW(BB38:BB234),"")))</f>
        <v>8.6</v>
      </c>
      <c r="BD38" s="13">
        <f>IF('Données projet'!$A$88&gt;35,BD37+BC38-BL37,IF(A38&lt;'Données projet'!$A$88,$BA$205^A38,IF(A38='Données projet'!$A$88,'Données projet'!$B$88,BD37+BC38-BL37)))</f>
        <v>135.99999999999997</v>
      </c>
      <c r="BE38" s="14">
        <f>BD38*VLOOKUP('Données projet'!$B$11,Paramètres!$A$1:$I$89,3,0)*VLOOKUP('Données projet'!$B$11,Paramètres!$A$1:$I$89,5,0)</f>
        <v>118.8096</v>
      </c>
      <c r="BF38" s="14">
        <f t="shared" si="37"/>
        <v>31.39719715333722</v>
      </c>
      <c r="BG38" s="22">
        <f t="shared" si="7"/>
        <v>261.61017170872896</v>
      </c>
      <c r="BH38" s="60">
        <f t="shared" si="8"/>
        <v>505.26070443330343</v>
      </c>
      <c r="BI38" s="60">
        <f ca="1">AVERAGE(OFFSET($BH$3,0,0,'Données projet'!$E$11+1,1))-AVERAGE(OFFSET($H$3,0,0,'Données projet'!$E$11+1,1))</f>
        <v>296.01124173332352</v>
      </c>
      <c r="BJ38" s="60">
        <f t="shared" si="38"/>
        <v>315.50730924873733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109</v>
      </c>
      <c r="BW38" s="13">
        <f>VLOOKUP(A38,'Données projet'!$A$113:$I$133,9,0)</f>
        <v>6</v>
      </c>
      <c r="BX38" s="13">
        <f t="array" ref="BX38">INDEX(BW:BW,MIN(IF(ISNUMBER(BW38:BW234),ROW(BW38:BW234),"")))</f>
        <v>6</v>
      </c>
      <c r="BY38" s="13">
        <f>IF('Données projet'!$A$114&gt;35,BY37+BX38-CG37,IF(A38&lt;'Données projet'!$A$114,$BV$205^A38,IF(A38='Données projet'!$A$114,'Données projet'!$B$114,BY37+BX38-CG37)))</f>
        <v>109.00000000000001</v>
      </c>
      <c r="BZ38" s="14">
        <f>BY38*VLOOKUP('Données projet'!$B$12,Paramètres!$A$1:$I$89,3,0)*VLOOKUP('Données projet'!$B$12,Paramètres!$A$1:$I$89,5,0)</f>
        <v>71.416800000000009</v>
      </c>
      <c r="CA38" s="14">
        <f t="shared" si="39"/>
        <v>20.024887576480612</v>
      </c>
      <c r="CB38" s="22">
        <f t="shared" si="10"/>
        <v>159.26093919570374</v>
      </c>
      <c r="CC38" s="60">
        <f t="shared" si="11"/>
        <v>402.91147192027825</v>
      </c>
      <c r="CD38" s="60">
        <f ca="1">AVERAGE(OFFSET($CC$3,0,0,'Données projet'!$E$12+1,1))-AVERAGE(OFFSET($H$3,0,0,'Données projet'!$E$12+1,1))</f>
        <v>216.42026264996392</v>
      </c>
      <c r="CE38" s="60">
        <f t="shared" si="40"/>
        <v>216.4587454288401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79</v>
      </c>
      <c r="CR38" s="13">
        <f>VLOOKUP(A38,'Données projet'!$A$139:$I$159,9,0)</f>
        <v>5</v>
      </c>
      <c r="CS38" s="13">
        <f t="array" ref="CS38">INDEX(CR:CR,MIN(IF(ISNUMBER(CR38:CR234),ROW(CR38:CR234),"")))</f>
        <v>5</v>
      </c>
      <c r="CT38" s="13">
        <f>IF('Données projet'!$A$140&gt;35,CT37+CS38-DB37,IF(A38&lt;'Données projet'!$A$140,$CQ$205^A38,IF(A38='Données projet'!$A$140,'Données projet'!$B$140,CT37+CS38-DB37)))</f>
        <v>78.999999999999986</v>
      </c>
      <c r="CU38" s="18">
        <f>CT38*VLOOKUP('Données projet'!$B$13,Paramètres!$A$1:$I$89,3,0)*VLOOKUP('Données projet'!$B$13,Paramètres!$A$1:$I$89,5,0)</f>
        <v>76.408799999999985</v>
      </c>
      <c r="CV38" s="14">
        <f t="shared" si="41"/>
        <v>21.256783764315173</v>
      </c>
      <c r="CW38" s="22">
        <f t="shared" si="13"/>
        <v>170.1008917228489</v>
      </c>
      <c r="CX38" s="60">
        <f t="shared" si="14"/>
        <v>413.7514244474234</v>
      </c>
      <c r="CY38" s="60">
        <f ca="1">AVERAGE(OFFSET($CX$3,0,0,'Données projet'!$E$13+1,1))-AVERAGE(OFFSET($H$3,0,0,'Données projet'!$E$13+1,1))</f>
        <v>385.5283976785621</v>
      </c>
      <c r="CZ38" s="60">
        <f t="shared" si="42"/>
        <v>173.19148969173838</v>
      </c>
      <c r="DA38" s="16">
        <f>IF(ISNA(VLOOKUP(A38,'Données projet'!$A$139:$I$159,3,0)),0,VLOOKUP(A38,'Données projet'!$A$139:$I$159,3,0))</f>
        <v>1</v>
      </c>
      <c r="DB38" s="16">
        <f>IF(ISNA(VLOOKUP(A38,'Données projet'!$A$139:$I$159,4,0)),0,VLOOKUP(A38,'Données projet'!$A$139:$I$159,4,0))</f>
        <v>13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137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137</v>
      </c>
      <c r="DP38" s="18">
        <f>DO38*VLOOKUP('Données projet'!$B$14,Paramètres!$A$1:$I$89,3,0)*VLOOKUP('Données projet'!$B$14,Paramètres!$A$1:$I$89,5,0)</f>
        <v>147.46679999999998</v>
      </c>
      <c r="DQ38" s="14">
        <f t="shared" si="43"/>
        <v>38.002337418636273</v>
      </c>
      <c r="DR38" s="22">
        <f t="shared" si="16"/>
        <v>323.02541433745813</v>
      </c>
      <c r="DS38" s="60">
        <f t="shared" si="17"/>
        <v>566.67594706203261</v>
      </c>
      <c r="DT38" s="60">
        <f ca="1">AVERAGE(OFFSET($DS$3,0,0,'Données projet'!$E$14+1,1))-AVERAGE(OFFSET($H$3,0,0,'Données projet'!$E$14+1,1))</f>
        <v>543.15812193567342</v>
      </c>
      <c r="DU38" s="60">
        <f t="shared" si="44"/>
        <v>286.40725588660575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42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85.256410256410248</v>
      </c>
      <c r="EH38" s="13">
        <f>VLOOKUP(A38,'Données projet'!$A$191:$I$211,9,0)</f>
        <v>5.2564102564102537</v>
      </c>
      <c r="EI38" s="13">
        <f t="array" ref="EI38">INDEX(EH:EH,MIN(IF(ISNUMBER(EH38:EH234),ROW(EH38:EH234),"")))</f>
        <v>5.2564102564102537</v>
      </c>
      <c r="EJ38" s="13">
        <f>IF('Données projet'!$A$192&gt;35,EJ37+EI38-ER37,IF(A38&lt;'Données projet'!$A$192,$EG$205^A38,IF(A38='Données projet'!$A$192,'Données projet'!$B$192,EJ37+EI38-ER37)))</f>
        <v>85.256410256410206</v>
      </c>
      <c r="EK38" s="18">
        <f>EJ38*VLOOKUP('Données projet'!$B$15,Paramètres!$A$1:$I$89,3,0)*VLOOKUP('Données projet'!$B$15,Paramètres!$A$1:$I$89,5,0)</f>
        <v>57.189999999999969</v>
      </c>
      <c r="EL38" s="14">
        <f t="shared" si="45"/>
        <v>16.455841747257001</v>
      </c>
      <c r="EM38" s="22">
        <f t="shared" si="19"/>
        <v>128.26650770980586</v>
      </c>
      <c r="EN38" s="60">
        <f t="shared" si="20"/>
        <v>371.9170404343804</v>
      </c>
      <c r="EO38" s="60">
        <f ca="1">AVERAGE(OFFSET($EN$3,0,0,'Données projet'!$E$15+1,1))-AVERAGE(OFFSET($H$3,0,0,'Données projet'!$E$15+1,1))</f>
        <v>239.52247785001794</v>
      </c>
      <c r="EP38" s="60">
        <f t="shared" si="46"/>
        <v>173.69760199651617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1.3107604496302319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1.3107604496302319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8">
        <f t="shared" si="1"/>
        <v>183.33333333333334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104.84760000000001</v>
      </c>
      <c r="P39" s="14">
        <f t="shared" si="33"/>
        <v>28.113670466115643</v>
      </c>
      <c r="Q39" s="22">
        <f t="shared" si="53"/>
        <v>231.57421272848475</v>
      </c>
      <c r="R39" s="60">
        <f t="shared" si="0"/>
        <v>476.08663096951921</v>
      </c>
      <c r="S39" s="60">
        <f ca="1">AVERAGE(OFFSET($R$3,0,0,'Données projet'!$E$9+1,1))-AVERAGE(OFFSET($H$3,0,0,'Données projet'!$E$9+1,1))</f>
        <v>516.54532596122067</v>
      </c>
      <c r="T39" s="60">
        <f t="shared" si="34"/>
        <v>273.35778700650792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4.8717948717948731</v>
      </c>
      <c r="AI39" s="14">
        <f>IF('Données projet'!$A$62&gt;35,AI38+AH39-AQ38,IF(A39&lt;'Données projet'!$A$62,$AF$205^A39,IF(A39='Données projet'!$A$62,'Données projet'!$B$62,AI38+AH39-AQ38)))</f>
        <v>93.333333333333343</v>
      </c>
      <c r="AJ39" s="14">
        <f>AI39*VLOOKUP('Données projet'!$B$10,Paramètres!$A$1:$I$89,3,0)*VLOOKUP('Données projet'!$B$10,Paramètres!$A$1:$I$89,5,0)</f>
        <v>88.816000000000003</v>
      </c>
      <c r="AK39" s="14">
        <f t="shared" si="35"/>
        <v>24.27945299264514</v>
      </c>
      <c r="AL39" s="22">
        <f t="shared" si="4"/>
        <v>196.97458062885696</v>
      </c>
      <c r="AM39" s="60">
        <f t="shared" si="5"/>
        <v>441.48699886989141</v>
      </c>
      <c r="AN39" s="60">
        <f ca="1">AVERAGE(OFFSET($AM$3,0,0,'Données projet'!$E$10+1,1))-AVERAGE(OFFSET($H$3,0,0,'Données projet'!$E$10+1,1))</f>
        <v>328.36544111680962</v>
      </c>
      <c r="AO39" s="60">
        <f t="shared" si="36"/>
        <v>226.85392900722772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7.6</v>
      </c>
      <c r="BD39" s="13">
        <f>IF('Données projet'!$A$88&gt;35,BD38+BC39-BL38,IF(A39&lt;'Données projet'!$A$88,$BA$205^A39,IF(A39='Données projet'!$A$88,'Données projet'!$B$88,BD38+BC39-BL38)))</f>
        <v>143.59999999999997</v>
      </c>
      <c r="BE39" s="14">
        <f>BD39*VLOOKUP('Données projet'!$B$11,Paramètres!$A$1:$I$89,3,0)*VLOOKUP('Données projet'!$B$11,Paramètres!$A$1:$I$89,5,0)</f>
        <v>125.44895999999997</v>
      </c>
      <c r="BF39" s="14">
        <f t="shared" si="37"/>
        <v>32.942576545548221</v>
      </c>
      <c r="BG39" s="22">
        <f t="shared" si="7"/>
        <v>275.86525948349646</v>
      </c>
      <c r="BH39" s="60">
        <f t="shared" si="8"/>
        <v>520.37767772453094</v>
      </c>
      <c r="BI39" s="60">
        <f ca="1">AVERAGE(OFFSET($BH$3,0,0,'Données projet'!$E$11+1,1))-AVERAGE(OFFSET($H$3,0,0,'Données projet'!$E$11+1,1))</f>
        <v>296.01124173332352</v>
      </c>
      <c r="BJ39" s="60">
        <f t="shared" si="38"/>
        <v>315.50730924873733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5.8</v>
      </c>
      <c r="BY39" s="13">
        <f>IF('Données projet'!$A$114&gt;35,BY38+BX39-CG38,IF(A39&lt;'Données projet'!$A$114,$BV$205^A39,IF(A39='Données projet'!$A$114,'Données projet'!$B$114,BY38+BX39-CG38)))</f>
        <v>114.80000000000001</v>
      </c>
      <c r="BZ39" s="14">
        <f>BY39*VLOOKUP('Données projet'!$B$12,Paramètres!$A$1:$I$89,3,0)*VLOOKUP('Données projet'!$B$12,Paramètres!$A$1:$I$89,5,0)</f>
        <v>75.21696</v>
      </c>
      <c r="CA39" s="14">
        <f t="shared" si="39"/>
        <v>20.963543079169938</v>
      </c>
      <c r="CB39" s="22">
        <f t="shared" si="10"/>
        <v>167.51437619622098</v>
      </c>
      <c r="CC39" s="60">
        <f t="shared" si="11"/>
        <v>412.02679443725538</v>
      </c>
      <c r="CD39" s="60">
        <f ca="1">AVERAGE(OFFSET($CC$3,0,0,'Données projet'!$E$12+1,1))-AVERAGE(OFFSET($H$3,0,0,'Données projet'!$E$12+1,1))</f>
        <v>216.42026264996392</v>
      </c>
      <c r="CE39" s="60">
        <f t="shared" si="40"/>
        <v>216.4587454288401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5.4</v>
      </c>
      <c r="CT39" s="13">
        <f>IF('Données projet'!$A$140&gt;35,CT38+CS39-DB38,IF(A39&lt;'Données projet'!$A$140,$CQ$205^A39,IF(A39='Données projet'!$A$140,'Données projet'!$B$140,CT38+CS39-DB38)))</f>
        <v>71.399999999999991</v>
      </c>
      <c r="CU39" s="18">
        <f>CT39*VLOOKUP('Données projet'!$B$13,Paramètres!$A$1:$I$89,3,0)*VLOOKUP('Données projet'!$B$13,Paramètres!$A$1:$I$89,5,0)</f>
        <v>69.05807999999999</v>
      </c>
      <c r="CV39" s="14">
        <f t="shared" si="41"/>
        <v>19.439361528467131</v>
      </c>
      <c r="CW39" s="22">
        <f t="shared" si="13"/>
        <v>154.13304399541357</v>
      </c>
      <c r="CX39" s="60">
        <f t="shared" si="14"/>
        <v>398.645462236448</v>
      </c>
      <c r="CY39" s="60">
        <f ca="1">AVERAGE(OFFSET($CX$3,0,0,'Données projet'!$E$13+1,1))-AVERAGE(OFFSET($H$3,0,0,'Données projet'!$E$13+1,1))</f>
        <v>385.5283976785621</v>
      </c>
      <c r="CZ39" s="60">
        <f t="shared" si="42"/>
        <v>173.19148969173838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103.4</v>
      </c>
      <c r="DP39" s="18">
        <f>DO39*VLOOKUP('Données projet'!$B$14,Paramètres!$A$1:$I$89,3,0)*VLOOKUP('Données projet'!$B$14,Paramètres!$A$1:$I$89,5,0)</f>
        <v>111.29976000000001</v>
      </c>
      <c r="DQ39" s="14">
        <f t="shared" si="43"/>
        <v>29.637008492427388</v>
      </c>
      <c r="DR39" s="22">
        <f t="shared" si="16"/>
        <v>245.46487179097775</v>
      </c>
      <c r="DS39" s="60">
        <f t="shared" si="17"/>
        <v>489.97729003201221</v>
      </c>
      <c r="DT39" s="60">
        <f ca="1">AVERAGE(OFFSET($DS$3,0,0,'Données projet'!$E$14+1,1))-AVERAGE(OFFSET($H$3,0,0,'Données projet'!$E$14+1,1))</f>
        <v>543.15812193567342</v>
      </c>
      <c r="DU39" s="60">
        <f t="shared" si="44"/>
        <v>286.40725588660575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5.1282051282051295</v>
      </c>
      <c r="EJ39" s="13">
        <f>IF('Données projet'!$A$192&gt;35,EJ38+EI39-ER38,IF(A39&lt;'Données projet'!$A$192,$EG$205^A39,IF(A39='Données projet'!$A$192,'Données projet'!$B$192,EJ38+EI39-ER38)))</f>
        <v>90.38461538461533</v>
      </c>
      <c r="EK39" s="18">
        <f>EJ39*VLOOKUP('Données projet'!$B$15,Paramètres!$A$1:$I$89,3,0)*VLOOKUP('Données projet'!$B$15,Paramètres!$A$1:$I$89,5,0)</f>
        <v>60.629999999999967</v>
      </c>
      <c r="EL39" s="14">
        <f t="shared" si="45"/>
        <v>17.327455818672341</v>
      </c>
      <c r="EM39" s="22">
        <f t="shared" si="19"/>
        <v>135.77590221752095</v>
      </c>
      <c r="EN39" s="60">
        <f t="shared" si="20"/>
        <v>380.2883204585554</v>
      </c>
      <c r="EO39" s="60">
        <f ca="1">AVERAGE(OFFSET($EN$3,0,0,'Données projet'!$E$15+1,1))-AVERAGE(OFFSET($H$3,0,0,'Données projet'!$E$15+1,1))</f>
        <v>239.52247785001794</v>
      </c>
      <c r="EP39" s="60">
        <f t="shared" si="46"/>
        <v>173.69760199651617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1.2749176362051968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1.2749176362051968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8">
        <f t="shared" si="1"/>
        <v>183.33333333333334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113.36520000000003</v>
      </c>
      <c r="P40" s="14">
        <f t="shared" si="33"/>
        <v>30.122456058687614</v>
      </c>
      <c r="Q40" s="22">
        <f t="shared" si="53"/>
        <v>249.9076676355476</v>
      </c>
      <c r="R40" s="60">
        <f t="shared" si="0"/>
        <v>495.2670196062187</v>
      </c>
      <c r="S40" s="60">
        <f ca="1">AVERAGE(OFFSET($R$3,0,0,'Données projet'!$E$9+1,1))-AVERAGE(OFFSET($H$3,0,0,'Données projet'!$E$9+1,1))</f>
        <v>516.54532596122067</v>
      </c>
      <c r="T40" s="60">
        <f t="shared" si="34"/>
        <v>273.35778700650792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4.8717948717948731</v>
      </c>
      <c r="AI40" s="14">
        <f>IF('Données projet'!$A$62&gt;35,AI39+AH40-AQ39,IF(A40&lt;'Données projet'!$A$62,$AF$205^A40,IF(A40='Données projet'!$A$62,'Données projet'!$B$62,AI39+AH40-AQ39)))</f>
        <v>98.205128205128219</v>
      </c>
      <c r="AJ40" s="14">
        <f>AI40*VLOOKUP('Données projet'!$B$10,Paramètres!$A$1:$I$89,3,0)*VLOOKUP('Données projet'!$B$10,Paramètres!$A$1:$I$89,5,0)</f>
        <v>93.452000000000012</v>
      </c>
      <c r="AK40" s="14">
        <f t="shared" si="35"/>
        <v>25.395931798937337</v>
      </c>
      <c r="AL40" s="22">
        <f t="shared" si="4"/>
        <v>206.99348121648256</v>
      </c>
      <c r="AM40" s="60">
        <f t="shared" si="5"/>
        <v>452.35283318715369</v>
      </c>
      <c r="AN40" s="60">
        <f ca="1">AVERAGE(OFFSET($AM$3,0,0,'Données projet'!$E$10+1,1))-AVERAGE(OFFSET($H$3,0,0,'Données projet'!$E$10+1,1))</f>
        <v>328.36544111680962</v>
      </c>
      <c r="AO40" s="60">
        <f t="shared" si="36"/>
        <v>226.85392900722772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7.6</v>
      </c>
      <c r="BD40" s="13">
        <f>IF('Données projet'!$A$88&gt;35,BD39+BC40-BL39,IF(A40&lt;'Données projet'!$A$88,$BA$205^A40,IF(A40='Données projet'!$A$88,'Données projet'!$B$88,BD39+BC40-BL39)))</f>
        <v>151.19999999999996</v>
      </c>
      <c r="BE40" s="14">
        <f>BD40*VLOOKUP('Données projet'!$B$11,Paramètres!$A$1:$I$89,3,0)*VLOOKUP('Données projet'!$B$11,Paramètres!$A$1:$I$89,5,0)</f>
        <v>132.08831999999998</v>
      </c>
      <c r="BF40" s="14">
        <f t="shared" si="37"/>
        <v>34.47846029657056</v>
      </c>
      <c r="BG40" s="22">
        <f t="shared" si="7"/>
        <v>290.10380901652701</v>
      </c>
      <c r="BH40" s="60">
        <f t="shared" si="8"/>
        <v>535.46316098719808</v>
      </c>
      <c r="BI40" s="60">
        <f ca="1">AVERAGE(OFFSET($BH$3,0,0,'Données projet'!$E$11+1,1))-AVERAGE(OFFSET($H$3,0,0,'Données projet'!$E$11+1,1))</f>
        <v>296.01124173332352</v>
      </c>
      <c r="BJ40" s="60">
        <f t="shared" si="38"/>
        <v>315.50730924873733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5.8</v>
      </c>
      <c r="BY40" s="13">
        <f>IF('Données projet'!$A$114&gt;35,BY39+BX40-CG39,IF(A40&lt;'Données projet'!$A$114,$BV$205^A40,IF(A40='Données projet'!$A$114,'Données projet'!$B$114,BY39+BX40-CG39)))</f>
        <v>120.60000000000001</v>
      </c>
      <c r="BZ40" s="14">
        <f>BY40*VLOOKUP('Données projet'!$B$12,Paramètres!$A$1:$I$89,3,0)*VLOOKUP('Données projet'!$B$12,Paramètres!$A$1:$I$89,5,0)</f>
        <v>79.017120000000006</v>
      </c>
      <c r="CA40" s="14">
        <f t="shared" si="39"/>
        <v>21.896692229021447</v>
      </c>
      <c r="CB40" s="22">
        <f t="shared" si="10"/>
        <v>175.75822296554568</v>
      </c>
      <c r="CC40" s="60">
        <f t="shared" si="11"/>
        <v>421.11757493621678</v>
      </c>
      <c r="CD40" s="60">
        <f ca="1">AVERAGE(OFFSET($CC$3,0,0,'Données projet'!$E$12+1,1))-AVERAGE(OFFSET($H$3,0,0,'Données projet'!$E$12+1,1))</f>
        <v>216.42026264996392</v>
      </c>
      <c r="CE40" s="60">
        <f t="shared" si="40"/>
        <v>216.4587454288401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5.4</v>
      </c>
      <c r="CT40" s="13">
        <f>IF('Données projet'!$A$140&gt;35,CT39+CS40-DB39,IF(A40&lt;'Données projet'!$A$140,$CQ$205^A40,IF(A40='Données projet'!$A$140,'Données projet'!$B$140,CT39+CS40-DB39)))</f>
        <v>76.8</v>
      </c>
      <c r="CU40" s="18">
        <f>CT40*VLOOKUP('Données projet'!$B$13,Paramètres!$A$1:$I$89,3,0)*VLOOKUP('Données projet'!$B$13,Paramètres!$A$1:$I$89,5,0)</f>
        <v>74.280960000000007</v>
      </c>
      <c r="CV40" s="14">
        <f t="shared" si="41"/>
        <v>20.732870299230971</v>
      </c>
      <c r="CW40" s="22">
        <f t="shared" si="13"/>
        <v>165.48242110449394</v>
      </c>
      <c r="CX40" s="60">
        <f t="shared" si="14"/>
        <v>410.84177307516507</v>
      </c>
      <c r="CY40" s="60">
        <f ca="1">AVERAGE(OFFSET($CX$3,0,0,'Données projet'!$E$13+1,1))-AVERAGE(OFFSET($H$3,0,0,'Données projet'!$E$13+1,1))</f>
        <v>385.5283976785621</v>
      </c>
      <c r="CZ40" s="60">
        <f t="shared" si="42"/>
        <v>173.19148969173838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111.80000000000001</v>
      </c>
      <c r="DP40" s="18">
        <f>DO40*VLOOKUP('Données projet'!$B$14,Paramètres!$A$1:$I$89,3,0)*VLOOKUP('Données projet'!$B$14,Paramètres!$A$1:$I$89,5,0)</f>
        <v>120.34152</v>
      </c>
      <c r="DQ40" s="14">
        <f t="shared" si="43"/>
        <v>31.754640046026051</v>
      </c>
      <c r="DR40" s="22">
        <f t="shared" si="16"/>
        <v>264.90081208016204</v>
      </c>
      <c r="DS40" s="60">
        <f t="shared" si="17"/>
        <v>510.26016405083317</v>
      </c>
      <c r="DT40" s="60">
        <f ca="1">AVERAGE(OFFSET($DS$3,0,0,'Données projet'!$E$14+1,1))-AVERAGE(OFFSET($H$3,0,0,'Données projet'!$E$14+1,1))</f>
        <v>543.15812193567342</v>
      </c>
      <c r="DU40" s="60">
        <f t="shared" si="44"/>
        <v>286.40725588660575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5.1282051282051295</v>
      </c>
      <c r="EJ40" s="13">
        <f>IF('Données projet'!$A$192&gt;35,EJ39+EI40-ER39,IF(A40&lt;'Données projet'!$A$192,$EG$205^A40,IF(A40='Données projet'!$A$192,'Données projet'!$B$192,EJ39+EI40-ER39)))</f>
        <v>95.512820512820454</v>
      </c>
      <c r="EK40" s="18">
        <f>EJ40*VLOOKUP('Données projet'!$B$15,Paramètres!$A$1:$I$89,3,0)*VLOOKUP('Données projet'!$B$15,Paramètres!$A$1:$I$89,5,0)</f>
        <v>64.069999999999965</v>
      </c>
      <c r="EL40" s="14">
        <f t="shared" si="45"/>
        <v>18.193329243637631</v>
      </c>
      <c r="EM40" s="22">
        <f t="shared" si="19"/>
        <v>143.27529843266882</v>
      </c>
      <c r="EN40" s="60">
        <f t="shared" si="20"/>
        <v>388.63465040333995</v>
      </c>
      <c r="EO40" s="60">
        <f ca="1">AVERAGE(OFFSET($EN$3,0,0,'Données projet'!$E$15+1,1))-AVERAGE(OFFSET($H$3,0,0,'Données projet'!$E$15+1,1))</f>
        <v>239.52247785001794</v>
      </c>
      <c r="EP40" s="60">
        <f t="shared" si="46"/>
        <v>173.69760199651617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1.2400549463981612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1.2400549463981612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8">
        <f t="shared" si="1"/>
        <v>183.33333333333334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121.88280000000002</v>
      </c>
      <c r="P41" s="14">
        <f t="shared" si="33"/>
        <v>32.113732800054677</v>
      </c>
      <c r="Q41" s="22">
        <f t="shared" si="53"/>
        <v>268.21062796009522</v>
      </c>
      <c r="R41" s="60">
        <f t="shared" si="0"/>
        <v>514.40222125365392</v>
      </c>
      <c r="S41" s="60">
        <f ca="1">AVERAGE(OFFSET($R$3,0,0,'Données projet'!$E$9+1,1))-AVERAGE(OFFSET($H$3,0,0,'Données projet'!$E$9+1,1))</f>
        <v>516.54532596122067</v>
      </c>
      <c r="T41" s="60">
        <f t="shared" si="34"/>
        <v>273.35778700650792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4.8717948717948731</v>
      </c>
      <c r="AI41" s="14">
        <f>IF('Données projet'!$A$62&gt;35,AI40+AH41-AQ40,IF(A41&lt;'Données projet'!$A$62,$AF$205^A41,IF(A41='Données projet'!$A$62,'Données projet'!$B$62,AI40+AH41-AQ40)))</f>
        <v>103.07692307692309</v>
      </c>
      <c r="AJ41" s="14">
        <f>AI41*VLOOKUP('Données projet'!$B$10,Paramètres!$A$1:$I$89,3,0)*VLOOKUP('Données projet'!$B$10,Paramètres!$A$1:$I$89,5,0)</f>
        <v>98.088000000000008</v>
      </c>
      <c r="AK41" s="14">
        <f t="shared" si="35"/>
        <v>26.50597938909447</v>
      </c>
      <c r="AL41" s="22">
        <f t="shared" si="4"/>
        <v>217.00118076933953</v>
      </c>
      <c r="AM41" s="60">
        <f t="shared" si="5"/>
        <v>463.19277406289825</v>
      </c>
      <c r="AN41" s="60">
        <f ca="1">AVERAGE(OFFSET($AM$3,0,0,'Données projet'!$E$10+1,1))-AVERAGE(OFFSET($H$3,0,0,'Données projet'!$E$10+1,1))</f>
        <v>328.36544111680962</v>
      </c>
      <c r="AO41" s="60">
        <f t="shared" si="36"/>
        <v>226.85392900722772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7.6</v>
      </c>
      <c r="BD41" s="13">
        <f>IF('Données projet'!$A$88&gt;35,BD40+BC41-BL40,IF(A41&lt;'Données projet'!$A$88,$BA$205^A41,IF(A41='Données projet'!$A$88,'Données projet'!$B$88,BD40+BC41-BL40)))</f>
        <v>158.79999999999995</v>
      </c>
      <c r="BE41" s="14">
        <f>BD41*VLOOKUP('Données projet'!$B$11,Paramètres!$A$1:$I$89,3,0)*VLOOKUP('Données projet'!$B$11,Paramètres!$A$1:$I$89,5,0)</f>
        <v>138.72767999999999</v>
      </c>
      <c r="BF41" s="14">
        <f t="shared" si="37"/>
        <v>36.005380160492741</v>
      </c>
      <c r="BG41" s="22">
        <f t="shared" si="7"/>
        <v>304.32674644619152</v>
      </c>
      <c r="BH41" s="60">
        <f t="shared" si="8"/>
        <v>550.51833973975022</v>
      </c>
      <c r="BI41" s="60">
        <f ca="1">AVERAGE(OFFSET($BH$3,0,0,'Données projet'!$E$11+1,1))-AVERAGE(OFFSET($H$3,0,0,'Données projet'!$E$11+1,1))</f>
        <v>296.01124173332352</v>
      </c>
      <c r="BJ41" s="60">
        <f t="shared" si="38"/>
        <v>315.50730924873733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5.8</v>
      </c>
      <c r="BY41" s="13">
        <f>IF('Données projet'!$A$114&gt;35,BY40+BX41-CG40,IF(A41&lt;'Données projet'!$A$114,$BV$205^A41,IF(A41='Données projet'!$A$114,'Données projet'!$B$114,BY40+BX41-CG40)))</f>
        <v>126.4</v>
      </c>
      <c r="BZ41" s="14">
        <f>BY41*VLOOKUP('Données projet'!$B$12,Paramètres!$A$1:$I$89,3,0)*VLOOKUP('Données projet'!$B$12,Paramètres!$A$1:$I$89,5,0)</f>
        <v>82.817280000000011</v>
      </c>
      <c r="CA41" s="14">
        <f t="shared" si="39"/>
        <v>22.824630073728041</v>
      </c>
      <c r="CB41" s="22">
        <f t="shared" si="10"/>
        <v>183.99299337840969</v>
      </c>
      <c r="CC41" s="60">
        <f t="shared" si="11"/>
        <v>430.18458667196842</v>
      </c>
      <c r="CD41" s="60">
        <f ca="1">AVERAGE(OFFSET($CC$3,0,0,'Données projet'!$E$12+1,1))-AVERAGE(OFFSET($H$3,0,0,'Données projet'!$E$12+1,1))</f>
        <v>216.42026264996392</v>
      </c>
      <c r="CE41" s="60">
        <f t="shared" si="40"/>
        <v>216.4587454288401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5.4</v>
      </c>
      <c r="CT41" s="13">
        <f>IF('Données projet'!$A$140&gt;35,CT40+CS41-DB40,IF(A41&lt;'Données projet'!$A$140,$CQ$205^A41,IF(A41='Données projet'!$A$140,'Données projet'!$B$140,CT40+CS41-DB40)))</f>
        <v>82.2</v>
      </c>
      <c r="CU41" s="18">
        <f>CT41*VLOOKUP('Données projet'!$B$13,Paramètres!$A$1:$I$89,3,0)*VLOOKUP('Données projet'!$B$13,Paramètres!$A$1:$I$89,5,0)</f>
        <v>79.503839999999997</v>
      </c>
      <c r="CV41" s="14">
        <f t="shared" si="41"/>
        <v>22.015826538921051</v>
      </c>
      <c r="CW41" s="22">
        <f t="shared" si="13"/>
        <v>176.81341922195415</v>
      </c>
      <c r="CX41" s="60">
        <f t="shared" si="14"/>
        <v>423.00501251551287</v>
      </c>
      <c r="CY41" s="60">
        <f ca="1">AVERAGE(OFFSET($CX$3,0,0,'Données projet'!$E$13+1,1))-AVERAGE(OFFSET($H$3,0,0,'Données projet'!$E$13+1,1))</f>
        <v>385.5283976785621</v>
      </c>
      <c r="CZ41" s="60">
        <f t="shared" si="42"/>
        <v>173.19148969173838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120.20000000000002</v>
      </c>
      <c r="DP41" s="18">
        <f>DO41*VLOOKUP('Données projet'!$B$14,Paramètres!$A$1:$I$89,3,0)*VLOOKUP('Données projet'!$B$14,Paramètres!$A$1:$I$89,5,0)</f>
        <v>129.38328000000001</v>
      </c>
      <c r="DQ41" s="14">
        <f t="shared" si="43"/>
        <v>33.853814032069536</v>
      </c>
      <c r="DR41" s="22">
        <f t="shared" si="16"/>
        <v>284.30460543918775</v>
      </c>
      <c r="DS41" s="60">
        <f t="shared" si="17"/>
        <v>530.49619873274651</v>
      </c>
      <c r="DT41" s="60">
        <f ca="1">AVERAGE(OFFSET($DS$3,0,0,'Données projet'!$E$14+1,1))-AVERAGE(OFFSET($H$3,0,0,'Données projet'!$E$14+1,1))</f>
        <v>543.15812193567342</v>
      </c>
      <c r="DU41" s="60">
        <f t="shared" si="44"/>
        <v>286.40725588660575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5.1282051282051295</v>
      </c>
      <c r="EJ41" s="13">
        <f>IF('Données projet'!$A$192&gt;35,EJ40+EI41-ER40,IF(A41&lt;'Données projet'!$A$192,$EG$205^A41,IF(A41='Données projet'!$A$192,'Données projet'!$B$192,EJ40+EI41-ER40)))</f>
        <v>100.64102564102558</v>
      </c>
      <c r="EK41" s="18">
        <f>EJ41*VLOOKUP('Données projet'!$B$15,Paramètres!$A$1:$I$89,3,0)*VLOOKUP('Données projet'!$B$15,Paramètres!$A$1:$I$89,5,0)</f>
        <v>67.509999999999962</v>
      </c>
      <c r="EL41" s="14">
        <f t="shared" si="45"/>
        <v>19.053805387418848</v>
      </c>
      <c r="EM41" s="22">
        <f t="shared" si="19"/>
        <v>150.76529438308773</v>
      </c>
      <c r="EN41" s="60">
        <f t="shared" si="20"/>
        <v>396.95688767664649</v>
      </c>
      <c r="EO41" s="60">
        <f ca="1">AVERAGE(OFFSET($EN$3,0,0,'Données projet'!$E$15+1,1))-AVERAGE(OFFSET($H$3,0,0,'Données projet'!$E$15+1,1))</f>
        <v>239.52247785001794</v>
      </c>
      <c r="EP41" s="60">
        <f t="shared" si="46"/>
        <v>173.69760199651617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1.2061455786772479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1.2061455786772479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8">
        <f t="shared" si="1"/>
        <v>183.33333333333334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130.40040000000002</v>
      </c>
      <c r="P42" s="14">
        <f t="shared" si="33"/>
        <v>34.088863450406919</v>
      </c>
      <c r="Q42" s="22">
        <f t="shared" si="53"/>
        <v>286.48546717612544</v>
      </c>
      <c r="R42" s="60">
        <f t="shared" si="0"/>
        <v>533.49486426623253</v>
      </c>
      <c r="S42" s="60">
        <f ca="1">AVERAGE(OFFSET($R$3,0,0,'Données projet'!$E$9+1,1))-AVERAGE(OFFSET($H$3,0,0,'Données projet'!$E$9+1,1))</f>
        <v>516.54532596122067</v>
      </c>
      <c r="T42" s="60">
        <f t="shared" si="34"/>
        <v>273.35778700650792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4.8717948717948731</v>
      </c>
      <c r="AI42" s="14">
        <f>IF('Données projet'!$A$62&gt;35,AI41+AH42-AQ41,IF(A42&lt;'Données projet'!$A$62,$AF$205^A42,IF(A42='Données projet'!$A$62,'Données projet'!$B$62,AI41+AH42-AQ41)))</f>
        <v>107.94871794871797</v>
      </c>
      <c r="AJ42" s="14">
        <f>AI42*VLOOKUP('Données projet'!$B$10,Paramètres!$A$1:$I$89,3,0)*VLOOKUP('Données projet'!$B$10,Paramètres!$A$1:$I$89,5,0)</f>
        <v>102.72400000000002</v>
      </c>
      <c r="AK42" s="14">
        <f t="shared" si="35"/>
        <v>27.609934433510496</v>
      </c>
      <c r="AL42" s="22">
        <f t="shared" si="4"/>
        <v>226.99826913836412</v>
      </c>
      <c r="AM42" s="60">
        <f t="shared" si="5"/>
        <v>474.00766622847124</v>
      </c>
      <c r="AN42" s="60">
        <f ca="1">AVERAGE(OFFSET($AM$3,0,0,'Données projet'!$E$10+1,1))-AVERAGE(OFFSET($H$3,0,0,'Données projet'!$E$10+1,1))</f>
        <v>328.36544111680962</v>
      </c>
      <c r="AO42" s="60">
        <f t="shared" si="36"/>
        <v>226.85392900722772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7.6</v>
      </c>
      <c r="BD42" s="13">
        <f>IF('Données projet'!$A$88&gt;35,BD41+BC42-BL41,IF(A42&lt;'Données projet'!$A$88,$BA$205^A42,IF(A42='Données projet'!$A$88,'Données projet'!$B$88,BD41+BC42-BL41)))</f>
        <v>166.39999999999995</v>
      </c>
      <c r="BE42" s="14">
        <f>BD42*VLOOKUP('Données projet'!$B$11,Paramètres!$A$1:$I$89,3,0)*VLOOKUP('Données projet'!$B$11,Paramètres!$A$1:$I$89,5,0)</f>
        <v>145.36703999999997</v>
      </c>
      <c r="BF42" s="14">
        <f t="shared" si="37"/>
        <v>37.523814117080803</v>
      </c>
      <c r="BG42" s="22">
        <f t="shared" si="7"/>
        <v>318.53490425391573</v>
      </c>
      <c r="BH42" s="60">
        <f t="shared" si="8"/>
        <v>565.54430134402287</v>
      </c>
      <c r="BI42" s="60">
        <f ca="1">AVERAGE(OFFSET($BH$3,0,0,'Données projet'!$E$11+1,1))-AVERAGE(OFFSET($H$3,0,0,'Données projet'!$E$11+1,1))</f>
        <v>296.01124173332352</v>
      </c>
      <c r="BJ42" s="60">
        <f t="shared" si="38"/>
        <v>315.50730924873733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5.8</v>
      </c>
      <c r="BY42" s="13">
        <f>IF('Données projet'!$A$114&gt;35,BY41+BX42-CG41,IF(A42&lt;'Données projet'!$A$114,$BV$205^A42,IF(A42='Données projet'!$A$114,'Données projet'!$B$114,BY41+BX42-CG41)))</f>
        <v>132.20000000000002</v>
      </c>
      <c r="BZ42" s="14">
        <f>BY42*VLOOKUP('Données projet'!$B$12,Paramètres!$A$1:$I$89,3,0)*VLOOKUP('Données projet'!$B$12,Paramètres!$A$1:$I$89,5,0)</f>
        <v>86.617440000000016</v>
      </c>
      <c r="CA42" s="14">
        <f t="shared" si="39"/>
        <v>23.747623053373591</v>
      </c>
      <c r="CB42" s="22">
        <f t="shared" si="10"/>
        <v>192.21915148462566</v>
      </c>
      <c r="CC42" s="60">
        <f t="shared" si="11"/>
        <v>439.22854857473277</v>
      </c>
      <c r="CD42" s="60">
        <f ca="1">AVERAGE(OFFSET($CC$3,0,0,'Données projet'!$E$12+1,1))-AVERAGE(OFFSET($H$3,0,0,'Données projet'!$E$12+1,1))</f>
        <v>216.42026264996392</v>
      </c>
      <c r="CE42" s="60">
        <f t="shared" si="40"/>
        <v>216.4587454288401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5.4</v>
      </c>
      <c r="CT42" s="13">
        <f>IF('Données projet'!$A$140&gt;35,CT41+CS42-DB41,IF(A42&lt;'Données projet'!$A$140,$CQ$205^A42,IF(A42='Données projet'!$A$140,'Données projet'!$B$140,CT41+CS42-DB41)))</f>
        <v>87.600000000000009</v>
      </c>
      <c r="CU42" s="18">
        <f>CT42*VLOOKUP('Données projet'!$B$13,Paramètres!$A$1:$I$89,3,0)*VLOOKUP('Données projet'!$B$13,Paramètres!$A$1:$I$89,5,0)</f>
        <v>84.726720000000014</v>
      </c>
      <c r="CV42" s="14">
        <f t="shared" si="41"/>
        <v>23.289002367177517</v>
      </c>
      <c r="CW42" s="22">
        <f t="shared" si="13"/>
        <v>188.1273831228342</v>
      </c>
      <c r="CX42" s="60">
        <f t="shared" si="14"/>
        <v>435.13678021294129</v>
      </c>
      <c r="CY42" s="60">
        <f ca="1">AVERAGE(OFFSET($CX$3,0,0,'Données projet'!$E$13+1,1))-AVERAGE(OFFSET($H$3,0,0,'Données projet'!$E$13+1,1))</f>
        <v>385.5283976785621</v>
      </c>
      <c r="CZ42" s="60">
        <f t="shared" si="42"/>
        <v>173.19148969173838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128.60000000000002</v>
      </c>
      <c r="DP42" s="18">
        <f>DO42*VLOOKUP('Données projet'!$B$14,Paramètres!$A$1:$I$89,3,0)*VLOOKUP('Données projet'!$B$14,Paramètres!$A$1:$I$89,5,0)</f>
        <v>138.42504000000002</v>
      </c>
      <c r="DQ42" s="14">
        <f t="shared" si="43"/>
        <v>35.935967051850263</v>
      </c>
      <c r="DR42" s="22">
        <f t="shared" si="16"/>
        <v>303.67875394863927</v>
      </c>
      <c r="DS42" s="60">
        <f t="shared" si="17"/>
        <v>550.68815103874635</v>
      </c>
      <c r="DT42" s="60">
        <f ca="1">AVERAGE(OFFSET($DS$3,0,0,'Données projet'!$E$14+1,1))-AVERAGE(OFFSET($H$3,0,0,'Données projet'!$E$14+1,1))</f>
        <v>543.15812193567342</v>
      </c>
      <c r="DU42" s="60">
        <f t="shared" si="44"/>
        <v>286.40725588660575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5.1282051282051295</v>
      </c>
      <c r="EJ42" s="13">
        <f>IF('Données projet'!$A$192&gt;35,EJ41+EI42-ER41,IF(A42&lt;'Données projet'!$A$192,$EG$205^A42,IF(A42='Données projet'!$A$192,'Données projet'!$B$192,EJ41+EI42-ER41)))</f>
        <v>105.7692307692307</v>
      </c>
      <c r="EK42" s="18">
        <f>EJ42*VLOOKUP('Données projet'!$B$15,Paramètres!$A$1:$I$89,3,0)*VLOOKUP('Données projet'!$B$15,Paramètres!$A$1:$I$89,5,0)</f>
        <v>70.949999999999946</v>
      </c>
      <c r="EL42" s="14">
        <f t="shared" si="45"/>
        <v>19.909190646085339</v>
      </c>
      <c r="EM42" s="22">
        <f t="shared" si="19"/>
        <v>158.24642370859854</v>
      </c>
      <c r="EN42" s="60">
        <f t="shared" si="20"/>
        <v>405.25582079870566</v>
      </c>
      <c r="EO42" s="60">
        <f ca="1">AVERAGE(OFFSET($EN$3,0,0,'Données projet'!$E$15+1,1))-AVERAGE(OFFSET($H$3,0,0,'Données projet'!$E$15+1,1))</f>
        <v>239.52247785001794</v>
      </c>
      <c r="EP42" s="60">
        <f t="shared" si="46"/>
        <v>173.69760199651617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1.1731634643998792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1.1731634643998792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8">
        <f t="shared" si="1"/>
        <v>183.33333333333334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138.91800000000003</v>
      </c>
      <c r="P43" s="14">
        <f t="shared" si="33"/>
        <v>36.049022673886341</v>
      </c>
      <c r="Q43" s="22">
        <f t="shared" si="53"/>
        <v>304.73423115701877</v>
      </c>
      <c r="R43" s="60">
        <f t="shared" si="0"/>
        <v>552.54724497613961</v>
      </c>
      <c r="S43" s="60">
        <f ca="1">AVERAGE(OFFSET($R$3,0,0,'Données projet'!$E$9+1,1))-AVERAGE(OFFSET($H$3,0,0,'Données projet'!$E$9+1,1))</f>
        <v>516.54532596122067</v>
      </c>
      <c r="T43" s="60">
        <f t="shared" si="34"/>
        <v>273.35778700650792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112.82051282051282</v>
      </c>
      <c r="AG43" s="13">
        <f>VLOOKUP(A43,'Données projet'!$A$61:$I$81,9,0)</f>
        <v>4.8717948717948731</v>
      </c>
      <c r="AH43" s="13">
        <f t="array" ref="AH43">INDEX(AG:AG,MIN(IF(ISNUMBER(AG43:AG239),ROW(AG43:AG239),"")))</f>
        <v>4.8717948717948731</v>
      </c>
      <c r="AI43" s="14">
        <f>IF('Données projet'!$A$62&gt;35,AI42+AH43-AQ42,IF(A43&lt;'Données projet'!$A$62,$AF$205^A43,IF(A43='Données projet'!$A$62,'Données projet'!$B$62,AI42+AH43-AQ42)))</f>
        <v>112.82051282051285</v>
      </c>
      <c r="AJ43" s="14">
        <f>AI43*VLOOKUP('Données projet'!$B$10,Paramètres!$A$1:$I$89,3,0)*VLOOKUP('Données projet'!$B$10,Paramètres!$A$1:$I$89,5,0)</f>
        <v>107.36000000000003</v>
      </c>
      <c r="AK43" s="14">
        <f t="shared" si="35"/>
        <v>28.708103305704146</v>
      </c>
      <c r="AL43" s="22">
        <f t="shared" si="4"/>
        <v>236.98527992410141</v>
      </c>
      <c r="AM43" s="60">
        <f t="shared" si="5"/>
        <v>484.79829374322219</v>
      </c>
      <c r="AN43" s="60">
        <f ca="1">AVERAGE(OFFSET($AM$3,0,0,'Données projet'!$E$10+1,1))-AVERAGE(OFFSET($H$3,0,0,'Données projet'!$E$10+1,1))</f>
        <v>328.36544111680962</v>
      </c>
      <c r="AO43" s="60">
        <f t="shared" si="36"/>
        <v>226.85392900722772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21.153846153846153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174</v>
      </c>
      <c r="BB43" s="13">
        <f>VLOOKUP(A43,'Données projet'!$A$87:$I$107,9,0)</f>
        <v>7.6</v>
      </c>
      <c r="BC43" s="13">
        <f t="array" ref="BC43">INDEX(BB:BB,MIN(IF(ISNUMBER(BB43:BB239),ROW(BB43:BB239),"")))</f>
        <v>7.6</v>
      </c>
      <c r="BD43" s="13">
        <f>IF('Données projet'!$A$88&gt;35,BD42+BC43-BL42,IF(A43&lt;'Données projet'!$A$88,$BA$205^A43,IF(A43='Données projet'!$A$88,'Données projet'!$B$88,BD42+BC43-BL42)))</f>
        <v>173.99999999999994</v>
      </c>
      <c r="BE43" s="14">
        <f>BD43*VLOOKUP('Données projet'!$B$11,Paramètres!$A$1:$I$89,3,0)*VLOOKUP('Données projet'!$B$11,Paramètres!$A$1:$I$89,5,0)</f>
        <v>152.00639999999999</v>
      </c>
      <c r="BF43" s="14">
        <f t="shared" si="37"/>
        <v>39.03419401656145</v>
      </c>
      <c r="BG43" s="22">
        <f t="shared" si="7"/>
        <v>332.72903457884451</v>
      </c>
      <c r="BH43" s="60">
        <f t="shared" si="8"/>
        <v>580.54204839796535</v>
      </c>
      <c r="BI43" s="60">
        <f ca="1">AVERAGE(OFFSET($BH$3,0,0,'Données projet'!$E$11+1,1))-AVERAGE(OFFSET($H$3,0,0,'Données projet'!$E$11+1,1))</f>
        <v>296.01124173332352</v>
      </c>
      <c r="BJ43" s="60">
        <f t="shared" si="38"/>
        <v>315.50730924873733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138</v>
      </c>
      <c r="BW43" s="13">
        <f>VLOOKUP(A43,'Données projet'!$A$113:$I$133,9,0)</f>
        <v>5.8</v>
      </c>
      <c r="BX43" s="13">
        <f t="array" ref="BX43">INDEX(BW:BW,MIN(IF(ISNUMBER(BW43:BW239),ROW(BW43:BW239),"")))</f>
        <v>5.8</v>
      </c>
      <c r="BY43" s="13">
        <f>IF('Données projet'!$A$114&gt;35,BY42+BX43-CG42,IF(A43&lt;'Données projet'!$A$114,$BV$205^A43,IF(A43='Données projet'!$A$114,'Données projet'!$B$114,BY42+BX43-CG42)))</f>
        <v>138.00000000000003</v>
      </c>
      <c r="BZ43" s="14">
        <f>BY43*VLOOKUP('Données projet'!$B$12,Paramètres!$A$1:$I$89,3,0)*VLOOKUP('Données projet'!$B$12,Paramètres!$A$1:$I$89,5,0)</f>
        <v>90.417600000000022</v>
      </c>
      <c r="CA43" s="14">
        <f t="shared" si="39"/>
        <v>24.665912907068826</v>
      </c>
      <c r="CB43" s="22">
        <f t="shared" si="10"/>
        <v>200.43711831314491</v>
      </c>
      <c r="CC43" s="60">
        <f t="shared" si="11"/>
        <v>448.25013213226572</v>
      </c>
      <c r="CD43" s="60">
        <f ca="1">AVERAGE(OFFSET($CC$3,0,0,'Données projet'!$E$12+1,1))-AVERAGE(OFFSET($H$3,0,0,'Données projet'!$E$12+1,1))</f>
        <v>216.42026264996392</v>
      </c>
      <c r="CE43" s="60">
        <f t="shared" si="40"/>
        <v>216.4587454288401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37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93</v>
      </c>
      <c r="CR43" s="13">
        <f>VLOOKUP(A43,'Données projet'!$A$139:$I$159,9,0)</f>
        <v>5.4</v>
      </c>
      <c r="CS43" s="13">
        <f t="array" ref="CS43">INDEX(CR:CR,MIN(IF(ISNUMBER(CR43:CR239),ROW(CR43:CR239),"")))</f>
        <v>5.4</v>
      </c>
      <c r="CT43" s="13">
        <f>IF('Données projet'!$A$140&gt;35,CT42+CS43-DB42,IF(A43&lt;'Données projet'!$A$140,$CQ$205^A43,IF(A43='Données projet'!$A$140,'Données projet'!$B$140,CT42+CS43-DB42)))</f>
        <v>93.000000000000014</v>
      </c>
      <c r="CU43" s="18">
        <f>CT43*VLOOKUP('Données projet'!$B$13,Paramètres!$A$1:$I$89,3,0)*VLOOKUP('Données projet'!$B$13,Paramètres!$A$1:$I$89,5,0)</f>
        <v>89.949600000000018</v>
      </c>
      <c r="CV43" s="14">
        <f t="shared" si="41"/>
        <v>24.553069331291834</v>
      </c>
      <c r="CW43" s="22">
        <f t="shared" si="13"/>
        <v>199.42548241866663</v>
      </c>
      <c r="CX43" s="60">
        <f t="shared" si="14"/>
        <v>447.23849623778744</v>
      </c>
      <c r="CY43" s="60">
        <f ca="1">AVERAGE(OFFSET($CX$3,0,0,'Données projet'!$E$13+1,1))-AVERAGE(OFFSET($H$3,0,0,'Données projet'!$E$13+1,1))</f>
        <v>385.5283976785621</v>
      </c>
      <c r="CZ43" s="60">
        <f t="shared" si="42"/>
        <v>173.19148969173838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137.00000000000003</v>
      </c>
      <c r="DP43" s="18">
        <f>DO43*VLOOKUP('Données projet'!$B$14,Paramètres!$A$1:$I$89,3,0)*VLOOKUP('Données projet'!$B$14,Paramètres!$A$1:$I$89,5,0)</f>
        <v>147.46680000000003</v>
      </c>
      <c r="DQ43" s="14">
        <f t="shared" si="43"/>
        <v>38.002337418636309</v>
      </c>
      <c r="DR43" s="22">
        <f t="shared" si="16"/>
        <v>323.02541433745824</v>
      </c>
      <c r="DS43" s="60">
        <f t="shared" si="17"/>
        <v>570.83842815657908</v>
      </c>
      <c r="DT43" s="60">
        <f ca="1">AVERAGE(OFFSET($DS$3,0,0,'Données projet'!$E$14+1,1))-AVERAGE(OFFSET($H$3,0,0,'Données projet'!$E$14+1,1))</f>
        <v>543.15812193567342</v>
      </c>
      <c r="DU43" s="60">
        <f t="shared" si="44"/>
        <v>286.40725588660575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110.8974358974359</v>
      </c>
      <c r="EH43" s="13">
        <f>VLOOKUP(A43,'Données projet'!$A$191:$I$211,9,0)</f>
        <v>5.1282051282051295</v>
      </c>
      <c r="EI43" s="13">
        <f t="array" ref="EI43">INDEX(EH:EH,MIN(IF(ISNUMBER(EH43:EH239),ROW(EH43:EH239),"")))</f>
        <v>5.1282051282051295</v>
      </c>
      <c r="EJ43" s="13">
        <f>IF('Données projet'!$A$192&gt;35,EJ42+EI43-ER42,IF(A43&lt;'Données projet'!$A$192,$EG$205^A43,IF(A43='Données projet'!$A$192,'Données projet'!$B$192,EJ42+EI43-ER42)))</f>
        <v>110.89743589743583</v>
      </c>
      <c r="EK43" s="18">
        <f>EJ43*VLOOKUP('Données projet'!$B$15,Paramètres!$A$1:$I$89,3,0)*VLOOKUP('Données projet'!$B$15,Paramètres!$A$1:$I$89,5,0)</f>
        <v>74.389999999999944</v>
      </c>
      <c r="EL43" s="14">
        <f t="shared" si="45"/>
        <v>20.759760025924169</v>
      </c>
      <c r="EM43" s="22">
        <f t="shared" si="19"/>
        <v>165.71916537848449</v>
      </c>
      <c r="EN43" s="60">
        <f t="shared" si="20"/>
        <v>413.53217919760527</v>
      </c>
      <c r="EO43" s="60">
        <f ca="1">AVERAGE(OFFSET($EN$3,0,0,'Données projet'!$E$15+1,1))-AVERAGE(OFFSET($H$3,0,0,'Données projet'!$E$15+1,1))</f>
        <v>239.52247785001794</v>
      </c>
      <c r="EP43" s="60">
        <f t="shared" si="46"/>
        <v>173.69760199651617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21.794871794871796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1.1410832477718791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1.1410832477718791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8">
        <f t="shared" si="1"/>
        <v>183.33333333333334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147.43560000000002</v>
      </c>
      <c r="P44" s="14">
        <f t="shared" si="33"/>
        <v>37.99523294834102</v>
      </c>
      <c r="Q44" s="22">
        <f t="shared" si="53"/>
        <v>322.95870071836066</v>
      </c>
      <c r="R44" s="60">
        <f t="shared" si="0"/>
        <v>571.56139031286466</v>
      </c>
      <c r="S44" s="60">
        <f ca="1">AVERAGE(OFFSET($R$3,0,0,'Données projet'!$E$9+1,1))-AVERAGE(OFFSET($H$3,0,0,'Données projet'!$E$9+1,1))</f>
        <v>516.54532596122067</v>
      </c>
      <c r="T44" s="60">
        <f t="shared" si="34"/>
        <v>273.35778700650792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4.6153846153846159</v>
      </c>
      <c r="AI44" s="14">
        <f>IF('Données projet'!$A$62&gt;35,AI43+AH44-AQ43,IF(A44&lt;'Données projet'!$A$62,$AF$205^A44,IF(A44='Données projet'!$A$62,'Données projet'!$B$62,AI43+AH44-AQ43)))</f>
        <v>96.282051282051299</v>
      </c>
      <c r="AJ44" s="14">
        <f>AI44*VLOOKUP('Données projet'!$B$10,Paramètres!$A$1:$I$89,3,0)*VLOOKUP('Données projet'!$B$10,Paramètres!$A$1:$I$89,5,0)</f>
        <v>91.622000000000014</v>
      </c>
      <c r="AK44" s="14">
        <f t="shared" si="35"/>
        <v>24.956004748327132</v>
      </c>
      <c r="AL44" s="22">
        <f t="shared" si="4"/>
        <v>203.04002493666977</v>
      </c>
      <c r="AM44" s="60">
        <f t="shared" si="5"/>
        <v>451.64271453117374</v>
      </c>
      <c r="AN44" s="60">
        <f ca="1">AVERAGE(OFFSET($AM$3,0,0,'Données projet'!$E$10+1,1))-AVERAGE(OFFSET($H$3,0,0,'Données projet'!$E$10+1,1))</f>
        <v>328.36544111680962</v>
      </c>
      <c r="AO44" s="60">
        <f t="shared" si="36"/>
        <v>226.85392900722772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6.6</v>
      </c>
      <c r="BD44" s="13">
        <f>IF('Données projet'!$A$88&gt;35,BD43+BC44-BL43,IF(A44&lt;'Données projet'!$A$88,$BA$205^A44,IF(A44='Données projet'!$A$88,'Données projet'!$B$88,BD43+BC44-BL43)))</f>
        <v>138.59999999999994</v>
      </c>
      <c r="BE44" s="14">
        <f>BD44*VLOOKUP('Données projet'!$B$11,Paramètres!$A$1:$I$89,3,0)*VLOOKUP('Données projet'!$B$11,Paramètres!$A$1:$I$89,5,0)</f>
        <v>121.08095999999996</v>
      </c>
      <c r="BF44" s="14">
        <f t="shared" si="37"/>
        <v>31.926983727887041</v>
      </c>
      <c r="BG44" s="22">
        <f t="shared" si="7"/>
        <v>266.48883532606988</v>
      </c>
      <c r="BH44" s="60">
        <f t="shared" si="8"/>
        <v>515.09152492057387</v>
      </c>
      <c r="BI44" s="60">
        <f ca="1">AVERAGE(OFFSET($BH$3,0,0,'Données projet'!$E$11+1,1))-AVERAGE(OFFSET($H$3,0,0,'Données projet'!$E$11+1,1))</f>
        <v>296.01124173332352</v>
      </c>
      <c r="BJ44" s="60">
        <f t="shared" si="38"/>
        <v>315.50730924873733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106.60000000000002</v>
      </c>
      <c r="BZ44" s="14">
        <f>BY44*VLOOKUP('Données projet'!$B$12,Paramètres!$A$1:$I$89,3,0)*VLOOKUP('Données projet'!$B$12,Paramètres!$A$1:$I$89,5,0)</f>
        <v>69.84432000000001</v>
      </c>
      <c r="CA44" s="14">
        <f t="shared" si="39"/>
        <v>19.634791732245578</v>
      </c>
      <c r="CB44" s="22">
        <f t="shared" si="10"/>
        <v>155.84278626699441</v>
      </c>
      <c r="CC44" s="60">
        <f t="shared" si="11"/>
        <v>404.44547586149838</v>
      </c>
      <c r="CD44" s="60">
        <f ca="1">AVERAGE(OFFSET($CC$3,0,0,'Données projet'!$E$12+1,1))-AVERAGE(OFFSET($H$3,0,0,'Données projet'!$E$12+1,1))</f>
        <v>216.42026264996392</v>
      </c>
      <c r="CE44" s="60">
        <f t="shared" si="40"/>
        <v>216.4587454288401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</v>
      </c>
      <c r="CT44" s="13">
        <f>IF('Données projet'!$A$140&gt;35,CT43+CS44-DB43,IF(A44&lt;'Données projet'!$A$140,$CQ$205^A44,IF(A44='Données projet'!$A$140,'Données projet'!$B$140,CT43+CS44-DB43)))</f>
        <v>98.600000000000009</v>
      </c>
      <c r="CU44" s="18">
        <f>CT44*VLOOKUP('Données projet'!$B$13,Paramètres!$A$1:$I$89,3,0)*VLOOKUP('Données projet'!$B$13,Paramètres!$A$1:$I$89,5,0)</f>
        <v>95.365920000000017</v>
      </c>
      <c r="CV44" s="14">
        <f t="shared" si="41"/>
        <v>25.854961705219438</v>
      </c>
      <c r="CW44" s="22">
        <f t="shared" si="13"/>
        <v>211.12636896992387</v>
      </c>
      <c r="CX44" s="60">
        <f t="shared" si="14"/>
        <v>459.72905856442787</v>
      </c>
      <c r="CY44" s="60">
        <f ca="1">AVERAGE(OFFSET($CX$3,0,0,'Données projet'!$E$13+1,1))-AVERAGE(OFFSET($H$3,0,0,'Données projet'!$E$13+1,1))</f>
        <v>385.5283976785621</v>
      </c>
      <c r="CZ44" s="60">
        <f t="shared" si="42"/>
        <v>173.19148969173838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145.40000000000003</v>
      </c>
      <c r="DP44" s="18">
        <f>DO44*VLOOKUP('Données projet'!$B$14,Paramètres!$A$1:$I$89,3,0)*VLOOKUP('Données projet'!$B$14,Paramètres!$A$1:$I$89,5,0)</f>
        <v>156.50856000000005</v>
      </c>
      <c r="DQ44" s="14">
        <f t="shared" si="43"/>
        <v>40.054003013194027</v>
      </c>
      <c r="DR44" s="22">
        <f t="shared" si="16"/>
        <v>342.34646391464634</v>
      </c>
      <c r="DS44" s="60">
        <f t="shared" si="17"/>
        <v>590.94915350915028</v>
      </c>
      <c r="DT44" s="60">
        <f ca="1">AVERAGE(OFFSET($DS$3,0,0,'Données projet'!$E$14+1,1))-AVERAGE(OFFSET($H$3,0,0,'Données projet'!$E$14+1,1))</f>
        <v>543.15812193567342</v>
      </c>
      <c r="DU44" s="60">
        <f t="shared" si="44"/>
        <v>286.40725588660575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4.8717948717948705</v>
      </c>
      <c r="EJ44" s="13">
        <f>IF('Données projet'!$A$192&gt;35,EJ43+EI44-ER43,IF(A44&lt;'Données projet'!$A$192,$EG$205^A44,IF(A44='Données projet'!$A$192,'Données projet'!$B$192,EJ43+EI44-ER43)))</f>
        <v>93.974358974358907</v>
      </c>
      <c r="EK44" s="18">
        <f>EJ44*VLOOKUP('Données projet'!$B$15,Paramètres!$A$1:$I$89,3,0)*VLOOKUP('Données projet'!$B$15,Paramètres!$A$1:$I$89,5,0)</f>
        <v>63.037999999999954</v>
      </c>
      <c r="EL44" s="14">
        <f t="shared" si="45"/>
        <v>17.93414878320046</v>
      </c>
      <c r="EM44" s="22">
        <f t="shared" si="19"/>
        <v>141.02649246407404</v>
      </c>
      <c r="EN44" s="60">
        <f t="shared" si="20"/>
        <v>389.62918205857801</v>
      </c>
      <c r="EO44" s="60">
        <f ca="1">AVERAGE(OFFSET($EN$3,0,0,'Données projet'!$E$15+1,1))-AVERAGE(OFFSET($H$3,0,0,'Données projet'!$E$15+1,1))</f>
        <v>239.52247785001794</v>
      </c>
      <c r="EP44" s="60">
        <f t="shared" si="46"/>
        <v>173.69760199651617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1.109880266354597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1.109880266354597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8">
        <f t="shared" si="1"/>
        <v>183.33333333333334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155.95320000000004</v>
      </c>
      <c r="P45" s="14">
        <f t="shared" si="33"/>
        <v>39.928391937903875</v>
      </c>
      <c r="Q45" s="22">
        <f t="shared" si="53"/>
        <v>341.16043929184929</v>
      </c>
      <c r="R45" s="60">
        <f t="shared" si="0"/>
        <v>590.53910555248399</v>
      </c>
      <c r="S45" s="60">
        <f ca="1">AVERAGE(OFFSET($R$3,0,0,'Données projet'!$E$9+1,1))-AVERAGE(OFFSET($H$3,0,0,'Données projet'!$E$9+1,1))</f>
        <v>516.54532596122067</v>
      </c>
      <c r="T45" s="60">
        <f t="shared" si="34"/>
        <v>273.35778700650792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4.6153846153846159</v>
      </c>
      <c r="AI45" s="14">
        <f>IF('Données projet'!$A$62&gt;35,AI44+AH45-AQ44,IF(A45&lt;'Données projet'!$A$62,$AF$205^A45,IF(A45='Données projet'!$A$62,'Données projet'!$B$62,AI44+AH45-AQ44)))</f>
        <v>100.89743589743591</v>
      </c>
      <c r="AJ45" s="14">
        <f>AI45*VLOOKUP('Données projet'!$B$10,Paramètres!$A$1:$I$89,3,0)*VLOOKUP('Données projet'!$B$10,Paramètres!$A$1:$I$89,5,0)</f>
        <v>96.01400000000001</v>
      </c>
      <c r="AK45" s="14">
        <f t="shared" si="35"/>
        <v>26.010151676684245</v>
      </c>
      <c r="AL45" s="22">
        <f t="shared" si="4"/>
        <v>212.52539750355837</v>
      </c>
      <c r="AM45" s="60">
        <f t="shared" si="5"/>
        <v>461.9040637641931</v>
      </c>
      <c r="AN45" s="60">
        <f ca="1">AVERAGE(OFFSET($AM$3,0,0,'Données projet'!$E$10+1,1))-AVERAGE(OFFSET($H$3,0,0,'Données projet'!$E$10+1,1))</f>
        <v>328.36544111680962</v>
      </c>
      <c r="AO45" s="60">
        <f t="shared" si="36"/>
        <v>226.85392900722772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6.6</v>
      </c>
      <c r="BD45" s="13">
        <f>IF('Données projet'!$A$88&gt;35,BD44+BC45-BL44,IF(A45&lt;'Données projet'!$A$88,$BA$205^A45,IF(A45='Données projet'!$A$88,'Données projet'!$B$88,BD44+BC45-BL44)))</f>
        <v>145.19999999999993</v>
      </c>
      <c r="BE45" s="14">
        <f>BD45*VLOOKUP('Données projet'!$B$11,Paramètres!$A$1:$I$89,3,0)*VLOOKUP('Données projet'!$B$11,Paramètres!$A$1:$I$89,5,0)</f>
        <v>126.84671999999996</v>
      </c>
      <c r="BF45" s="14">
        <f t="shared" si="37"/>
        <v>33.266690894263995</v>
      </c>
      <c r="BG45" s="22">
        <f t="shared" si="7"/>
        <v>278.86419064084299</v>
      </c>
      <c r="BH45" s="60">
        <f t="shared" si="8"/>
        <v>528.24285690147769</v>
      </c>
      <c r="BI45" s="60">
        <f ca="1">AVERAGE(OFFSET($BH$3,0,0,'Données projet'!$E$11+1,1))-AVERAGE(OFFSET($H$3,0,0,'Données projet'!$E$11+1,1))</f>
        <v>296.01124173332352</v>
      </c>
      <c r="BJ45" s="60">
        <f t="shared" si="38"/>
        <v>315.50730924873733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112.20000000000002</v>
      </c>
      <c r="BZ45" s="14">
        <f>BY45*VLOOKUP('Données projet'!$B$12,Paramètres!$A$1:$I$89,3,0)*VLOOKUP('Données projet'!$B$12,Paramètres!$A$1:$I$89,5,0)</f>
        <v>73.513440000000003</v>
      </c>
      <c r="CA45" s="14">
        <f t="shared" si="39"/>
        <v>20.543466175784911</v>
      </c>
      <c r="CB45" s="22">
        <f t="shared" si="10"/>
        <v>163.81577825615872</v>
      </c>
      <c r="CC45" s="60">
        <f t="shared" si="11"/>
        <v>413.19444451679345</v>
      </c>
      <c r="CD45" s="60">
        <f ca="1">AVERAGE(OFFSET($CC$3,0,0,'Données projet'!$E$12+1,1))-AVERAGE(OFFSET($H$3,0,0,'Données projet'!$E$12+1,1))</f>
        <v>216.42026264996392</v>
      </c>
      <c r="CE45" s="60">
        <f t="shared" si="40"/>
        <v>216.4587454288401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</v>
      </c>
      <c r="CT45" s="13">
        <f>IF('Données projet'!$A$140&gt;35,CT44+CS45-DB44,IF(A45&lt;'Données projet'!$A$140,$CQ$205^A45,IF(A45='Données projet'!$A$140,'Données projet'!$B$140,CT44+CS45-DB44)))</f>
        <v>104.2</v>
      </c>
      <c r="CU45" s="18">
        <f>CT45*VLOOKUP('Données projet'!$B$13,Paramètres!$A$1:$I$89,3,0)*VLOOKUP('Données projet'!$B$13,Paramètres!$A$1:$I$89,5,0)</f>
        <v>100.78224</v>
      </c>
      <c r="CV45" s="14">
        <f t="shared" si="41"/>
        <v>27.148270845500655</v>
      </c>
      <c r="CW45" s="22">
        <f t="shared" si="13"/>
        <v>222.81230638924697</v>
      </c>
      <c r="CX45" s="60">
        <f t="shared" si="14"/>
        <v>472.1909726498817</v>
      </c>
      <c r="CY45" s="60">
        <f ca="1">AVERAGE(OFFSET($CX$3,0,0,'Données projet'!$E$13+1,1))-AVERAGE(OFFSET($H$3,0,0,'Données projet'!$E$13+1,1))</f>
        <v>385.5283976785621</v>
      </c>
      <c r="CZ45" s="60">
        <f t="shared" si="42"/>
        <v>173.19148969173838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153.80000000000004</v>
      </c>
      <c r="DP45" s="18">
        <f>DO45*VLOOKUP('Données projet'!$B$14,Paramètres!$A$1:$I$89,3,0)*VLOOKUP('Données projet'!$B$14,Paramètres!$A$1:$I$89,5,0)</f>
        <v>165.55032000000003</v>
      </c>
      <c r="DQ45" s="14">
        <f t="shared" si="43"/>
        <v>42.091910139548794</v>
      </c>
      <c r="DR45" s="22">
        <f t="shared" si="16"/>
        <v>361.64355082638082</v>
      </c>
      <c r="DS45" s="60">
        <f t="shared" si="17"/>
        <v>611.02221708701552</v>
      </c>
      <c r="DT45" s="60">
        <f ca="1">AVERAGE(OFFSET($DS$3,0,0,'Données projet'!$E$14+1,1))-AVERAGE(OFFSET($H$3,0,0,'Données projet'!$E$14+1,1))</f>
        <v>543.15812193567342</v>
      </c>
      <c r="DU45" s="60">
        <f t="shared" si="44"/>
        <v>286.40725588660575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4.8717948717948705</v>
      </c>
      <c r="EJ45" s="13">
        <f>IF('Données projet'!$A$192&gt;35,EJ44+EI45-ER44,IF(A45&lt;'Données projet'!$A$192,$EG$205^A45,IF(A45='Données projet'!$A$192,'Données projet'!$B$192,EJ44+EI45-ER44)))</f>
        <v>98.846153846153783</v>
      </c>
      <c r="EK45" s="18">
        <f>EJ45*VLOOKUP('Données projet'!$B$15,Paramètres!$A$1:$I$89,3,0)*VLOOKUP('Données projet'!$B$15,Paramètres!$A$1:$I$89,5,0)</f>
        <v>66.305999999999955</v>
      </c>
      <c r="EL45" s="14">
        <f t="shared" si="45"/>
        <v>18.753232796006525</v>
      </c>
      <c r="EM45" s="22">
        <f t="shared" si="19"/>
        <v>148.14483045304462</v>
      </c>
      <c r="EN45" s="60">
        <f t="shared" si="20"/>
        <v>397.52349671367938</v>
      </c>
      <c r="EO45" s="60">
        <f ca="1">AVERAGE(OFFSET($EN$3,0,0,'Données projet'!$E$15+1,1))-AVERAGE(OFFSET($H$3,0,0,'Données projet'!$E$15+1,1))</f>
        <v>239.52247785001794</v>
      </c>
      <c r="EP45" s="60">
        <f t="shared" si="46"/>
        <v>173.69760199651617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1.0795305321050641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1.0795305321050641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8">
        <f t="shared" si="1"/>
        <v>183.33333333333334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164.47080000000005</v>
      </c>
      <c r="P46" s="14">
        <f t="shared" si="33"/>
        <v>41.849293714451377</v>
      </c>
      <c r="Q46" s="22">
        <f t="shared" si="53"/>
        <v>359.34082988600289</v>
      </c>
      <c r="R46" s="60">
        <f t="shared" si="0"/>
        <v>609.48201135243494</v>
      </c>
      <c r="S46" s="60">
        <f ca="1">AVERAGE(OFFSET($R$3,0,0,'Données projet'!$E$9+1,1))-AVERAGE(OFFSET($H$3,0,0,'Données projet'!$E$9+1,1))</f>
        <v>516.54532596122067</v>
      </c>
      <c r="T46" s="60">
        <f t="shared" si="34"/>
        <v>273.35778700650792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4.6153846153846159</v>
      </c>
      <c r="AI46" s="14">
        <f>IF('Données projet'!$A$62&gt;35,AI45+AH46-AQ45,IF(A46&lt;'Données projet'!$A$62,$AF$205^A46,IF(A46='Données projet'!$A$62,'Données projet'!$B$62,AI45+AH46-AQ45)))</f>
        <v>105.51282051282053</v>
      </c>
      <c r="AJ46" s="14">
        <f>AI46*VLOOKUP('Données projet'!$B$10,Paramètres!$A$1:$I$89,3,0)*VLOOKUP('Données projet'!$B$10,Paramètres!$A$1:$I$89,5,0)</f>
        <v>100.40600000000002</v>
      </c>
      <c r="AK46" s="14">
        <f t="shared" si="35"/>
        <v>27.058698629120681</v>
      </c>
      <c r="AL46" s="22">
        <f t="shared" si="4"/>
        <v>222.00101677905187</v>
      </c>
      <c r="AM46" s="60">
        <f t="shared" si="5"/>
        <v>472.14219824548388</v>
      </c>
      <c r="AN46" s="60">
        <f ca="1">AVERAGE(OFFSET($AM$3,0,0,'Données projet'!$E$10+1,1))-AVERAGE(OFFSET($H$3,0,0,'Données projet'!$E$10+1,1))</f>
        <v>328.36544111680962</v>
      </c>
      <c r="AO46" s="60">
        <f t="shared" si="36"/>
        <v>226.85392900722772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6.6</v>
      </c>
      <c r="BD46" s="13">
        <f>IF('Données projet'!$A$88&gt;35,BD45+BC46-BL45,IF(A46&lt;'Données projet'!$A$88,$BA$205^A46,IF(A46='Données projet'!$A$88,'Données projet'!$B$88,BD45+BC46-BL45)))</f>
        <v>151.79999999999993</v>
      </c>
      <c r="BE46" s="14">
        <f>BD46*VLOOKUP('Données projet'!$B$11,Paramètres!$A$1:$I$89,3,0)*VLOOKUP('Données projet'!$B$11,Paramètres!$A$1:$I$89,5,0)</f>
        <v>132.61247999999995</v>
      </c>
      <c r="BF46" s="14">
        <f t="shared" si="37"/>
        <v>34.599325938965464</v>
      </c>
      <c r="BG46" s="22">
        <f t="shared" si="7"/>
        <v>291.22722867703141</v>
      </c>
      <c r="BH46" s="60">
        <f t="shared" si="8"/>
        <v>541.36841014346351</v>
      </c>
      <c r="BI46" s="60">
        <f ca="1">AVERAGE(OFFSET($BH$3,0,0,'Données projet'!$E$11+1,1))-AVERAGE(OFFSET($H$3,0,0,'Données projet'!$E$11+1,1))</f>
        <v>296.01124173332352</v>
      </c>
      <c r="BJ46" s="60">
        <f t="shared" si="38"/>
        <v>315.50730924873733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117.80000000000001</v>
      </c>
      <c r="BZ46" s="14">
        <f>BY46*VLOOKUP('Données projet'!$B$12,Paramètres!$A$1:$I$89,3,0)*VLOOKUP('Données projet'!$B$12,Paramètres!$A$1:$I$89,5,0)</f>
        <v>77.182560000000009</v>
      </c>
      <c r="CA46" s="14">
        <f t="shared" si="39"/>
        <v>21.446874557671695</v>
      </c>
      <c r="CB46" s="22">
        <f t="shared" si="10"/>
        <v>171.77959852127822</v>
      </c>
      <c r="CC46" s="60">
        <f t="shared" si="11"/>
        <v>421.92077998771026</v>
      </c>
      <c r="CD46" s="60">
        <f ca="1">AVERAGE(OFFSET($CC$3,0,0,'Données projet'!$E$12+1,1))-AVERAGE(OFFSET($H$3,0,0,'Données projet'!$E$12+1,1))</f>
        <v>216.42026264996392</v>
      </c>
      <c r="CE46" s="60">
        <f t="shared" si="40"/>
        <v>216.4587454288401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</v>
      </c>
      <c r="CT46" s="13">
        <f>IF('Données projet'!$A$140&gt;35,CT45+CS46-DB45,IF(A46&lt;'Données projet'!$A$140,$CQ$205^A46,IF(A46='Données projet'!$A$140,'Données projet'!$B$140,CT45+CS46-DB45)))</f>
        <v>109.8</v>
      </c>
      <c r="CU46" s="18">
        <f>CT46*VLOOKUP('Données projet'!$B$13,Paramètres!$A$1:$I$89,3,0)*VLOOKUP('Données projet'!$B$13,Paramètres!$A$1:$I$89,5,0)</f>
        <v>106.19855999999999</v>
      </c>
      <c r="CV46" s="14">
        <f t="shared" si="41"/>
        <v>28.433510633203252</v>
      </c>
      <c r="CW46" s="22">
        <f t="shared" si="13"/>
        <v>234.48418968616227</v>
      </c>
      <c r="CX46" s="60">
        <f t="shared" si="14"/>
        <v>484.62537115259431</v>
      </c>
      <c r="CY46" s="60">
        <f ca="1">AVERAGE(OFFSET($CX$3,0,0,'Données projet'!$E$13+1,1))-AVERAGE(OFFSET($H$3,0,0,'Données projet'!$E$13+1,1))</f>
        <v>385.5283976785621</v>
      </c>
      <c r="CZ46" s="60">
        <f t="shared" si="42"/>
        <v>173.19148969173838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162.20000000000005</v>
      </c>
      <c r="DP46" s="18">
        <f>DO46*VLOOKUP('Données projet'!$B$14,Paramètres!$A$1:$I$89,3,0)*VLOOKUP('Données projet'!$B$14,Paramètres!$A$1:$I$89,5,0)</f>
        <v>174.59208000000004</v>
      </c>
      <c r="DQ46" s="14">
        <f t="shared" si="43"/>
        <v>44.116895896327598</v>
      </c>
      <c r="DR46" s="22">
        <f t="shared" si="16"/>
        <v>380.91813301943733</v>
      </c>
      <c r="DS46" s="60">
        <f t="shared" si="17"/>
        <v>631.05931448586944</v>
      </c>
      <c r="DT46" s="60">
        <f ca="1">AVERAGE(OFFSET($DS$3,0,0,'Données projet'!$E$14+1,1))-AVERAGE(OFFSET($H$3,0,0,'Données projet'!$E$14+1,1))</f>
        <v>543.15812193567342</v>
      </c>
      <c r="DU46" s="60">
        <f t="shared" si="44"/>
        <v>286.40725588660575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4.8717948717948705</v>
      </c>
      <c r="EJ46" s="13">
        <f>IF('Données projet'!$A$192&gt;35,EJ45+EI46-ER45,IF(A46&lt;'Données projet'!$A$192,$EG$205^A46,IF(A46='Données projet'!$A$192,'Données projet'!$B$192,EJ45+EI46-ER45)))</f>
        <v>103.71794871794866</v>
      </c>
      <c r="EK46" s="18">
        <f>EJ46*VLOOKUP('Données projet'!$B$15,Paramètres!$A$1:$I$89,3,0)*VLOOKUP('Données projet'!$B$15,Paramètres!$A$1:$I$89,5,0)</f>
        <v>69.573999999999955</v>
      </c>
      <c r="EL46" s="14">
        <f t="shared" si="45"/>
        <v>19.567629202222445</v>
      </c>
      <c r="EM46" s="22">
        <f t="shared" si="19"/>
        <v>155.25500419387069</v>
      </c>
      <c r="EN46" s="60">
        <f t="shared" si="20"/>
        <v>405.39618566030276</v>
      </c>
      <c r="EO46" s="60">
        <f ca="1">AVERAGE(OFFSET($EN$3,0,0,'Données projet'!$E$15+1,1))-AVERAGE(OFFSET($H$3,0,0,'Données projet'!$E$15+1,1))</f>
        <v>239.52247785001794</v>
      </c>
      <c r="EP46" s="60">
        <f t="shared" si="46"/>
        <v>173.69760199651617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1.0500107129346077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1.0500107129346077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8">
        <f t="shared" si="1"/>
        <v>183.33333333333334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172.98840000000007</v>
      </c>
      <c r="P47" s="14">
        <f t="shared" si="33"/>
        <v>43.758645457754092</v>
      </c>
      <c r="Q47" s="22">
        <f t="shared" si="53"/>
        <v>377.50110417225511</v>
      </c>
      <c r="R47" s="60">
        <f t="shared" si="0"/>
        <v>628.3915729103926</v>
      </c>
      <c r="S47" s="60">
        <f ca="1">AVERAGE(OFFSET($R$3,0,0,'Données projet'!$E$9+1,1))-AVERAGE(OFFSET($H$3,0,0,'Données projet'!$E$9+1,1))</f>
        <v>516.54532596122067</v>
      </c>
      <c r="T47" s="60">
        <f t="shared" si="34"/>
        <v>273.35778700650792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4.6153846153846159</v>
      </c>
      <c r="AI47" s="14">
        <f>IF('Données projet'!$A$62&gt;35,AI46+AH47-AQ46,IF(A47&lt;'Données projet'!$A$62,$AF$205^A47,IF(A47='Données projet'!$A$62,'Données projet'!$B$62,AI46+AH47-AQ46)))</f>
        <v>110.12820512820514</v>
      </c>
      <c r="AJ47" s="14">
        <f>AI47*VLOOKUP('Données projet'!$B$10,Paramètres!$A$1:$I$89,3,0)*VLOOKUP('Données projet'!$B$10,Paramètres!$A$1:$I$89,5,0)</f>
        <v>104.79800000000002</v>
      </c>
      <c r="AK47" s="14">
        <f t="shared" si="35"/>
        <v>28.101918557678896</v>
      </c>
      <c r="AL47" s="22">
        <f t="shared" si="4"/>
        <v>231.46735815462409</v>
      </c>
      <c r="AM47" s="60">
        <f t="shared" si="5"/>
        <v>482.35782689276152</v>
      </c>
      <c r="AN47" s="60">
        <f ca="1">AVERAGE(OFFSET($AM$3,0,0,'Données projet'!$E$10+1,1))-AVERAGE(OFFSET($H$3,0,0,'Données projet'!$E$10+1,1))</f>
        <v>328.36544111680962</v>
      </c>
      <c r="AO47" s="60">
        <f t="shared" si="36"/>
        <v>226.85392900722772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6.6</v>
      </c>
      <c r="BD47" s="13">
        <f>IF('Données projet'!$A$88&gt;35,BD46+BC47-BL46,IF(A47&lt;'Données projet'!$A$88,$BA$205^A47,IF(A47='Données projet'!$A$88,'Données projet'!$B$88,BD46+BC47-BL46)))</f>
        <v>158.39999999999992</v>
      </c>
      <c r="BE47" s="14">
        <f>BD47*VLOOKUP('Données projet'!$B$11,Paramètres!$A$1:$I$89,3,0)*VLOOKUP('Données projet'!$B$11,Paramètres!$A$1:$I$89,5,0)</f>
        <v>138.37823999999995</v>
      </c>
      <c r="BF47" s="14">
        <f t="shared" si="37"/>
        <v>35.925231489823368</v>
      </c>
      <c r="BG47" s="22">
        <f t="shared" si="7"/>
        <v>303.57854617810898</v>
      </c>
      <c r="BH47" s="60">
        <f t="shared" si="8"/>
        <v>554.46901491624635</v>
      </c>
      <c r="BI47" s="60">
        <f ca="1">AVERAGE(OFFSET($BH$3,0,0,'Données projet'!$E$11+1,1))-AVERAGE(OFFSET($H$3,0,0,'Données projet'!$E$11+1,1))</f>
        <v>296.01124173332352</v>
      </c>
      <c r="BJ47" s="60">
        <f t="shared" si="38"/>
        <v>315.50730924873733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123.4</v>
      </c>
      <c r="BZ47" s="14">
        <f>BY47*VLOOKUP('Données projet'!$B$12,Paramètres!$A$1:$I$89,3,0)*VLOOKUP('Données projet'!$B$12,Paramètres!$A$1:$I$89,5,0)</f>
        <v>80.851680000000002</v>
      </c>
      <c r="CA47" s="14">
        <f t="shared" si="39"/>
        <v>22.345295799556119</v>
      </c>
      <c r="CB47" s="22">
        <f t="shared" si="10"/>
        <v>179.73473285089358</v>
      </c>
      <c r="CC47" s="60">
        <f t="shared" si="11"/>
        <v>430.62520158903101</v>
      </c>
      <c r="CD47" s="60">
        <f ca="1">AVERAGE(OFFSET($CC$3,0,0,'Données projet'!$E$12+1,1))-AVERAGE(OFFSET($H$3,0,0,'Données projet'!$E$12+1,1))</f>
        <v>216.42026264996392</v>
      </c>
      <c r="CE47" s="60">
        <f t="shared" si="40"/>
        <v>216.4587454288401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</v>
      </c>
      <c r="CT47" s="13">
        <f>IF('Données projet'!$A$140&gt;35,CT46+CS47-DB46,IF(A47&lt;'Données projet'!$A$140,$CQ$205^A47,IF(A47='Données projet'!$A$140,'Données projet'!$B$140,CT46+CS47-DB46)))</f>
        <v>115.39999999999999</v>
      </c>
      <c r="CU47" s="18">
        <f>CT47*VLOOKUP('Données projet'!$B$13,Paramètres!$A$1:$I$89,3,0)*VLOOKUP('Données projet'!$B$13,Paramètres!$A$1:$I$89,5,0)</f>
        <v>111.61487999999999</v>
      </c>
      <c r="CV47" s="14">
        <f t="shared" si="41"/>
        <v>29.711139570849653</v>
      </c>
      <c r="CW47" s="22">
        <f t="shared" si="13"/>
        <v>246.14281741922977</v>
      </c>
      <c r="CX47" s="60">
        <f t="shared" si="14"/>
        <v>497.03328615736723</v>
      </c>
      <c r="CY47" s="60">
        <f ca="1">AVERAGE(OFFSET($CX$3,0,0,'Données projet'!$E$13+1,1))-AVERAGE(OFFSET($H$3,0,0,'Données projet'!$E$13+1,1))</f>
        <v>385.5283976785621</v>
      </c>
      <c r="CZ47" s="60">
        <f t="shared" si="42"/>
        <v>173.19148969173838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170.60000000000005</v>
      </c>
      <c r="DP47" s="18">
        <f>DO47*VLOOKUP('Données projet'!$B$14,Paramètres!$A$1:$I$89,3,0)*VLOOKUP('Données projet'!$B$14,Paramètres!$A$1:$I$89,5,0)</f>
        <v>183.63384000000005</v>
      </c>
      <c r="DQ47" s="14">
        <f t="shared" si="43"/>
        <v>46.129705781806493</v>
      </c>
      <c r="DR47" s="22">
        <f t="shared" si="16"/>
        <v>400.17150890331305</v>
      </c>
      <c r="DS47" s="60">
        <f t="shared" si="17"/>
        <v>651.06197764145054</v>
      </c>
      <c r="DT47" s="60">
        <f ca="1">AVERAGE(OFFSET($DS$3,0,0,'Données projet'!$E$14+1,1))-AVERAGE(OFFSET($H$3,0,0,'Données projet'!$E$14+1,1))</f>
        <v>543.15812193567342</v>
      </c>
      <c r="DU47" s="60">
        <f t="shared" si="44"/>
        <v>286.40725588660575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4.8717948717948705</v>
      </c>
      <c r="EJ47" s="13">
        <f>IF('Données projet'!$A$192&gt;35,EJ46+EI47-ER46,IF(A47&lt;'Données projet'!$A$192,$EG$205^A47,IF(A47='Données projet'!$A$192,'Données projet'!$B$192,EJ46+EI47-ER46)))</f>
        <v>108.58974358974353</v>
      </c>
      <c r="EK47" s="18">
        <f>EJ47*VLOOKUP('Données projet'!$B$15,Paramètres!$A$1:$I$89,3,0)*VLOOKUP('Données projet'!$B$15,Paramètres!$A$1:$I$89,5,0)</f>
        <v>72.84199999999997</v>
      </c>
      <c r="EL47" s="14">
        <f t="shared" si="45"/>
        <v>20.377583329250701</v>
      </c>
      <c r="EM47" s="22">
        <f t="shared" si="19"/>
        <v>162.35744096511158</v>
      </c>
      <c r="EN47" s="60">
        <f t="shared" si="20"/>
        <v>413.24790970324898</v>
      </c>
      <c r="EO47" s="60">
        <f ca="1">AVERAGE(OFFSET($EN$3,0,0,'Données projet'!$E$15+1,1))-AVERAGE(OFFSET($H$3,0,0,'Données projet'!$E$15+1,1))</f>
        <v>239.52247785001794</v>
      </c>
      <c r="EP47" s="60">
        <f t="shared" si="46"/>
        <v>173.69760199651617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1.0212981147717473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1.0212981147717473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8">
        <f t="shared" si="1"/>
        <v>183.33333333333334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181.50600000000006</v>
      </c>
      <c r="P48" s="14">
        <f t="shared" si="33"/>
        <v>45.657080773122978</v>
      </c>
      <c r="Q48" s="22">
        <f t="shared" si="53"/>
        <v>395.64236567985591</v>
      </c>
      <c r="R48" s="60">
        <f t="shared" si="0"/>
        <v>647.26912323069007</v>
      </c>
      <c r="S48" s="60">
        <f ca="1">AVERAGE(OFFSET($R$3,0,0,'Données projet'!$E$9+1,1))-AVERAGE(OFFSET($H$3,0,0,'Données projet'!$E$9+1,1))</f>
        <v>516.54532596122067</v>
      </c>
      <c r="T48" s="60">
        <f t="shared" si="34"/>
        <v>273.35778700650792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114.74358974358974</v>
      </c>
      <c r="AG48" s="13">
        <f>VLOOKUP(A48,'Données projet'!$A$61:$I$81,9,0)</f>
        <v>4.6153846153846159</v>
      </c>
      <c r="AH48" s="13">
        <f t="array" ref="AH48">INDEX(AG:AG,MIN(IF(ISNUMBER(AG48:AG244),ROW(AG48:AG244),"")))</f>
        <v>4.6153846153846159</v>
      </c>
      <c r="AI48" s="14">
        <f>IF('Données projet'!$A$62&gt;35,AI47+AH48-AQ47,IF(A48&lt;'Données projet'!$A$62,$AF$205^A48,IF(A48='Données projet'!$A$62,'Données projet'!$B$62,AI47+AH48-AQ47)))</f>
        <v>114.74358974358975</v>
      </c>
      <c r="AJ48" s="14">
        <f>AI48*VLOOKUP('Données projet'!$B$10,Paramètres!$A$1:$I$89,3,0)*VLOOKUP('Données projet'!$B$10,Paramètres!$A$1:$I$89,5,0)</f>
        <v>109.19000000000001</v>
      </c>
      <c r="AK48" s="14">
        <f t="shared" si="35"/>
        <v>29.140060241717325</v>
      </c>
      <c r="AL48" s="22">
        <f t="shared" si="4"/>
        <v>240.92485492099104</v>
      </c>
      <c r="AM48" s="60">
        <f t="shared" si="5"/>
        <v>492.55161247182514</v>
      </c>
      <c r="AN48" s="60">
        <f ca="1">AVERAGE(OFFSET($AM$3,0,0,'Données projet'!$E$10+1,1))-AVERAGE(OFFSET($H$3,0,0,'Données projet'!$E$10+1,1))</f>
        <v>328.36544111680962</v>
      </c>
      <c r="AO48" s="60">
        <f t="shared" si="36"/>
        <v>226.85392900722772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165</v>
      </c>
      <c r="BB48" s="13">
        <f>VLOOKUP(A48,'Données projet'!$A$87:$I$107,9,0)</f>
        <v>6.6</v>
      </c>
      <c r="BC48" s="13">
        <f t="array" ref="BC48">INDEX(BB:BB,MIN(IF(ISNUMBER(BB48:BB244),ROW(BB48:BB244),"")))</f>
        <v>6.6</v>
      </c>
      <c r="BD48" s="13">
        <f>IF('Données projet'!$A$88&gt;35,BD47+BC48-BL47,IF(A48&lt;'Données projet'!$A$88,$BA$205^A48,IF(A48='Données projet'!$A$88,'Données projet'!$B$88,BD47+BC48-BL47)))</f>
        <v>164.99999999999991</v>
      </c>
      <c r="BE48" s="14">
        <f>BD48*VLOOKUP('Données projet'!$B$11,Paramètres!$A$1:$I$89,3,0)*VLOOKUP('Données projet'!$B$11,Paramètres!$A$1:$I$89,5,0)</f>
        <v>144.14399999999995</v>
      </c>
      <c r="BF48" s="14">
        <f t="shared" si="37"/>
        <v>37.244720006976216</v>
      </c>
      <c r="BG48" s="22">
        <f t="shared" si="7"/>
        <v>315.91868734548348</v>
      </c>
      <c r="BH48" s="60">
        <f t="shared" si="8"/>
        <v>567.54544489631758</v>
      </c>
      <c r="BI48" s="60">
        <f ca="1">AVERAGE(OFFSET($BH$3,0,0,'Données projet'!$E$11+1,1))-AVERAGE(OFFSET($H$3,0,0,'Données projet'!$E$11+1,1))</f>
        <v>296.01124173332352</v>
      </c>
      <c r="BJ48" s="60">
        <f t="shared" si="38"/>
        <v>315.50730924873733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129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129</v>
      </c>
      <c r="BZ48" s="14">
        <f>BY48*VLOOKUP('Données projet'!$B$12,Paramètres!$A$1:$I$89,3,0)*VLOOKUP('Données projet'!$B$12,Paramètres!$A$1:$I$89,5,0)</f>
        <v>84.520800000000008</v>
      </c>
      <c r="CA48" s="14">
        <f t="shared" si="39"/>
        <v>23.238982076664762</v>
      </c>
      <c r="CB48" s="22">
        <f t="shared" si="10"/>
        <v>187.68162045019116</v>
      </c>
      <c r="CC48" s="60">
        <f t="shared" si="11"/>
        <v>439.30837800102529</v>
      </c>
      <c r="CD48" s="60">
        <f ca="1">AVERAGE(OFFSET($CC$3,0,0,'Données projet'!$E$12+1,1))-AVERAGE(OFFSET($H$3,0,0,'Données projet'!$E$12+1,1))</f>
        <v>216.42026264996392</v>
      </c>
      <c r="CE48" s="60">
        <f t="shared" si="40"/>
        <v>216.4587454288401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121</v>
      </c>
      <c r="CR48" s="13">
        <f>VLOOKUP(A48,'Données projet'!$A$139:$I$159,9,0)</f>
        <v>5.6</v>
      </c>
      <c r="CS48" s="13">
        <f t="array" ref="CS48">INDEX(CR:CR,MIN(IF(ISNUMBER(CR48:CR244),ROW(CR48:CR244),"")))</f>
        <v>5.6</v>
      </c>
      <c r="CT48" s="13">
        <f>IF('Données projet'!$A$140&gt;35,CT47+CS48-DB47,IF(A48&lt;'Données projet'!$A$140,$CQ$205^A48,IF(A48='Données projet'!$A$140,'Données projet'!$B$140,CT47+CS48-DB47)))</f>
        <v>120.99999999999999</v>
      </c>
      <c r="CU48" s="18">
        <f>CT48*VLOOKUP('Données projet'!$B$13,Paramètres!$A$1:$I$89,3,0)*VLOOKUP('Données projet'!$B$13,Paramètres!$A$1:$I$89,5,0)</f>
        <v>117.0312</v>
      </c>
      <c r="CV48" s="14">
        <f t="shared" si="41"/>
        <v>30.981569147428527</v>
      </c>
      <c r="CW48" s="22">
        <f t="shared" si="13"/>
        <v>257.78890626510469</v>
      </c>
      <c r="CX48" s="60">
        <f t="shared" si="14"/>
        <v>509.41566381593884</v>
      </c>
      <c r="CY48" s="60">
        <f ca="1">AVERAGE(OFFSET($CX$3,0,0,'Données projet'!$E$13+1,1))-AVERAGE(OFFSET($H$3,0,0,'Données projet'!$E$13+1,1))</f>
        <v>385.5283976785621</v>
      </c>
      <c r="CZ48" s="60">
        <f t="shared" si="42"/>
        <v>173.19148969173838</v>
      </c>
      <c r="DA48" s="16">
        <f>IF(ISNA(VLOOKUP(A48,'Données projet'!$A$139:$I$159,3,0)),0,VLOOKUP(A48,'Données projet'!$A$139:$I$159,3,0))</f>
        <v>2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179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179.00000000000006</v>
      </c>
      <c r="DP48" s="18">
        <f>DO48*VLOOKUP('Données projet'!$B$14,Paramètres!$A$1:$I$89,3,0)*VLOOKUP('Données projet'!$B$14,Paramètres!$A$1:$I$89,5,0)</f>
        <v>192.67560000000006</v>
      </c>
      <c r="DQ48" s="14">
        <f t="shared" si="43"/>
        <v>48.131007733172986</v>
      </c>
      <c r="DR48" s="22">
        <f t="shared" si="16"/>
        <v>419.40484180194306</v>
      </c>
      <c r="DS48" s="60">
        <f t="shared" si="17"/>
        <v>671.03159935277722</v>
      </c>
      <c r="DT48" s="60">
        <f ca="1">AVERAGE(OFFSET($DS$3,0,0,'Données projet'!$E$14+1,1))-AVERAGE(OFFSET($H$3,0,0,'Données projet'!$E$14+1,1))</f>
        <v>543.15812193567342</v>
      </c>
      <c r="DU48" s="60">
        <f t="shared" si="44"/>
        <v>286.40725588660575</v>
      </c>
      <c r="DV48" s="16">
        <f>IF(ISNA(VLOOKUP(A48,'Données projet'!$A$165:$I$185,3,0)),0,VLOOKUP(A48,'Données projet'!$A$165:$I$185,3,0))</f>
        <v>3</v>
      </c>
      <c r="DW48" s="16">
        <f>IF(ISNA(VLOOKUP(A48,'Données projet'!$A$165:$I$185,4,0)),0,VLOOKUP(A48,'Données projet'!$A$165:$I$185,4,0))</f>
        <v>42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113.46153846153845</v>
      </c>
      <c r="EH48" s="13">
        <f>VLOOKUP(A48,'Données projet'!$A$191:$I$211,9,0)</f>
        <v>4.8717948717948705</v>
      </c>
      <c r="EI48" s="13">
        <f t="array" ref="EI48">INDEX(EH:EH,MIN(IF(ISNUMBER(EH48:EH244),ROW(EH48:EH244),"")))</f>
        <v>4.8717948717948705</v>
      </c>
      <c r="EJ48" s="13">
        <f>IF('Données projet'!$A$192&gt;35,EJ47+EI48-ER47,IF(A48&lt;'Données projet'!$A$192,$EG$205^A48,IF(A48='Données projet'!$A$192,'Données projet'!$B$192,EJ47+EI48-ER47)))</f>
        <v>113.46153846153841</v>
      </c>
      <c r="EK48" s="18">
        <f>EJ48*VLOOKUP('Données projet'!$B$15,Paramètres!$A$1:$I$89,3,0)*VLOOKUP('Données projet'!$B$15,Paramètres!$A$1:$I$89,5,0)</f>
        <v>76.109999999999971</v>
      </c>
      <c r="EL48" s="14">
        <f t="shared" si="45"/>
        <v>21.18331724719561</v>
      </c>
      <c r="EM48" s="22">
        <f t="shared" si="19"/>
        <v>169.45252753886561</v>
      </c>
      <c r="EN48" s="60">
        <f t="shared" si="20"/>
        <v>421.07928508969974</v>
      </c>
      <c r="EO48" s="60">
        <f ca="1">AVERAGE(OFFSET($EN$3,0,0,'Données projet'!$E$15+1,1))-AVERAGE(OFFSET($H$3,0,0,'Données projet'!$E$15+1,1))</f>
        <v>239.52247785001794</v>
      </c>
      <c r="EP48" s="60">
        <f t="shared" si="46"/>
        <v>173.69760199651617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0.99337066411558017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0.99337066411558017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8">
        <f t="shared" si="1"/>
        <v>183.33333333333334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147.23280000000005</v>
      </c>
      <c r="P49" s="14">
        <f t="shared" si="33"/>
        <v>37.949049623906205</v>
      </c>
      <c r="Q49" s="22">
        <f t="shared" si="53"/>
        <v>322.52505476163668</v>
      </c>
      <c r="R49" s="60">
        <f t="shared" si="0"/>
        <v>574.8753281603623</v>
      </c>
      <c r="S49" s="60">
        <f ca="1">AVERAGE(OFFSET($R$3,0,0,'Données projet'!$E$9+1,1))-AVERAGE(OFFSET($H$3,0,0,'Données projet'!$E$9+1,1))</f>
        <v>516.54532596122067</v>
      </c>
      <c r="T49" s="60">
        <f t="shared" si="34"/>
        <v>273.35778700650792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4.487179487179489</v>
      </c>
      <c r="AI49" s="14">
        <f>IF('Données projet'!$A$62&gt;35,AI48+AH49-AQ48,IF(A49&lt;'Données projet'!$A$62,$AF$205^A49,IF(A49='Données projet'!$A$62,'Données projet'!$B$62,AI48+AH49-AQ48)))</f>
        <v>119.23076923076924</v>
      </c>
      <c r="AJ49" s="14">
        <f>AI49*VLOOKUP('Données projet'!$B$10,Paramètres!$A$1:$I$89,3,0)*VLOOKUP('Données projet'!$B$10,Paramètres!$A$1:$I$89,5,0)</f>
        <v>113.46000000000002</v>
      </c>
      <c r="AK49" s="14">
        <f t="shared" si="35"/>
        <v>30.144712387808777</v>
      </c>
      <c r="AL49" s="22">
        <f t="shared" si="4"/>
        <v>250.11154074210029</v>
      </c>
      <c r="AM49" s="60">
        <f t="shared" si="5"/>
        <v>502.46181414082594</v>
      </c>
      <c r="AN49" s="60">
        <f ca="1">AVERAGE(OFFSET($AM$3,0,0,'Données projet'!$E$10+1,1))-AVERAGE(OFFSET($H$3,0,0,'Données projet'!$E$10+1,1))</f>
        <v>328.36544111680962</v>
      </c>
      <c r="AO49" s="60">
        <f t="shared" si="36"/>
        <v>226.85392900722772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5.4</v>
      </c>
      <c r="BD49" s="13">
        <f>IF('Données projet'!$A$88&gt;35,BD48+BC49-BL48,IF(A49&lt;'Données projet'!$A$88,$BA$205^A49,IF(A49='Données projet'!$A$88,'Données projet'!$B$88,BD48+BC49-BL48)))</f>
        <v>170.39999999999992</v>
      </c>
      <c r="BE49" s="14">
        <f>BD49*VLOOKUP('Données projet'!$B$11,Paramètres!$A$1:$I$89,3,0)*VLOOKUP('Données projet'!$B$11,Paramètres!$A$1:$I$89,5,0)</f>
        <v>148.86143999999996</v>
      </c>
      <c r="BF49" s="14">
        <f t="shared" si="37"/>
        <v>38.319729148991918</v>
      </c>
      <c r="BG49" s="22">
        <f t="shared" si="7"/>
        <v>326.00720293449416</v>
      </c>
      <c r="BH49" s="60">
        <f t="shared" si="8"/>
        <v>578.35747633321978</v>
      </c>
      <c r="BI49" s="60">
        <f ca="1">AVERAGE(OFFSET($BH$3,0,0,'Données projet'!$E$11+1,1))-AVERAGE(OFFSET($H$3,0,0,'Données projet'!$E$11+1,1))</f>
        <v>296.01124173332352</v>
      </c>
      <c r="BJ49" s="60">
        <f t="shared" si="38"/>
        <v>315.50730924873733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5.2</v>
      </c>
      <c r="BY49" s="13">
        <f>IF('Données projet'!$A$114&gt;35,BY48+BX49-CG48,IF(A49&lt;'Données projet'!$A$114,$BV$205^A49,IF(A49='Données projet'!$A$114,'Données projet'!$B$114,BY48+BX49-CG48)))</f>
        <v>134.19999999999999</v>
      </c>
      <c r="BZ49" s="14">
        <f>BY49*VLOOKUP('Données projet'!$B$12,Paramètres!$A$1:$I$89,3,0)*VLOOKUP('Données projet'!$B$12,Paramètres!$A$1:$I$89,5,0)</f>
        <v>87.927839999999989</v>
      </c>
      <c r="CA49" s="14">
        <f t="shared" si="39"/>
        <v>24.064794420539194</v>
      </c>
      <c r="CB49" s="22">
        <f t="shared" si="10"/>
        <v>195.05383828243907</v>
      </c>
      <c r="CC49" s="60">
        <f t="shared" si="11"/>
        <v>447.40411168116475</v>
      </c>
      <c r="CD49" s="60">
        <f ca="1">AVERAGE(OFFSET($CC$3,0,0,'Données projet'!$E$12+1,1))-AVERAGE(OFFSET($H$3,0,0,'Données projet'!$E$12+1,1))</f>
        <v>216.42026264996392</v>
      </c>
      <c r="CE49" s="60">
        <f t="shared" si="40"/>
        <v>216.4587454288401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5.6</v>
      </c>
      <c r="CT49" s="13">
        <f>IF('Données projet'!$A$140&gt;35,CT48+CS49-DB48,IF(A49&lt;'Données projet'!$A$140,$CQ$205^A49,IF(A49='Données projet'!$A$140,'Données projet'!$B$140,CT48+CS49-DB48)))</f>
        <v>98.59999999999998</v>
      </c>
      <c r="CU49" s="18">
        <f>CT49*VLOOKUP('Données projet'!$B$13,Paramètres!$A$1:$I$89,3,0)*VLOOKUP('Données projet'!$B$13,Paramètres!$A$1:$I$89,5,0)</f>
        <v>95.365919999999974</v>
      </c>
      <c r="CV49" s="14">
        <f t="shared" si="41"/>
        <v>25.854961705219438</v>
      </c>
      <c r="CW49" s="22">
        <f t="shared" si="13"/>
        <v>211.12636896992379</v>
      </c>
      <c r="CX49" s="60">
        <f t="shared" si="14"/>
        <v>463.47664236864944</v>
      </c>
      <c r="CY49" s="60">
        <f ca="1">AVERAGE(OFFSET($CX$3,0,0,'Données projet'!$E$13+1,1))-AVERAGE(OFFSET($H$3,0,0,'Données projet'!$E$13+1,1))</f>
        <v>385.5283976785621</v>
      </c>
      <c r="CZ49" s="60">
        <f t="shared" si="42"/>
        <v>173.19148969173838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145.20000000000005</v>
      </c>
      <c r="DP49" s="18">
        <f>DO49*VLOOKUP('Données projet'!$B$14,Paramètres!$A$1:$I$89,3,0)*VLOOKUP('Données projet'!$B$14,Paramètres!$A$1:$I$89,5,0)</f>
        <v>156.29328000000004</v>
      </c>
      <c r="DQ49" s="14">
        <f t="shared" si="43"/>
        <v>40.005317247308959</v>
      </c>
      <c r="DR49" s="22">
        <f t="shared" si="16"/>
        <v>341.88672353906321</v>
      </c>
      <c r="DS49" s="60">
        <f t="shared" si="17"/>
        <v>594.23699693778883</v>
      </c>
      <c r="DT49" s="60">
        <f ca="1">AVERAGE(OFFSET($DS$3,0,0,'Données projet'!$E$14+1,1))-AVERAGE(OFFSET($H$3,0,0,'Données projet'!$E$14+1,1))</f>
        <v>543.15812193567342</v>
      </c>
      <c r="DU49" s="60">
        <f t="shared" si="44"/>
        <v>286.40725588660575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4.4871794871794863</v>
      </c>
      <c r="EJ49" s="13">
        <f>IF('Données projet'!$A$192&gt;35,EJ48+EI49-ER48,IF(A49&lt;'Données projet'!$A$192,$EG$205^A49,IF(A49='Données projet'!$A$192,'Données projet'!$B$192,EJ48+EI49-ER48)))</f>
        <v>117.9487179487179</v>
      </c>
      <c r="EK49" s="18">
        <f>EJ49*VLOOKUP('Données projet'!$B$15,Paramètres!$A$1:$I$89,3,0)*VLOOKUP('Données projet'!$B$15,Paramètres!$A$1:$I$89,5,0)</f>
        <v>79.119999999999962</v>
      </c>
      <c r="EL49" s="14">
        <f t="shared" si="45"/>
        <v>21.92188123827081</v>
      </c>
      <c r="EM49" s="22">
        <f t="shared" si="19"/>
        <v>175.98127648998823</v>
      </c>
      <c r="EN49" s="60">
        <f t="shared" si="20"/>
        <v>428.33154988871388</v>
      </c>
      <c r="EO49" s="60">
        <f ca="1">AVERAGE(OFFSET($EN$3,0,0,'Données projet'!$E$15+1,1))-AVERAGE(OFFSET($H$3,0,0,'Données projet'!$E$15+1,1))</f>
        <v>239.52247785001794</v>
      </c>
      <c r="EP49" s="60">
        <f t="shared" si="46"/>
        <v>173.69760199651617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0.9662068910662468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0.9662068910662468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8">
        <f t="shared" si="1"/>
        <v>183.33333333333334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155.54760000000005</v>
      </c>
      <c r="P50" s="14">
        <f t="shared" si="33"/>
        <v>39.836620617816237</v>
      </c>
      <c r="Q50" s="22">
        <f t="shared" si="53"/>
        <v>340.29418424269664</v>
      </c>
      <c r="R50" s="60">
        <f t="shared" si="0"/>
        <v>593.35542210689209</v>
      </c>
      <c r="S50" s="60">
        <f ca="1">AVERAGE(OFFSET($R$3,0,0,'Données projet'!$E$9+1,1))-AVERAGE(OFFSET($H$3,0,0,'Données projet'!$E$9+1,1))</f>
        <v>516.54532596122067</v>
      </c>
      <c r="T50" s="60">
        <f t="shared" si="34"/>
        <v>273.35778700650792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4.487179487179489</v>
      </c>
      <c r="AI50" s="14">
        <f>IF('Données projet'!$A$62&gt;35,AI49+AH50-AQ49,IF(A50&lt;'Données projet'!$A$62,$AF$205^A50,IF(A50='Données projet'!$A$62,'Données projet'!$B$62,AI49+AH50-AQ49)))</f>
        <v>123.71794871794873</v>
      </c>
      <c r="AJ50" s="14">
        <f>AI50*VLOOKUP('Données projet'!$B$10,Paramètres!$A$1:$I$89,3,0)*VLOOKUP('Données projet'!$B$10,Paramètres!$A$1:$I$89,5,0)</f>
        <v>117.73000000000002</v>
      </c>
      <c r="AK50" s="14">
        <f t="shared" si="35"/>
        <v>31.144972039735432</v>
      </c>
      <c r="AL50" s="22">
        <f t="shared" si="4"/>
        <v>259.29057630253919</v>
      </c>
      <c r="AM50" s="60">
        <f t="shared" si="5"/>
        <v>512.35181416673458</v>
      </c>
      <c r="AN50" s="60">
        <f ca="1">AVERAGE(OFFSET($AM$3,0,0,'Données projet'!$E$10+1,1))-AVERAGE(OFFSET($H$3,0,0,'Données projet'!$E$10+1,1))</f>
        <v>328.36544111680962</v>
      </c>
      <c r="AO50" s="60">
        <f t="shared" si="36"/>
        <v>226.85392900722772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5.4</v>
      </c>
      <c r="BD50" s="13">
        <f>IF('Données projet'!$A$88&gt;35,BD49+BC50-BL49,IF(A50&lt;'Données projet'!$A$88,$BA$205^A50,IF(A50='Données projet'!$A$88,'Données projet'!$B$88,BD49+BC50-BL49)))</f>
        <v>175.79999999999993</v>
      </c>
      <c r="BE50" s="14">
        <f>BD50*VLOOKUP('Données projet'!$B$11,Paramètres!$A$1:$I$89,3,0)*VLOOKUP('Données projet'!$B$11,Paramètres!$A$1:$I$89,5,0)</f>
        <v>153.57887999999994</v>
      </c>
      <c r="BF50" s="14">
        <f t="shared" si="37"/>
        <v>39.390779474606113</v>
      </c>
      <c r="BG50" s="22">
        <f t="shared" si="7"/>
        <v>336.08882358493884</v>
      </c>
      <c r="BH50" s="60">
        <f t="shared" si="8"/>
        <v>589.15006144913423</v>
      </c>
      <c r="BI50" s="60">
        <f ca="1">AVERAGE(OFFSET($BH$3,0,0,'Données projet'!$E$11+1,1))-AVERAGE(OFFSET($H$3,0,0,'Données projet'!$E$11+1,1))</f>
        <v>296.01124173332352</v>
      </c>
      <c r="BJ50" s="60">
        <f t="shared" si="38"/>
        <v>315.50730924873733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5.2</v>
      </c>
      <c r="BY50" s="13">
        <f>IF('Données projet'!$A$114&gt;35,BY49+BX50-CG49,IF(A50&lt;'Données projet'!$A$114,$BV$205^A50,IF(A50='Données projet'!$A$114,'Données projet'!$B$114,BY49+BX50-CG49)))</f>
        <v>139.39999999999998</v>
      </c>
      <c r="BZ50" s="14">
        <f>BY50*VLOOKUP('Données projet'!$B$12,Paramètres!$A$1:$I$89,3,0)*VLOOKUP('Données projet'!$B$12,Paramètres!$A$1:$I$89,5,0)</f>
        <v>91.334879999999984</v>
      </c>
      <c r="CA50" s="14">
        <f t="shared" si="39"/>
        <v>24.886889521433787</v>
      </c>
      <c r="CB50" s="22">
        <f t="shared" si="10"/>
        <v>202.41958191649715</v>
      </c>
      <c r="CC50" s="60">
        <f t="shared" si="11"/>
        <v>455.48081978069251</v>
      </c>
      <c r="CD50" s="60">
        <f ca="1">AVERAGE(OFFSET($CC$3,0,0,'Données projet'!$E$12+1,1))-AVERAGE(OFFSET($H$3,0,0,'Données projet'!$E$12+1,1))</f>
        <v>216.42026264996392</v>
      </c>
      <c r="CE50" s="60">
        <f t="shared" si="40"/>
        <v>216.4587454288401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5.6</v>
      </c>
      <c r="CT50" s="13">
        <f>IF('Données projet'!$A$140&gt;35,CT49+CS50-DB49,IF(A50&lt;'Données projet'!$A$140,$CQ$205^A50,IF(A50='Données projet'!$A$140,'Données projet'!$B$140,CT49+CS50-DB49)))</f>
        <v>104.19999999999997</v>
      </c>
      <c r="CU50" s="18">
        <f>CT50*VLOOKUP('Données projet'!$B$13,Paramètres!$A$1:$I$89,3,0)*VLOOKUP('Données projet'!$B$13,Paramètres!$A$1:$I$89,5,0)</f>
        <v>100.78223999999997</v>
      </c>
      <c r="CV50" s="14">
        <f t="shared" si="41"/>
        <v>27.148270845500655</v>
      </c>
      <c r="CW50" s="22">
        <f t="shared" si="13"/>
        <v>222.81230638924691</v>
      </c>
      <c r="CX50" s="60">
        <f t="shared" si="14"/>
        <v>475.87354425344233</v>
      </c>
      <c r="CY50" s="60">
        <f ca="1">AVERAGE(OFFSET($CX$3,0,0,'Données projet'!$E$13+1,1))-AVERAGE(OFFSET($H$3,0,0,'Données projet'!$E$13+1,1))</f>
        <v>385.5283976785621</v>
      </c>
      <c r="CZ50" s="60">
        <f t="shared" si="42"/>
        <v>173.19148969173838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153.40000000000003</v>
      </c>
      <c r="DP50" s="18">
        <f>DO50*VLOOKUP('Données projet'!$B$14,Paramètres!$A$1:$I$89,3,0)*VLOOKUP('Données projet'!$B$14,Paramètres!$A$1:$I$89,5,0)</f>
        <v>165.11976000000004</v>
      </c>
      <c r="DQ50" s="14">
        <f t="shared" si="43"/>
        <v>41.995166194425131</v>
      </c>
      <c r="DR50" s="22">
        <f t="shared" si="16"/>
        <v>360.72516312195717</v>
      </c>
      <c r="DS50" s="60">
        <f t="shared" si="17"/>
        <v>613.78640098615256</v>
      </c>
      <c r="DT50" s="60">
        <f ca="1">AVERAGE(OFFSET($DS$3,0,0,'Données projet'!$E$14+1,1))-AVERAGE(OFFSET($H$3,0,0,'Données projet'!$E$14+1,1))</f>
        <v>543.15812193567342</v>
      </c>
      <c r="DU50" s="60">
        <f t="shared" si="44"/>
        <v>286.40725588660575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4.4871794871794863</v>
      </c>
      <c r="EJ50" s="13">
        <f>IF('Données projet'!$A$192&gt;35,EJ49+EI50-ER49,IF(A50&lt;'Données projet'!$A$192,$EG$205^A50,IF(A50='Données projet'!$A$192,'Données projet'!$B$192,EJ49+EI50-ER49)))</f>
        <v>122.43589743589739</v>
      </c>
      <c r="EK50" s="18">
        <f>EJ50*VLOOKUP('Données projet'!$B$15,Paramètres!$A$1:$I$89,3,0)*VLOOKUP('Données projet'!$B$15,Paramètres!$A$1:$I$89,5,0)</f>
        <v>82.129999999999967</v>
      </c>
      <c r="EL50" s="14">
        <f t="shared" si="45"/>
        <v>22.657181074435304</v>
      </c>
      <c r="EM50" s="22">
        <f t="shared" si="19"/>
        <v>182.50434037130807</v>
      </c>
      <c r="EN50" s="60">
        <f t="shared" si="20"/>
        <v>435.56557823550349</v>
      </c>
      <c r="EO50" s="60">
        <f ca="1">AVERAGE(OFFSET($EN$3,0,0,'Données projet'!$E$15+1,1))-AVERAGE(OFFSET($H$3,0,0,'Données projet'!$E$15+1,1))</f>
        <v>239.52247785001794</v>
      </c>
      <c r="EP50" s="60">
        <f t="shared" si="46"/>
        <v>173.69760199651617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0.93978591281942814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0.93978591281942814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8">
        <f t="shared" si="1"/>
        <v>183.33333333333334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163.86240000000004</v>
      </c>
      <c r="P51" s="14">
        <f t="shared" si="33"/>
        <v>41.712477409029084</v>
      </c>
      <c r="Q51" s="22">
        <f t="shared" si="53"/>
        <v>358.0429114873923</v>
      </c>
      <c r="R51" s="60">
        <f t="shared" si="0"/>
        <v>611.80278017306</v>
      </c>
      <c r="S51" s="60">
        <f ca="1">AVERAGE(OFFSET($R$3,0,0,'Données projet'!$E$9+1,1))-AVERAGE(OFFSET($H$3,0,0,'Données projet'!$E$9+1,1))</f>
        <v>516.54532596122067</v>
      </c>
      <c r="T51" s="60">
        <f t="shared" si="34"/>
        <v>273.35778700650792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4.487179487179489</v>
      </c>
      <c r="AI51" s="14">
        <f>IF('Données projet'!$A$62&gt;35,AI50+AH51-AQ50,IF(A51&lt;'Données projet'!$A$62,$AF$205^A51,IF(A51='Données projet'!$A$62,'Données projet'!$B$62,AI50+AH51-AQ50)))</f>
        <v>128.20512820512823</v>
      </c>
      <c r="AJ51" s="14">
        <f>AI51*VLOOKUP('Données projet'!$B$10,Paramètres!$A$1:$I$89,3,0)*VLOOKUP('Données projet'!$B$10,Paramètres!$A$1:$I$89,5,0)</f>
        <v>122.00000000000003</v>
      </c>
      <c r="AK51" s="14">
        <f t="shared" si="35"/>
        <v>32.141016759098825</v>
      </c>
      <c r="AL51" s="22">
        <f t="shared" si="4"/>
        <v>268.46227085543052</v>
      </c>
      <c r="AM51" s="60">
        <f t="shared" si="5"/>
        <v>522.22213954109816</v>
      </c>
      <c r="AN51" s="60">
        <f ca="1">AVERAGE(OFFSET($AM$3,0,0,'Données projet'!$E$10+1,1))-AVERAGE(OFFSET($H$3,0,0,'Données projet'!$E$10+1,1))</f>
        <v>328.36544111680962</v>
      </c>
      <c r="AO51" s="60">
        <f t="shared" si="36"/>
        <v>226.85392900722772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5.4</v>
      </c>
      <c r="BD51" s="13">
        <f>IF('Données projet'!$A$88&gt;35,BD50+BC51-BL50,IF(A51&lt;'Données projet'!$A$88,$BA$205^A51,IF(A51='Données projet'!$A$88,'Données projet'!$B$88,BD50+BC51-BL50)))</f>
        <v>181.19999999999993</v>
      </c>
      <c r="BE51" s="14">
        <f>BD51*VLOOKUP('Données projet'!$B$11,Paramètres!$A$1:$I$89,3,0)*VLOOKUP('Données projet'!$B$11,Paramètres!$A$1:$I$89,5,0)</f>
        <v>158.29631999999995</v>
      </c>
      <c r="BF51" s="14">
        <f t="shared" si="37"/>
        <v>40.458006540983739</v>
      </c>
      <c r="BG51" s="22">
        <f t="shared" si="7"/>
        <v>346.16378539221324</v>
      </c>
      <c r="BH51" s="60">
        <f t="shared" si="8"/>
        <v>599.92365407788088</v>
      </c>
      <c r="BI51" s="60">
        <f ca="1">AVERAGE(OFFSET($BH$3,0,0,'Données projet'!$E$11+1,1))-AVERAGE(OFFSET($H$3,0,0,'Données projet'!$E$11+1,1))</f>
        <v>296.01124173332352</v>
      </c>
      <c r="BJ51" s="60">
        <f t="shared" si="38"/>
        <v>315.50730924873733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5.2</v>
      </c>
      <c r="BY51" s="13">
        <f>IF('Données projet'!$A$114&gt;35,BY50+BX51-CG50,IF(A51&lt;'Données projet'!$A$114,$BV$205^A51,IF(A51='Données projet'!$A$114,'Données projet'!$B$114,BY50+BX51-CG50)))</f>
        <v>144.59999999999997</v>
      </c>
      <c r="BZ51" s="14">
        <f>BY51*VLOOKUP('Données projet'!$B$12,Paramètres!$A$1:$I$89,3,0)*VLOOKUP('Données projet'!$B$12,Paramètres!$A$1:$I$89,5,0)</f>
        <v>94.741919999999979</v>
      </c>
      <c r="CA51" s="14">
        <f t="shared" si="39"/>
        <v>25.7054219203964</v>
      </c>
      <c r="CB51" s="22">
        <f t="shared" si="10"/>
        <v>209.77912051135704</v>
      </c>
      <c r="CC51" s="60">
        <f t="shared" si="11"/>
        <v>463.53898919702476</v>
      </c>
      <c r="CD51" s="60">
        <f ca="1">AVERAGE(OFFSET($CC$3,0,0,'Données projet'!$E$12+1,1))-AVERAGE(OFFSET($H$3,0,0,'Données projet'!$E$12+1,1))</f>
        <v>216.42026264996392</v>
      </c>
      <c r="CE51" s="60">
        <f t="shared" si="40"/>
        <v>216.4587454288401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5.6</v>
      </c>
      <c r="CT51" s="13">
        <f>IF('Données projet'!$A$140&gt;35,CT50+CS51-DB50,IF(A51&lt;'Données projet'!$A$140,$CQ$205^A51,IF(A51='Données projet'!$A$140,'Données projet'!$B$140,CT50+CS51-DB50)))</f>
        <v>109.79999999999997</v>
      </c>
      <c r="CU51" s="18">
        <f>CT51*VLOOKUP('Données projet'!$B$13,Paramètres!$A$1:$I$89,3,0)*VLOOKUP('Données projet'!$B$13,Paramètres!$A$1:$I$89,5,0)</f>
        <v>106.19855999999997</v>
      </c>
      <c r="CV51" s="14">
        <f t="shared" si="41"/>
        <v>28.433510633203252</v>
      </c>
      <c r="CW51" s="22">
        <f t="shared" si="13"/>
        <v>234.48418968616227</v>
      </c>
      <c r="CX51" s="60">
        <f t="shared" si="14"/>
        <v>488.24405837182996</v>
      </c>
      <c r="CY51" s="60">
        <f ca="1">AVERAGE(OFFSET($CX$3,0,0,'Données projet'!$E$13+1,1))-AVERAGE(OFFSET($H$3,0,0,'Données projet'!$E$13+1,1))</f>
        <v>385.5283976785621</v>
      </c>
      <c r="CZ51" s="60">
        <f t="shared" si="42"/>
        <v>173.19148969173838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161.60000000000002</v>
      </c>
      <c r="DP51" s="18">
        <f>DO51*VLOOKUP('Données projet'!$B$14,Paramètres!$A$1:$I$89,3,0)*VLOOKUP('Données projet'!$B$14,Paramètres!$A$1:$I$89,5,0)</f>
        <v>173.94624000000002</v>
      </c>
      <c r="DQ51" s="14">
        <f t="shared" si="43"/>
        <v>43.972666205274265</v>
      </c>
      <c r="DR51" s="22">
        <f t="shared" si="16"/>
        <v>379.54209497418606</v>
      </c>
      <c r="DS51" s="60">
        <f t="shared" si="17"/>
        <v>633.30196365985375</v>
      </c>
      <c r="DT51" s="60">
        <f ca="1">AVERAGE(OFFSET($DS$3,0,0,'Données projet'!$E$14+1,1))-AVERAGE(OFFSET($H$3,0,0,'Données projet'!$E$14+1,1))</f>
        <v>543.15812193567342</v>
      </c>
      <c r="DU51" s="60">
        <f t="shared" si="44"/>
        <v>286.40725588660575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4.4871794871794863</v>
      </c>
      <c r="EJ51" s="13">
        <f>IF('Données projet'!$A$192&gt;35,EJ50+EI51-ER50,IF(A51&lt;'Données projet'!$A$192,$EG$205^A51,IF(A51='Données projet'!$A$192,'Données projet'!$B$192,EJ50+EI51-ER50)))</f>
        <v>126.92307692307688</v>
      </c>
      <c r="EK51" s="18">
        <f>EJ51*VLOOKUP('Données projet'!$B$15,Paramètres!$A$1:$I$89,3,0)*VLOOKUP('Données projet'!$B$15,Paramètres!$A$1:$I$89,5,0)</f>
        <v>85.139999999999972</v>
      </c>
      <c r="EL51" s="14">
        <f t="shared" si="45"/>
        <v>23.389350085445869</v>
      </c>
      <c r="EM51" s="22">
        <f t="shared" si="19"/>
        <v>189.02195139881817</v>
      </c>
      <c r="EN51" s="60">
        <f t="shared" si="20"/>
        <v>442.78182008448584</v>
      </c>
      <c r="EO51" s="60">
        <f ca="1">AVERAGE(OFFSET($EN$3,0,0,'Données projet'!$E$15+1,1))-AVERAGE(OFFSET($H$3,0,0,'Données projet'!$E$15+1,1))</f>
        <v>239.52247785001794</v>
      </c>
      <c r="EP51" s="60">
        <f t="shared" si="46"/>
        <v>173.69760199651617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0.91408741761218759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0.91408741761218759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8">
        <f t="shared" si="1"/>
        <v>183.33333333333334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172.1772</v>
      </c>
      <c r="P52" s="14">
        <f t="shared" si="33"/>
        <v>43.577282221917017</v>
      </c>
      <c r="Q52" s="22">
        <f t="shared" si="53"/>
        <v>375.77238986983883</v>
      </c>
      <c r="R52" s="60">
        <f t="shared" si="0"/>
        <v>630.21876969413074</v>
      </c>
      <c r="S52" s="60">
        <f ca="1">AVERAGE(OFFSET($R$3,0,0,'Données projet'!$E$9+1,1))-AVERAGE(OFFSET($H$3,0,0,'Données projet'!$E$9+1,1))</f>
        <v>516.54532596122067</v>
      </c>
      <c r="T52" s="60">
        <f t="shared" si="34"/>
        <v>273.35778700650792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4.487179487179489</v>
      </c>
      <c r="AI52" s="14">
        <f>IF('Données projet'!$A$62&gt;35,AI51+AH52-AQ51,IF(A52&lt;'Données projet'!$A$62,$AF$205^A52,IF(A52='Données projet'!$A$62,'Données projet'!$B$62,AI51+AH52-AQ51)))</f>
        <v>132.69230769230774</v>
      </c>
      <c r="AJ52" s="14">
        <f>AI52*VLOOKUP('Données projet'!$B$10,Paramètres!$A$1:$I$89,3,0)*VLOOKUP('Données projet'!$B$10,Paramètres!$A$1:$I$89,5,0)</f>
        <v>126.27000000000005</v>
      </c>
      <c r="AK52" s="14">
        <f t="shared" si="35"/>
        <v>33.133010973389688</v>
      </c>
      <c r="AL52" s="22">
        <f t="shared" si="4"/>
        <v>277.62691077865378</v>
      </c>
      <c r="AM52" s="60">
        <f t="shared" si="5"/>
        <v>532.07329060294569</v>
      </c>
      <c r="AN52" s="60">
        <f ca="1">AVERAGE(OFFSET($AM$3,0,0,'Données projet'!$E$10+1,1))-AVERAGE(OFFSET($H$3,0,0,'Données projet'!$E$10+1,1))</f>
        <v>328.36544111680962</v>
      </c>
      <c r="AO52" s="60">
        <f t="shared" si="36"/>
        <v>226.85392900722772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5.4</v>
      </c>
      <c r="BD52" s="13">
        <f>IF('Données projet'!$A$88&gt;35,BD51+BC52-BL51,IF(A52&lt;'Données projet'!$A$88,$BA$205^A52,IF(A52='Données projet'!$A$88,'Données projet'!$B$88,BD51+BC52-BL51)))</f>
        <v>186.59999999999994</v>
      </c>
      <c r="BE52" s="14">
        <f>BD52*VLOOKUP('Données projet'!$B$11,Paramètres!$A$1:$I$89,3,0)*VLOOKUP('Données projet'!$B$11,Paramètres!$A$1:$I$89,5,0)</f>
        <v>163.01375999999996</v>
      </c>
      <c r="BF52" s="14">
        <f t="shared" si="37"/>
        <v>41.521537366475364</v>
      </c>
      <c r="BG52" s="22">
        <f t="shared" si="7"/>
        <v>356.23230957994451</v>
      </c>
      <c r="BH52" s="60">
        <f t="shared" si="8"/>
        <v>610.67868940423648</v>
      </c>
      <c r="BI52" s="60">
        <f ca="1">AVERAGE(OFFSET($BH$3,0,0,'Données projet'!$E$11+1,1))-AVERAGE(OFFSET($H$3,0,0,'Données projet'!$E$11+1,1))</f>
        <v>296.01124173332352</v>
      </c>
      <c r="BJ52" s="60">
        <f t="shared" si="38"/>
        <v>315.50730924873733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5.2</v>
      </c>
      <c r="BY52" s="13">
        <f>IF('Données projet'!$A$114&gt;35,BY51+BX52-CG51,IF(A52&lt;'Données projet'!$A$114,$BV$205^A52,IF(A52='Données projet'!$A$114,'Données projet'!$B$114,BY51+BX52-CG51)))</f>
        <v>149.79999999999995</v>
      </c>
      <c r="BZ52" s="14">
        <f>BY52*VLOOKUP('Données projet'!$B$12,Paramètres!$A$1:$I$89,3,0)*VLOOKUP('Données projet'!$B$12,Paramètres!$A$1:$I$89,5,0)</f>
        <v>98.14895999999996</v>
      </c>
      <c r="CA52" s="14">
        <f t="shared" si="39"/>
        <v>26.520534413460872</v>
      </c>
      <c r="CB52" s="22">
        <f t="shared" si="10"/>
        <v>217.13270277011091</v>
      </c>
      <c r="CC52" s="60">
        <f t="shared" si="11"/>
        <v>471.57908259440285</v>
      </c>
      <c r="CD52" s="60">
        <f ca="1">AVERAGE(OFFSET($CC$3,0,0,'Données projet'!$E$12+1,1))-AVERAGE(OFFSET($H$3,0,0,'Données projet'!$E$12+1,1))</f>
        <v>216.42026264996392</v>
      </c>
      <c r="CE52" s="60">
        <f t="shared" si="40"/>
        <v>216.4587454288401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5.6</v>
      </c>
      <c r="CT52" s="13">
        <f>IF('Données projet'!$A$140&gt;35,CT51+CS52-DB51,IF(A52&lt;'Données projet'!$A$140,$CQ$205^A52,IF(A52='Données projet'!$A$140,'Données projet'!$B$140,CT51+CS52-DB51)))</f>
        <v>115.39999999999996</v>
      </c>
      <c r="CU52" s="18">
        <f>CT52*VLOOKUP('Données projet'!$B$13,Paramètres!$A$1:$I$89,3,0)*VLOOKUP('Données projet'!$B$13,Paramètres!$A$1:$I$89,5,0)</f>
        <v>111.61487999999996</v>
      </c>
      <c r="CV52" s="14">
        <f t="shared" si="41"/>
        <v>29.711139570849625</v>
      </c>
      <c r="CW52" s="22">
        <f t="shared" si="13"/>
        <v>246.14281741922969</v>
      </c>
      <c r="CX52" s="60">
        <f t="shared" si="14"/>
        <v>500.58919724352165</v>
      </c>
      <c r="CY52" s="60">
        <f ca="1">AVERAGE(OFFSET($CX$3,0,0,'Données projet'!$E$13+1,1))-AVERAGE(OFFSET($H$3,0,0,'Données projet'!$E$13+1,1))</f>
        <v>385.5283976785621</v>
      </c>
      <c r="CZ52" s="60">
        <f t="shared" si="42"/>
        <v>173.19148969173838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169.8</v>
      </c>
      <c r="DP52" s="18">
        <f>DO52*VLOOKUP('Données projet'!$B$14,Paramètres!$A$1:$I$89,3,0)*VLOOKUP('Données projet'!$B$14,Paramètres!$A$1:$I$89,5,0)</f>
        <v>182.77271999999999</v>
      </c>
      <c r="DQ52" s="14">
        <f t="shared" si="43"/>
        <v>45.938515386827795</v>
      </c>
      <c r="DR52" s="22">
        <f t="shared" si="16"/>
        <v>398.33873496539172</v>
      </c>
      <c r="DS52" s="60">
        <f t="shared" si="17"/>
        <v>652.78511478968369</v>
      </c>
      <c r="DT52" s="60">
        <f ca="1">AVERAGE(OFFSET($DS$3,0,0,'Données projet'!$E$14+1,1))-AVERAGE(OFFSET($H$3,0,0,'Données projet'!$E$14+1,1))</f>
        <v>543.15812193567342</v>
      </c>
      <c r="DU52" s="60">
        <f t="shared" si="44"/>
        <v>286.40725588660575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4.4871794871794863</v>
      </c>
      <c r="EJ52" s="13">
        <f>IF('Données projet'!$A$192&gt;35,EJ51+EI52-ER51,IF(A52&lt;'Données projet'!$A$192,$EG$205^A52,IF(A52='Données projet'!$A$192,'Données projet'!$B$192,EJ51+EI52-ER51)))</f>
        <v>131.41025641025635</v>
      </c>
      <c r="EK52" s="18">
        <f>EJ52*VLOOKUP('Données projet'!$B$15,Paramètres!$A$1:$I$89,3,0)*VLOOKUP('Données projet'!$B$15,Paramètres!$A$1:$I$89,5,0)</f>
        <v>88.149999999999963</v>
      </c>
      <c r="EL52" s="14">
        <f t="shared" si="45"/>
        <v>24.118511639205312</v>
      </c>
      <c r="EM52" s="22">
        <f t="shared" si="19"/>
        <v>195.53432443828251</v>
      </c>
      <c r="EN52" s="60">
        <f t="shared" si="20"/>
        <v>449.98070426257448</v>
      </c>
      <c r="EO52" s="60">
        <f ca="1">AVERAGE(OFFSET($EN$3,0,0,'Données projet'!$E$15+1,1))-AVERAGE(OFFSET($H$3,0,0,'Données projet'!$E$15+1,1))</f>
        <v>239.52247785001794</v>
      </c>
      <c r="EP52" s="60">
        <f t="shared" si="46"/>
        <v>173.69760199651617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0.88909164910781424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0.88909164910781424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8">
        <f t="shared" si="1"/>
        <v>183.33333333333334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180.49200000000002</v>
      </c>
      <c r="P53" s="14">
        <f t="shared" si="33"/>
        <v>45.431629706642653</v>
      </c>
      <c r="Q53" s="22">
        <f t="shared" si="53"/>
        <v>393.4836550724026</v>
      </c>
      <c r="R53" s="60">
        <f t="shared" si="0"/>
        <v>648.6046366018727</v>
      </c>
      <c r="S53" s="60">
        <f ca="1">AVERAGE(OFFSET($R$3,0,0,'Données projet'!$E$9+1,1))-AVERAGE(OFFSET($H$3,0,0,'Données projet'!$E$9+1,1))</f>
        <v>516.54532596122067</v>
      </c>
      <c r="T53" s="60">
        <f t="shared" si="34"/>
        <v>273.35778700650792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137.17948717948718</v>
      </c>
      <c r="AG53" s="13">
        <f>VLOOKUP(A53,'Données projet'!$A$61:$I$81,9,0)</f>
        <v>4.487179487179489</v>
      </c>
      <c r="AH53" s="13">
        <f t="array" ref="AH53">INDEX(AG:AG,MIN(IF(ISNUMBER(AG53:AG249),ROW(AG53:AG249),"")))</f>
        <v>4.487179487179489</v>
      </c>
      <c r="AI53" s="14">
        <f>IF('Données projet'!$A$62&gt;35,AI52+AH53-AQ52,IF(A53&lt;'Données projet'!$A$62,$AF$205^A53,IF(A53='Données projet'!$A$62,'Données projet'!$B$62,AI52+AH53-AQ52)))</f>
        <v>137.17948717948724</v>
      </c>
      <c r="AJ53" s="14">
        <f>AI53*VLOOKUP('Données projet'!$B$10,Paramètres!$A$1:$I$89,3,0)*VLOOKUP('Données projet'!$B$10,Paramètres!$A$1:$I$89,5,0)</f>
        <v>130.54000000000005</v>
      </c>
      <c r="AK53" s="14">
        <f t="shared" si="35"/>
        <v>34.121107358490349</v>
      </c>
      <c r="AL53" s="22">
        <f t="shared" si="4"/>
        <v>286.78476198270408</v>
      </c>
      <c r="AM53" s="60">
        <f t="shared" si="5"/>
        <v>541.90574351217424</v>
      </c>
      <c r="AN53" s="60">
        <f ca="1">AVERAGE(OFFSET($AM$3,0,0,'Données projet'!$E$10+1,1))-AVERAGE(OFFSET($H$3,0,0,'Données projet'!$E$10+1,1))</f>
        <v>328.36544111680962</v>
      </c>
      <c r="AO53" s="60">
        <f t="shared" si="36"/>
        <v>226.85392900722772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22.435897435897434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192</v>
      </c>
      <c r="BB53" s="13">
        <f>VLOOKUP(A53,'Données projet'!$A$87:$I$107,9,0)</f>
        <v>5.4</v>
      </c>
      <c r="BC53" s="13">
        <f t="array" ref="BC53">INDEX(BB:BB,MIN(IF(ISNUMBER(BB53:BB249),ROW(BB53:BB249),"")))</f>
        <v>5.4</v>
      </c>
      <c r="BD53" s="13">
        <f>IF('Données projet'!$A$88&gt;35,BD52+BC53-BL52,IF(A53&lt;'Données projet'!$A$88,$BA$205^A53,IF(A53='Données projet'!$A$88,'Données projet'!$B$88,BD52+BC53-BL52)))</f>
        <v>191.99999999999994</v>
      </c>
      <c r="BE53" s="14">
        <f>BD53*VLOOKUP('Données projet'!$B$11,Paramètres!$A$1:$I$89,3,0)*VLOOKUP('Données projet'!$B$11,Paramètres!$A$1:$I$89,5,0)</f>
        <v>167.73119999999997</v>
      </c>
      <c r="BF53" s="14">
        <f t="shared" si="37"/>
        <v>42.581491199832655</v>
      </c>
      <c r="BG53" s="22">
        <f t="shared" si="7"/>
        <v>366.29460383970849</v>
      </c>
      <c r="BH53" s="60">
        <f t="shared" si="8"/>
        <v>621.41558536917864</v>
      </c>
      <c r="BI53" s="60">
        <f ca="1">AVERAGE(OFFSET($BH$3,0,0,'Données projet'!$E$11+1,1))-AVERAGE(OFFSET($H$3,0,0,'Données projet'!$E$11+1,1))</f>
        <v>296.01124173332352</v>
      </c>
      <c r="BJ53" s="60">
        <f t="shared" si="38"/>
        <v>315.50730924873733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155</v>
      </c>
      <c r="BW53" s="13">
        <f>VLOOKUP(A53,'Données projet'!$A$113:$I$133,9,0)</f>
        <v>5.2</v>
      </c>
      <c r="BX53" s="13">
        <f t="array" ref="BX53">INDEX(BW:BW,MIN(IF(ISNUMBER(BW53:BW249),ROW(BW53:BW249),"")))</f>
        <v>5.2</v>
      </c>
      <c r="BY53" s="13">
        <f>IF('Données projet'!$A$114&gt;35,BY52+BX53-CG52,IF(A53&lt;'Données projet'!$A$114,$BV$205^A53,IF(A53='Données projet'!$A$114,'Données projet'!$B$114,BY52+BX53-CG52)))</f>
        <v>154.99999999999994</v>
      </c>
      <c r="BZ53" s="14">
        <f>BY53*VLOOKUP('Données projet'!$B$12,Paramètres!$A$1:$I$89,3,0)*VLOOKUP('Données projet'!$B$12,Paramètres!$A$1:$I$89,5,0)</f>
        <v>101.55599999999997</v>
      </c>
      <c r="CA53" s="14">
        <f t="shared" si="39"/>
        <v>27.332359320696909</v>
      </c>
      <c r="CB53" s="22">
        <f t="shared" si="10"/>
        <v>224.48055915021371</v>
      </c>
      <c r="CC53" s="60">
        <f t="shared" si="11"/>
        <v>479.60154067968381</v>
      </c>
      <c r="CD53" s="60">
        <f ca="1">AVERAGE(OFFSET($CC$3,0,0,'Données projet'!$E$12+1,1))-AVERAGE(OFFSET($H$3,0,0,'Données projet'!$E$12+1,1))</f>
        <v>216.42026264996392</v>
      </c>
      <c r="CE53" s="60">
        <f t="shared" si="40"/>
        <v>216.4587454288401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121</v>
      </c>
      <c r="CR53" s="13">
        <f>VLOOKUP(A53,'Données projet'!$A$139:$I$159,9,0)</f>
        <v>5.6</v>
      </c>
      <c r="CS53" s="13">
        <f t="array" ref="CS53">INDEX(CR:CR,MIN(IF(ISNUMBER(CR53:CR249),ROW(CR53:CR249),"")))</f>
        <v>5.6</v>
      </c>
      <c r="CT53" s="13">
        <f>IF('Données projet'!$A$140&gt;35,CT52+CS53-DB52,IF(A53&lt;'Données projet'!$A$140,$CQ$205^A53,IF(A53='Données projet'!$A$140,'Données projet'!$B$140,CT52+CS53-DB52)))</f>
        <v>120.99999999999996</v>
      </c>
      <c r="CU53" s="18">
        <f>CT53*VLOOKUP('Données projet'!$B$13,Paramètres!$A$1:$I$89,3,0)*VLOOKUP('Données projet'!$B$13,Paramètres!$A$1:$I$89,5,0)</f>
        <v>117.03119999999996</v>
      </c>
      <c r="CV53" s="14">
        <f t="shared" si="41"/>
        <v>30.981569147428527</v>
      </c>
      <c r="CW53" s="22">
        <f t="shared" si="13"/>
        <v>257.78890626510457</v>
      </c>
      <c r="CX53" s="60">
        <f t="shared" si="14"/>
        <v>512.90988779457462</v>
      </c>
      <c r="CY53" s="60">
        <f ca="1">AVERAGE(OFFSET($CX$3,0,0,'Données projet'!$E$13+1,1))-AVERAGE(OFFSET($H$3,0,0,'Données projet'!$E$13+1,1))</f>
        <v>385.5283976785621</v>
      </c>
      <c r="CZ53" s="60">
        <f t="shared" si="42"/>
        <v>173.19148969173838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178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178</v>
      </c>
      <c r="DP53" s="18">
        <f>DO53*VLOOKUP('Données projet'!$B$14,Paramètres!$A$1:$I$89,3,0)*VLOOKUP('Données projet'!$B$14,Paramètres!$A$1:$I$89,5,0)</f>
        <v>191.5992</v>
      </c>
      <c r="DQ53" s="14">
        <f t="shared" si="43"/>
        <v>47.893340610341859</v>
      </c>
      <c r="DR53" s="22">
        <f t="shared" si="16"/>
        <v>417.1161748963454</v>
      </c>
      <c r="DS53" s="60">
        <f t="shared" si="17"/>
        <v>672.23715642581556</v>
      </c>
      <c r="DT53" s="60">
        <f ca="1">AVERAGE(OFFSET($DS$3,0,0,'Données projet'!$E$14+1,1))-AVERAGE(OFFSET($H$3,0,0,'Données projet'!$E$14+1,1))</f>
        <v>543.15812193567342</v>
      </c>
      <c r="DU53" s="60">
        <f t="shared" si="44"/>
        <v>286.40725588660575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135.89743589743588</v>
      </c>
      <c r="EH53" s="13">
        <f>VLOOKUP(A53,'Données projet'!$A$191:$I$211,9,0)</f>
        <v>4.4871794871794863</v>
      </c>
      <c r="EI53" s="13">
        <f t="array" ref="EI53">INDEX(EH:EH,MIN(IF(ISNUMBER(EH53:EH249),ROW(EH53:EH249),"")))</f>
        <v>4.4871794871794863</v>
      </c>
      <c r="EJ53" s="13">
        <f>IF('Données projet'!$A$192&gt;35,EJ52+EI53-ER52,IF(A53&lt;'Données projet'!$A$192,$EG$205^A53,IF(A53='Données projet'!$A$192,'Données projet'!$B$192,EJ52+EI53-ER52)))</f>
        <v>135.89743589743583</v>
      </c>
      <c r="EK53" s="18">
        <f>EJ53*VLOOKUP('Données projet'!$B$15,Paramètres!$A$1:$I$89,3,0)*VLOOKUP('Données projet'!$B$15,Paramètres!$A$1:$I$89,5,0)</f>
        <v>91.159999999999954</v>
      </c>
      <c r="EL53" s="14">
        <f t="shared" si="45"/>
        <v>24.844780200578068</v>
      </c>
      <c r="EM53" s="22">
        <f t="shared" si="19"/>
        <v>202.04165884934005</v>
      </c>
      <c r="EN53" s="60">
        <f t="shared" si="20"/>
        <v>457.16264037881012</v>
      </c>
      <c r="EO53" s="60">
        <f ca="1">AVERAGE(OFFSET($EN$3,0,0,'Données projet'!$E$15+1,1))-AVERAGE(OFFSET($H$3,0,0,'Données projet'!$E$15+1,1))</f>
        <v>239.52247785001794</v>
      </c>
      <c r="EP53" s="60">
        <f t="shared" si="46"/>
        <v>173.69760199651617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21.794871794871796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0.86477939120766323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0.86477939120766323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8">
        <f t="shared" si="1"/>
        <v>183.33333333333334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188.60400000000001</v>
      </c>
      <c r="P54" s="14">
        <f t="shared" si="33"/>
        <v>47.231184731814224</v>
      </c>
      <c r="Q54" s="22">
        <f t="shared" si="53"/>
        <v>410.74628007457642</v>
      </c>
      <c r="R54" s="60">
        <f t="shared" si="0"/>
        <v>666.5301604778233</v>
      </c>
      <c r="S54" s="60">
        <f ca="1">AVERAGE(OFFSET($R$3,0,0,'Données projet'!$E$9+1,1))-AVERAGE(OFFSET($H$3,0,0,'Données projet'!$E$9+1,1))</f>
        <v>516.54532596122067</v>
      </c>
      <c r="T54" s="60">
        <f t="shared" si="34"/>
        <v>273.35778700650792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4.2307692307692264</v>
      </c>
      <c r="AI54" s="14">
        <f>IF('Données projet'!$A$62&gt;35,AI53+AH54-AQ53,IF(A54&lt;'Données projet'!$A$62,$AF$205^A54,IF(A54='Données projet'!$A$62,'Données projet'!$B$62,AI53+AH54-AQ53)))</f>
        <v>118.97435897435903</v>
      </c>
      <c r="AJ54" s="14">
        <f>AI54*VLOOKUP('Données projet'!$B$10,Paramètres!$A$1:$I$89,3,0)*VLOOKUP('Données projet'!$B$10,Paramètres!$A$1:$I$89,5,0)</f>
        <v>113.21600000000007</v>
      </c>
      <c r="AK54" s="14">
        <f t="shared" si="35"/>
        <v>30.087423776375509</v>
      </c>
      <c r="AL54" s="22">
        <f t="shared" si="4"/>
        <v>249.5867964105208</v>
      </c>
      <c r="AM54" s="60">
        <f t="shared" si="5"/>
        <v>505.37067681376766</v>
      </c>
      <c r="AN54" s="60">
        <f ca="1">AVERAGE(OFFSET($AM$3,0,0,'Données projet'!$E$10+1,1))-AVERAGE(OFFSET($H$3,0,0,'Données projet'!$E$10+1,1))</f>
        <v>328.36544111680962</v>
      </c>
      <c r="AO54" s="60">
        <f t="shared" si="36"/>
        <v>226.85392900722772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165.79999999999995</v>
      </c>
      <c r="BE54" s="14">
        <f>BD54*VLOOKUP('Données projet'!$B$11,Paramètres!$A$1:$I$89,3,0)*VLOOKUP('Données projet'!$B$11,Paramètres!$A$1:$I$89,5,0)</f>
        <v>144.84287999999998</v>
      </c>
      <c r="BF54" s="14">
        <f t="shared" si="37"/>
        <v>37.40423595784457</v>
      </c>
      <c r="BG54" s="22">
        <f t="shared" si="7"/>
        <v>317.41372695991259</v>
      </c>
      <c r="BH54" s="60">
        <f t="shared" si="8"/>
        <v>573.19760736315948</v>
      </c>
      <c r="BI54" s="60">
        <f ca="1">AVERAGE(OFFSET($BH$3,0,0,'Données projet'!$E$11+1,1))-AVERAGE(OFFSET($H$3,0,0,'Données projet'!$E$11+1,1))</f>
        <v>296.01124173332352</v>
      </c>
      <c r="BJ54" s="60">
        <f t="shared" si="38"/>
        <v>315.50730924873733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4.8</v>
      </c>
      <c r="BY54" s="13">
        <f>IF('Données projet'!$A$114&gt;35,BY53+BX54-CG53,IF(A54&lt;'Données projet'!$A$114,$BV$205^A54,IF(A54='Données projet'!$A$114,'Données projet'!$B$114,BY53+BX54-CG53)))</f>
        <v>122.79999999999995</v>
      </c>
      <c r="BZ54" s="14">
        <f>BY54*VLOOKUP('Données projet'!$B$12,Paramètres!$A$1:$I$89,3,0)*VLOOKUP('Données projet'!$B$12,Paramètres!$A$1:$I$89,5,0)</f>
        <v>80.458559999999977</v>
      </c>
      <c r="CA54" s="14">
        <f t="shared" si="39"/>
        <v>22.249267108518541</v>
      </c>
      <c r="CB54" s="22">
        <f t="shared" si="10"/>
        <v>178.88279888066975</v>
      </c>
      <c r="CC54" s="60">
        <f t="shared" si="11"/>
        <v>434.66667928391655</v>
      </c>
      <c r="CD54" s="60">
        <f ca="1">AVERAGE(OFFSET($CC$3,0,0,'Données projet'!$E$12+1,1))-AVERAGE(OFFSET($H$3,0,0,'Données projet'!$E$12+1,1))</f>
        <v>216.42026264996392</v>
      </c>
      <c r="CE54" s="60">
        <f t="shared" si="40"/>
        <v>216.4587454288401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5.6</v>
      </c>
      <c r="CT54" s="13">
        <f>IF('Données projet'!$A$140&gt;35,CT53+CS54-DB53,IF(A54&lt;'Données projet'!$A$140,$CQ$205^A54,IF(A54='Données projet'!$A$140,'Données projet'!$B$140,CT53+CS54-DB53)))</f>
        <v>126.59999999999995</v>
      </c>
      <c r="CU54" s="18">
        <f>CT54*VLOOKUP('Données projet'!$B$13,Paramètres!$A$1:$I$89,3,0)*VLOOKUP('Données projet'!$B$13,Paramètres!$A$1:$I$89,5,0)</f>
        <v>122.44751999999997</v>
      </c>
      <c r="CV54" s="14">
        <f t="shared" si="41"/>
        <v>32.245170611031256</v>
      </c>
      <c r="CW54" s="22">
        <f t="shared" si="13"/>
        <v>269.42310281421265</v>
      </c>
      <c r="CX54" s="60">
        <f t="shared" si="14"/>
        <v>525.20698321745954</v>
      </c>
      <c r="CY54" s="60">
        <f ca="1">AVERAGE(OFFSET($CX$3,0,0,'Données projet'!$E$13+1,1))-AVERAGE(OFFSET($H$3,0,0,'Données projet'!$E$13+1,1))</f>
        <v>385.5283976785621</v>
      </c>
      <c r="CZ54" s="60">
        <f t="shared" si="42"/>
        <v>173.19148969173838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186</v>
      </c>
      <c r="DP54" s="18">
        <f>DO54*VLOOKUP('Données projet'!$B$14,Paramètres!$A$1:$I$89,3,0)*VLOOKUP('Données projet'!$B$14,Paramètres!$A$1:$I$89,5,0)</f>
        <v>200.21040000000002</v>
      </c>
      <c r="DQ54" s="14">
        <f t="shared" si="43"/>
        <v>49.790404447235048</v>
      </c>
      <c r="DR54" s="22">
        <f t="shared" si="16"/>
        <v>435.41806774560104</v>
      </c>
      <c r="DS54" s="60">
        <f t="shared" si="17"/>
        <v>691.2019481488478</v>
      </c>
      <c r="DT54" s="60">
        <f ca="1">AVERAGE(OFFSET($DS$3,0,0,'Données projet'!$E$14+1,1))-AVERAGE(OFFSET($H$3,0,0,'Données projet'!$E$14+1,1))</f>
        <v>543.15812193567342</v>
      </c>
      <c r="DU54" s="60">
        <f t="shared" si="44"/>
        <v>286.40725588660575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4.3589743589743595</v>
      </c>
      <c r="EJ54" s="13">
        <f>IF('Données projet'!$A$192&gt;35,EJ53+EI54-ER53,IF(A54&lt;'Données projet'!$A$192,$EG$205^A54,IF(A54='Données projet'!$A$192,'Données projet'!$B$192,EJ53+EI54-ER53)))</f>
        <v>118.4615384615384</v>
      </c>
      <c r="EK54" s="18">
        <f>EJ54*VLOOKUP('Données projet'!$B$15,Paramètres!$A$1:$I$89,3,0)*VLOOKUP('Données projet'!$B$15,Paramètres!$A$1:$I$89,5,0)</f>
        <v>79.463999999999956</v>
      </c>
      <c r="EL54" s="14">
        <f t="shared" si="45"/>
        <v>22.006078110784518</v>
      </c>
      <c r="EM54" s="22">
        <f t="shared" si="19"/>
        <v>176.72705270961629</v>
      </c>
      <c r="EN54" s="60">
        <f t="shared" si="20"/>
        <v>432.51093311286309</v>
      </c>
      <c r="EO54" s="60">
        <f ca="1">AVERAGE(OFFSET($EN$3,0,0,'Données projet'!$E$15+1,1))-AVERAGE(OFFSET($H$3,0,0,'Données projet'!$E$15+1,1))</f>
        <v>239.52247785001794</v>
      </c>
      <c r="EP54" s="60">
        <f t="shared" si="46"/>
        <v>173.69760199651617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0.84113195327831802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0.84113195327831802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8">
        <f t="shared" si="1"/>
        <v>183.33333333333334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196.71600000000001</v>
      </c>
      <c r="P55" s="14">
        <f t="shared" si="33"/>
        <v>49.021749959730009</v>
      </c>
      <c r="Q55" s="22">
        <f t="shared" si="53"/>
        <v>427.99324784652981</v>
      </c>
      <c r="R55" s="60">
        <f t="shared" si="0"/>
        <v>684.42852731011317</v>
      </c>
      <c r="S55" s="60">
        <f ca="1">AVERAGE(OFFSET($R$3,0,0,'Données projet'!$E$9+1,1))-AVERAGE(OFFSET($H$3,0,0,'Données projet'!$E$9+1,1))</f>
        <v>516.54532596122067</v>
      </c>
      <c r="T55" s="60">
        <f t="shared" si="34"/>
        <v>273.35778700650792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4.2307692307692264</v>
      </c>
      <c r="AI55" s="14">
        <f>IF('Données projet'!$A$62&gt;35,AI54+AH55-AQ54,IF(A55&lt;'Données projet'!$A$62,$AF$205^A55,IF(A55='Données projet'!$A$62,'Données projet'!$B$62,AI54+AH55-AQ54)))</f>
        <v>123.20512820512826</v>
      </c>
      <c r="AJ55" s="14">
        <f>AI55*VLOOKUP('Données projet'!$B$10,Paramètres!$A$1:$I$89,3,0)*VLOOKUP('Données projet'!$B$10,Paramètres!$A$1:$I$89,5,0)</f>
        <v>117.24200000000005</v>
      </c>
      <c r="AK55" s="14">
        <f t="shared" si="35"/>
        <v>31.030873194113539</v>
      </c>
      <c r="AL55" s="22">
        <f t="shared" si="4"/>
        <v>258.24192081308109</v>
      </c>
      <c r="AM55" s="60">
        <f t="shared" si="5"/>
        <v>514.67720027666451</v>
      </c>
      <c r="AN55" s="60">
        <f ca="1">AVERAGE(OFFSET($AM$3,0,0,'Données projet'!$E$10+1,1))-AVERAGE(OFFSET($H$3,0,0,'Données projet'!$E$10+1,1))</f>
        <v>328.36544111680962</v>
      </c>
      <c r="AO55" s="60">
        <f t="shared" si="36"/>
        <v>226.85392900722772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170.59999999999997</v>
      </c>
      <c r="BE55" s="14">
        <f>BD55*VLOOKUP('Données projet'!$B$11,Paramètres!$A$1:$I$89,3,0)*VLOOKUP('Données projet'!$B$11,Paramètres!$A$1:$I$89,5,0)</f>
        <v>149.03616</v>
      </c>
      <c r="BF55" s="14">
        <f t="shared" si="37"/>
        <v>38.35946741279561</v>
      </c>
      <c r="BG55" s="22">
        <f t="shared" si="7"/>
        <v>326.38071774395229</v>
      </c>
      <c r="BH55" s="60">
        <f t="shared" si="8"/>
        <v>582.8159972075357</v>
      </c>
      <c r="BI55" s="60">
        <f ca="1">AVERAGE(OFFSET($BH$3,0,0,'Données projet'!$E$11+1,1))-AVERAGE(OFFSET($H$3,0,0,'Données projet'!$E$11+1,1))</f>
        <v>296.01124173332352</v>
      </c>
      <c r="BJ55" s="60">
        <f t="shared" si="38"/>
        <v>315.50730924873733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4.8</v>
      </c>
      <c r="BY55" s="13">
        <f>IF('Données projet'!$A$114&gt;35,BY54+BX55-CG54,IF(A55&lt;'Données projet'!$A$114,$BV$205^A55,IF(A55='Données projet'!$A$114,'Données projet'!$B$114,BY54+BX55-CG54)))</f>
        <v>127.59999999999995</v>
      </c>
      <c r="BZ55" s="14">
        <f>BY55*VLOOKUP('Données projet'!$B$12,Paramètres!$A$1:$I$89,3,0)*VLOOKUP('Données projet'!$B$12,Paramètres!$A$1:$I$89,5,0)</f>
        <v>83.603519999999975</v>
      </c>
      <c r="CA55" s="14">
        <f t="shared" si="39"/>
        <v>23.015991519299678</v>
      </c>
      <c r="CB55" s="22">
        <f t="shared" si="10"/>
        <v>185.69564922944687</v>
      </c>
      <c r="CC55" s="60">
        <f t="shared" si="11"/>
        <v>442.13092869303023</v>
      </c>
      <c r="CD55" s="60">
        <f ca="1">AVERAGE(OFFSET($CC$3,0,0,'Données projet'!$E$12+1,1))-AVERAGE(OFFSET($H$3,0,0,'Données projet'!$E$12+1,1))</f>
        <v>216.42026264996392</v>
      </c>
      <c r="CE55" s="60">
        <f t="shared" si="40"/>
        <v>216.4587454288401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5.6</v>
      </c>
      <c r="CT55" s="13">
        <f>IF('Données projet'!$A$140&gt;35,CT54+CS55-DB54,IF(A55&lt;'Données projet'!$A$140,$CQ$205^A55,IF(A55='Données projet'!$A$140,'Données projet'!$B$140,CT54+CS55-DB54)))</f>
        <v>132.19999999999996</v>
      </c>
      <c r="CU55" s="18">
        <f>CT55*VLOOKUP('Données projet'!$B$13,Paramètres!$A$1:$I$89,3,0)*VLOOKUP('Données projet'!$B$13,Paramètres!$A$1:$I$89,5,0)</f>
        <v>127.86383999999995</v>
      </c>
      <c r="CV55" s="14">
        <f t="shared" si="41"/>
        <v>33.502280509335172</v>
      </c>
      <c r="CW55" s="22">
        <f t="shared" si="13"/>
        <v>281.04599322042532</v>
      </c>
      <c r="CX55" s="60">
        <f t="shared" si="14"/>
        <v>537.48127268400867</v>
      </c>
      <c r="CY55" s="60">
        <f ca="1">AVERAGE(OFFSET($CX$3,0,0,'Données projet'!$E$13+1,1))-AVERAGE(OFFSET($H$3,0,0,'Données projet'!$E$13+1,1))</f>
        <v>385.5283976785621</v>
      </c>
      <c r="CZ55" s="60">
        <f t="shared" si="42"/>
        <v>173.19148969173838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194</v>
      </c>
      <c r="DP55" s="18">
        <f>DO55*VLOOKUP('Données projet'!$B$14,Paramètres!$A$1:$I$89,3,0)*VLOOKUP('Données projet'!$B$14,Paramètres!$A$1:$I$89,5,0)</f>
        <v>208.82159999999999</v>
      </c>
      <c r="DQ55" s="14">
        <f t="shared" si="43"/>
        <v>51.6779913750944</v>
      </c>
      <c r="DR55" s="22">
        <f t="shared" si="16"/>
        <v>453.70345497828936</v>
      </c>
      <c r="DS55" s="60">
        <f t="shared" si="17"/>
        <v>710.13873444187266</v>
      </c>
      <c r="DT55" s="60">
        <f ca="1">AVERAGE(OFFSET($DS$3,0,0,'Données projet'!$E$14+1,1))-AVERAGE(OFFSET($H$3,0,0,'Données projet'!$E$14+1,1))</f>
        <v>543.15812193567342</v>
      </c>
      <c r="DU55" s="60">
        <f t="shared" si="44"/>
        <v>286.40725588660575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4.3589743589743595</v>
      </c>
      <c r="EJ55" s="13">
        <f>IF('Données projet'!$A$192&gt;35,EJ54+EI55-ER54,IF(A55&lt;'Données projet'!$A$192,$EG$205^A55,IF(A55='Données projet'!$A$192,'Données projet'!$B$192,EJ54+EI55-ER54)))</f>
        <v>122.82051282051276</v>
      </c>
      <c r="EK55" s="18">
        <f>EJ55*VLOOKUP('Données projet'!$B$15,Paramètres!$A$1:$I$89,3,0)*VLOOKUP('Données projet'!$B$15,Paramètres!$A$1:$I$89,5,0)</f>
        <v>82.387999999999963</v>
      </c>
      <c r="EL55" s="14">
        <f t="shared" si="45"/>
        <v>22.720059281625826</v>
      </c>
      <c r="EM55" s="22">
        <f t="shared" si="19"/>
        <v>183.06320324883154</v>
      </c>
      <c r="EN55" s="60">
        <f t="shared" si="20"/>
        <v>439.4984827124149</v>
      </c>
      <c r="EO55" s="60">
        <f ca="1">AVERAGE(OFFSET($EN$3,0,0,'Données projet'!$E$15+1,1))-AVERAGE(OFFSET($H$3,0,0,'Données projet'!$E$15+1,1))</f>
        <v>239.52247785001794</v>
      </c>
      <c r="EP55" s="60">
        <f t="shared" si="46"/>
        <v>173.69760199651617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0.81813115578271545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0.81813115578271545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8">
        <f t="shared" si="1"/>
        <v>183.33333333333334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204.82800000000003</v>
      </c>
      <c r="P56" s="14">
        <f t="shared" si="33"/>
        <v>50.80373850176295</v>
      </c>
      <c r="Q56" s="22">
        <f t="shared" si="53"/>
        <v>445.22527789057045</v>
      </c>
      <c r="R56" s="60">
        <f t="shared" si="0"/>
        <v>702.30065609710368</v>
      </c>
      <c r="S56" s="60">
        <f ca="1">AVERAGE(OFFSET($R$3,0,0,'Données projet'!$E$9+1,1))-AVERAGE(OFFSET($H$3,0,0,'Données projet'!$E$9+1,1))</f>
        <v>516.54532596122067</v>
      </c>
      <c r="T56" s="60">
        <f t="shared" si="34"/>
        <v>273.35778700650792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4.2307692307692264</v>
      </c>
      <c r="AI56" s="14">
        <f>IF('Données projet'!$A$62&gt;35,AI55+AH56-AQ55,IF(A56&lt;'Données projet'!$A$62,$AF$205^A56,IF(A56='Données projet'!$A$62,'Données projet'!$B$62,AI55+AH56-AQ55)))</f>
        <v>127.43589743589749</v>
      </c>
      <c r="AJ56" s="14">
        <f>AI56*VLOOKUP('Données projet'!$B$10,Paramètres!$A$1:$I$89,3,0)*VLOOKUP('Données projet'!$B$10,Paramètres!$A$1:$I$89,5,0)</f>
        <v>121.26800000000006</v>
      </c>
      <c r="AK56" s="14">
        <f t="shared" si="35"/>
        <v>31.970558308100568</v>
      </c>
      <c r="AL56" s="22">
        <f t="shared" si="4"/>
        <v>266.89048905327525</v>
      </c>
      <c r="AM56" s="60">
        <f t="shared" si="5"/>
        <v>523.96586725980842</v>
      </c>
      <c r="AN56" s="60">
        <f ca="1">AVERAGE(OFFSET($AM$3,0,0,'Données projet'!$E$10+1,1))-AVERAGE(OFFSET($H$3,0,0,'Données projet'!$E$10+1,1))</f>
        <v>328.36544111680962</v>
      </c>
      <c r="AO56" s="60">
        <f t="shared" si="36"/>
        <v>226.85392900722772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175.39999999999998</v>
      </c>
      <c r="BE56" s="14">
        <f>BD56*VLOOKUP('Données projet'!$B$11,Paramètres!$A$1:$I$89,3,0)*VLOOKUP('Données projet'!$B$11,Paramètres!$A$1:$I$89,5,0)</f>
        <v>153.22943999999998</v>
      </c>
      <c r="BF56" s="14">
        <f t="shared" si="37"/>
        <v>39.311575138468363</v>
      </c>
      <c r="BG56" s="22">
        <f t="shared" si="7"/>
        <v>335.34226803283235</v>
      </c>
      <c r="BH56" s="60">
        <f t="shared" si="8"/>
        <v>592.41764623936558</v>
      </c>
      <c r="BI56" s="60">
        <f ca="1">AVERAGE(OFFSET($BH$3,0,0,'Données projet'!$E$11+1,1))-AVERAGE(OFFSET($H$3,0,0,'Données projet'!$E$11+1,1))</f>
        <v>296.01124173332352</v>
      </c>
      <c r="BJ56" s="60">
        <f t="shared" si="38"/>
        <v>315.50730924873733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4.8</v>
      </c>
      <c r="BY56" s="13">
        <f>IF('Données projet'!$A$114&gt;35,BY55+BX56-CG55,IF(A56&lt;'Données projet'!$A$114,$BV$205^A56,IF(A56='Données projet'!$A$114,'Données projet'!$B$114,BY55+BX56-CG55)))</f>
        <v>132.39999999999995</v>
      </c>
      <c r="BZ56" s="14">
        <f>BY56*VLOOKUP('Données projet'!$B$12,Paramètres!$A$1:$I$89,3,0)*VLOOKUP('Données projet'!$B$12,Paramètres!$A$1:$I$89,5,0)</f>
        <v>86.748479999999958</v>
      </c>
      <c r="CA56" s="14">
        <f t="shared" si="39"/>
        <v>23.779365191367926</v>
      </c>
      <c r="CB56" s="22">
        <f t="shared" si="10"/>
        <v>192.50266370829908</v>
      </c>
      <c r="CC56" s="60">
        <f t="shared" si="11"/>
        <v>449.57804191483228</v>
      </c>
      <c r="CD56" s="60">
        <f ca="1">AVERAGE(OFFSET($CC$3,0,0,'Données projet'!$E$12+1,1))-AVERAGE(OFFSET($H$3,0,0,'Données projet'!$E$12+1,1))</f>
        <v>216.42026264996392</v>
      </c>
      <c r="CE56" s="60">
        <f t="shared" si="40"/>
        <v>216.4587454288401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5.6</v>
      </c>
      <c r="CT56" s="13">
        <f>IF('Données projet'!$A$140&gt;35,CT55+CS56-DB55,IF(A56&lt;'Données projet'!$A$140,$CQ$205^A56,IF(A56='Données projet'!$A$140,'Données projet'!$B$140,CT55+CS56-DB55)))</f>
        <v>137.79999999999995</v>
      </c>
      <c r="CU56" s="18">
        <f>CT56*VLOOKUP('Données projet'!$B$13,Paramètres!$A$1:$I$89,3,0)*VLOOKUP('Données projet'!$B$13,Paramètres!$A$1:$I$89,5,0)</f>
        <v>133.28015999999994</v>
      </c>
      <c r="CV56" s="14">
        <f t="shared" si="41"/>
        <v>34.753205264839991</v>
      </c>
      <c r="CW56" s="22">
        <f t="shared" si="13"/>
        <v>292.65811116959617</v>
      </c>
      <c r="CX56" s="60">
        <f t="shared" si="14"/>
        <v>549.73348937612946</v>
      </c>
      <c r="CY56" s="60">
        <f ca="1">AVERAGE(OFFSET($CX$3,0,0,'Données projet'!$E$13+1,1))-AVERAGE(OFFSET($H$3,0,0,'Données projet'!$E$13+1,1))</f>
        <v>385.5283976785621</v>
      </c>
      <c r="CZ56" s="60">
        <f t="shared" si="42"/>
        <v>173.19148969173838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202</v>
      </c>
      <c r="DP56" s="18">
        <f>DO56*VLOOKUP('Données projet'!$B$14,Paramètres!$A$1:$I$89,3,0)*VLOOKUP('Données projet'!$B$14,Paramètres!$A$1:$I$89,5,0)</f>
        <v>217.43280000000001</v>
      </c>
      <c r="DQ56" s="14">
        <f t="shared" si="43"/>
        <v>53.556536889714792</v>
      </c>
      <c r="DR56" s="22">
        <f t="shared" si="16"/>
        <v>471.97309508291988</v>
      </c>
      <c r="DS56" s="60">
        <f t="shared" si="17"/>
        <v>729.04847328945311</v>
      </c>
      <c r="DT56" s="60">
        <f ca="1">AVERAGE(OFFSET($DS$3,0,0,'Données projet'!$E$14+1,1))-AVERAGE(OFFSET($H$3,0,0,'Données projet'!$E$14+1,1))</f>
        <v>543.15812193567342</v>
      </c>
      <c r="DU56" s="60">
        <f t="shared" si="44"/>
        <v>286.40725588660575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4.3589743589743595</v>
      </c>
      <c r="EJ56" s="13">
        <f>IF('Données projet'!$A$192&gt;35,EJ55+EI56-ER55,IF(A56&lt;'Données projet'!$A$192,$EG$205^A56,IF(A56='Données projet'!$A$192,'Données projet'!$B$192,EJ55+EI56-ER55)))</f>
        <v>127.17948717948713</v>
      </c>
      <c r="EK56" s="18">
        <f>EJ56*VLOOKUP('Données projet'!$B$15,Paramètres!$A$1:$I$89,3,0)*VLOOKUP('Données projet'!$B$15,Paramètres!$A$1:$I$89,5,0)</f>
        <v>85.311999999999969</v>
      </c>
      <c r="EL56" s="14">
        <f t="shared" si="45"/>
        <v>23.431096351389627</v>
      </c>
      <c r="EM56" s="22">
        <f t="shared" si="19"/>
        <v>189.39422614533689</v>
      </c>
      <c r="EN56" s="60">
        <f t="shared" si="20"/>
        <v>446.46960435187009</v>
      </c>
      <c r="EO56" s="60">
        <f ca="1">AVERAGE(OFFSET($EN$3,0,0,'Données projet'!$E$15+1,1))-AVERAGE(OFFSET($H$3,0,0,'Données projet'!$E$15+1,1))</f>
        <v>239.52247785001794</v>
      </c>
      <c r="EP56" s="60">
        <f t="shared" si="46"/>
        <v>173.69760199651617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0.7957593163041895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0.7957593163041895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8">
        <f t="shared" si="1"/>
        <v>183.33333333333334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212.94</v>
      </c>
      <c r="P57" s="14">
        <f t="shared" si="33"/>
        <v>52.577528895212865</v>
      </c>
      <c r="Q57" s="22">
        <f t="shared" si="53"/>
        <v>462.44302949249573</v>
      </c>
      <c r="R57" s="60">
        <f t="shared" si="0"/>
        <v>720.14740215983511</v>
      </c>
      <c r="S57" s="60">
        <f ca="1">AVERAGE(OFFSET($R$3,0,0,'Données projet'!$E$9+1,1))-AVERAGE(OFFSET($H$3,0,0,'Données projet'!$E$9+1,1))</f>
        <v>516.54532596122067</v>
      </c>
      <c r="T57" s="60">
        <f t="shared" si="34"/>
        <v>273.35778700650792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4.2307692307692264</v>
      </c>
      <c r="AI57" s="14">
        <f>IF('Données projet'!$A$62&gt;35,AI56+AH57-AQ56,IF(A57&lt;'Données projet'!$A$62,$AF$205^A57,IF(A57='Données projet'!$A$62,'Données projet'!$B$62,AI56+AH57-AQ56)))</f>
        <v>131.66666666666671</v>
      </c>
      <c r="AJ57" s="14">
        <f>AI57*VLOOKUP('Données projet'!$B$10,Paramètres!$A$1:$I$89,3,0)*VLOOKUP('Données projet'!$B$10,Paramètres!$A$1:$I$89,5,0)</f>
        <v>125.29400000000004</v>
      </c>
      <c r="AK57" s="14">
        <f t="shared" si="35"/>
        <v>32.906618419658002</v>
      </c>
      <c r="AL57" s="22">
        <f t="shared" si="4"/>
        <v>275.53274374757109</v>
      </c>
      <c r="AM57" s="60">
        <f t="shared" si="5"/>
        <v>533.23711641491036</v>
      </c>
      <c r="AN57" s="60">
        <f ca="1">AVERAGE(OFFSET($AM$3,0,0,'Données projet'!$E$10+1,1))-AVERAGE(OFFSET($H$3,0,0,'Données projet'!$E$10+1,1))</f>
        <v>328.36544111680962</v>
      </c>
      <c r="AO57" s="60">
        <f t="shared" si="36"/>
        <v>226.85392900722772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180.2</v>
      </c>
      <c r="BE57" s="14">
        <f>BD57*VLOOKUP('Données projet'!$B$11,Paramètres!$A$1:$I$89,3,0)*VLOOKUP('Données projet'!$B$11,Paramètres!$A$1:$I$89,5,0)</f>
        <v>157.42272000000003</v>
      </c>
      <c r="BF57" s="14">
        <f t="shared" si="37"/>
        <v>40.260654441499831</v>
      </c>
      <c r="BG57" s="22">
        <f t="shared" si="7"/>
        <v>344.29854381894557</v>
      </c>
      <c r="BH57" s="60">
        <f t="shared" si="8"/>
        <v>602.0029164862849</v>
      </c>
      <c r="BI57" s="60">
        <f ca="1">AVERAGE(OFFSET($BH$3,0,0,'Données projet'!$E$11+1,1))-AVERAGE(OFFSET($H$3,0,0,'Données projet'!$E$11+1,1))</f>
        <v>296.01124173332352</v>
      </c>
      <c r="BJ57" s="60">
        <f t="shared" si="38"/>
        <v>315.50730924873733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4.8</v>
      </c>
      <c r="BY57" s="13">
        <f>IF('Données projet'!$A$114&gt;35,BY56+BX57-CG56,IF(A57&lt;'Données projet'!$A$114,$BV$205^A57,IF(A57='Données projet'!$A$114,'Données projet'!$B$114,BY56+BX57-CG56)))</f>
        <v>137.19999999999996</v>
      </c>
      <c r="BZ57" s="14">
        <f>BY57*VLOOKUP('Données projet'!$B$12,Paramètres!$A$1:$I$89,3,0)*VLOOKUP('Données projet'!$B$12,Paramètres!$A$1:$I$89,5,0)</f>
        <v>89.89343999999997</v>
      </c>
      <c r="CA57" s="14">
        <f t="shared" si="39"/>
        <v>24.539523516152073</v>
      </c>
      <c r="CB57" s="22">
        <f t="shared" si="10"/>
        <v>199.30407812396481</v>
      </c>
      <c r="CC57" s="60">
        <f t="shared" si="11"/>
        <v>457.00845079130414</v>
      </c>
      <c r="CD57" s="60">
        <f ca="1">AVERAGE(OFFSET($CC$3,0,0,'Données projet'!$E$12+1,1))-AVERAGE(OFFSET($H$3,0,0,'Données projet'!$E$12+1,1))</f>
        <v>216.42026264996392</v>
      </c>
      <c r="CE57" s="60">
        <f t="shared" si="40"/>
        <v>216.4587454288401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5.6</v>
      </c>
      <c r="CT57" s="13">
        <f>IF('Données projet'!$A$140&gt;35,CT56+CS57-DB56,IF(A57&lt;'Données projet'!$A$140,$CQ$205^A57,IF(A57='Données projet'!$A$140,'Données projet'!$B$140,CT56+CS57-DB56)))</f>
        <v>143.39999999999995</v>
      </c>
      <c r="CU57" s="18">
        <f>CT57*VLOOKUP('Données projet'!$B$13,Paramètres!$A$1:$I$89,3,0)*VLOOKUP('Données projet'!$B$13,Paramètres!$A$1:$I$89,5,0)</f>
        <v>138.69647999999995</v>
      </c>
      <c r="CV57" s="14">
        <f t="shared" si="41"/>
        <v>35.998224985436444</v>
      </c>
      <c r="CW57" s="22">
        <f t="shared" si="13"/>
        <v>304.25994451630169</v>
      </c>
      <c r="CX57" s="60">
        <f t="shared" si="14"/>
        <v>561.96431718364101</v>
      </c>
      <c r="CY57" s="60">
        <f ca="1">AVERAGE(OFFSET($CX$3,0,0,'Données projet'!$E$13+1,1))-AVERAGE(OFFSET($H$3,0,0,'Données projet'!$E$13+1,1))</f>
        <v>385.5283976785621</v>
      </c>
      <c r="CZ57" s="60">
        <f t="shared" si="42"/>
        <v>173.19148969173838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210</v>
      </c>
      <c r="DP57" s="18">
        <f>DO57*VLOOKUP('Données projet'!$B$14,Paramètres!$A$1:$I$89,3,0)*VLOOKUP('Données projet'!$B$14,Paramètres!$A$1:$I$89,5,0)</f>
        <v>226.04399999999998</v>
      </c>
      <c r="DQ57" s="14">
        <f t="shared" si="43"/>
        <v>55.426440039423504</v>
      </c>
      <c r="DR57" s="22">
        <f t="shared" si="16"/>
        <v>490.22768306866254</v>
      </c>
      <c r="DS57" s="60">
        <f t="shared" si="17"/>
        <v>747.93205573600187</v>
      </c>
      <c r="DT57" s="60">
        <f ca="1">AVERAGE(OFFSET($DS$3,0,0,'Données projet'!$E$14+1,1))-AVERAGE(OFFSET($H$3,0,0,'Données projet'!$E$14+1,1))</f>
        <v>543.15812193567342</v>
      </c>
      <c r="DU57" s="60">
        <f t="shared" si="44"/>
        <v>286.40725588660575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4.3589743589743595</v>
      </c>
      <c r="EJ57" s="13">
        <f>IF('Données projet'!$A$192&gt;35,EJ56+EI57-ER56,IF(A57&lt;'Données projet'!$A$192,$EG$205^A57,IF(A57='Données projet'!$A$192,'Données projet'!$B$192,EJ56+EI57-ER56)))</f>
        <v>131.53846153846149</v>
      </c>
      <c r="EK57" s="18">
        <f>EJ57*VLOOKUP('Données projet'!$B$15,Paramètres!$A$1:$I$89,3,0)*VLOOKUP('Données projet'!$B$15,Paramètres!$A$1:$I$89,5,0)</f>
        <v>88.235999999999976</v>
      </c>
      <c r="EL57" s="14">
        <f t="shared" si="45"/>
        <v>24.139301792637397</v>
      </c>
      <c r="EM57" s="22">
        <f t="shared" si="19"/>
        <v>195.7203172888434</v>
      </c>
      <c r="EN57" s="60">
        <f t="shared" si="20"/>
        <v>453.42468995618276</v>
      </c>
      <c r="EO57" s="60">
        <f ca="1">AVERAGE(OFFSET($EN$3,0,0,'Données projet'!$E$15+1,1))-AVERAGE(OFFSET($H$3,0,0,'Données projet'!$E$15+1,1))</f>
        <v>239.52247785001794</v>
      </c>
      <c r="EP57" s="60">
        <f t="shared" si="46"/>
        <v>173.69760199651617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0.77399923595268771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0.77399923595268771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8">
        <f t="shared" si="1"/>
        <v>183.33333333333334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221.05200000000002</v>
      </c>
      <c r="P58" s="14">
        <f t="shared" si="33"/>
        <v>54.343469202939254</v>
      </c>
      <c r="Q58" s="22">
        <f t="shared" si="53"/>
        <v>479.64710886178597</v>
      </c>
      <c r="R58" s="60">
        <f t="shared" si="0"/>
        <v>737.9695643422574</v>
      </c>
      <c r="S58" s="60">
        <f ca="1">AVERAGE(OFFSET($R$3,0,0,'Données projet'!$E$9+1,1))-AVERAGE(OFFSET($H$3,0,0,'Données projet'!$E$9+1,1))</f>
        <v>516.54532596122067</v>
      </c>
      <c r="T58" s="60">
        <f t="shared" si="34"/>
        <v>273.35778700650792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135.89743589743588</v>
      </c>
      <c r="AG58" s="13">
        <f>VLOOKUP(A58,'Données projet'!$A$61:$I$81,9,0)</f>
        <v>4.2307692307692264</v>
      </c>
      <c r="AH58" s="13">
        <f t="array" ref="AH58">INDEX(AG:AG,MIN(IF(ISNUMBER(AG58:AG254),ROW(AG58:AG254),"")))</f>
        <v>4.2307692307692264</v>
      </c>
      <c r="AI58" s="14">
        <f>IF('Données projet'!$A$62&gt;35,AI57+AH58-AQ57,IF(A58&lt;'Données projet'!$A$62,$AF$205^A58,IF(A58='Données projet'!$A$62,'Données projet'!$B$62,AI57+AH58-AQ57)))</f>
        <v>135.89743589743594</v>
      </c>
      <c r="AJ58" s="14">
        <f>AI58*VLOOKUP('Données projet'!$B$10,Paramètres!$A$1:$I$89,3,0)*VLOOKUP('Données projet'!$B$10,Paramètres!$A$1:$I$89,5,0)</f>
        <v>129.32000000000005</v>
      </c>
      <c r="AK58" s="14">
        <f t="shared" si="35"/>
        <v>33.839183369661974</v>
      </c>
      <c r="AL58" s="22">
        <f t="shared" si="4"/>
        <v>284.16891103549472</v>
      </c>
      <c r="AM58" s="60">
        <f t="shared" si="5"/>
        <v>542.49136651596609</v>
      </c>
      <c r="AN58" s="60">
        <f ca="1">AVERAGE(OFFSET($AM$3,0,0,'Données projet'!$E$10+1,1))-AVERAGE(OFFSET($H$3,0,0,'Données projet'!$E$10+1,1))</f>
        <v>328.36544111680962</v>
      </c>
      <c r="AO58" s="60">
        <f t="shared" si="36"/>
        <v>226.85392900722772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185</v>
      </c>
      <c r="BB58" s="13">
        <f>VLOOKUP(A58,'Données projet'!$A$87:$I$107,9,0)</f>
        <v>4.8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185</v>
      </c>
      <c r="BE58" s="14">
        <f>BD58*VLOOKUP('Données projet'!$B$11,Paramètres!$A$1:$I$89,3,0)*VLOOKUP('Données projet'!$B$11,Paramètres!$A$1:$I$89,5,0)</f>
        <v>161.61600000000001</v>
      </c>
      <c r="BF58" s="14">
        <f t="shared" si="37"/>
        <v>41.20679526204917</v>
      </c>
      <c r="BG58" s="22">
        <f t="shared" si="7"/>
        <v>353.24970174806896</v>
      </c>
      <c r="BH58" s="60">
        <f t="shared" si="8"/>
        <v>611.57215722854039</v>
      </c>
      <c r="BI58" s="60">
        <f ca="1">AVERAGE(OFFSET($BH$3,0,0,'Données projet'!$E$11+1,1))-AVERAGE(OFFSET($H$3,0,0,'Données projet'!$E$11+1,1))</f>
        <v>296.01124173332352</v>
      </c>
      <c r="BJ58" s="60">
        <f t="shared" si="38"/>
        <v>315.50730924873733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142</v>
      </c>
      <c r="BW58" s="13">
        <f>VLOOKUP(A58,'Données projet'!$A$113:$I$133,9,0)</f>
        <v>4.8</v>
      </c>
      <c r="BX58" s="13">
        <f t="array" ref="BX58">INDEX(BW:BW,MIN(IF(ISNUMBER(BW58:BW254),ROW(BW58:BW254),"")))</f>
        <v>4.8</v>
      </c>
      <c r="BY58" s="13">
        <f>IF('Données projet'!$A$114&gt;35,BY57+BX58-CG57,IF(A58&lt;'Données projet'!$A$114,$BV$205^A58,IF(A58='Données projet'!$A$114,'Données projet'!$B$114,BY57+BX58-CG57)))</f>
        <v>141.99999999999997</v>
      </c>
      <c r="BZ58" s="14">
        <f>BY58*VLOOKUP('Données projet'!$B$12,Paramètres!$A$1:$I$89,3,0)*VLOOKUP('Données projet'!$B$12,Paramètres!$A$1:$I$89,5,0)</f>
        <v>93.038399999999982</v>
      </c>
      <c r="CA58" s="14">
        <f t="shared" si="39"/>
        <v>25.296591874437105</v>
      </c>
      <c r="CB58" s="22">
        <f t="shared" si="10"/>
        <v>206.10011084797793</v>
      </c>
      <c r="CC58" s="60">
        <f t="shared" si="11"/>
        <v>464.42256632844931</v>
      </c>
      <c r="CD58" s="60">
        <f ca="1">AVERAGE(OFFSET($CC$3,0,0,'Données projet'!$E$12+1,1))-AVERAGE(OFFSET($H$3,0,0,'Données projet'!$E$12+1,1))</f>
        <v>216.42026264996392</v>
      </c>
      <c r="CE58" s="60">
        <f t="shared" si="40"/>
        <v>216.4587454288401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149</v>
      </c>
      <c r="CR58" s="13">
        <f>VLOOKUP(A58,'Données projet'!$A$139:$I$159,9,0)</f>
        <v>5.6</v>
      </c>
      <c r="CS58" s="13">
        <f t="array" ref="CS58">INDEX(CR:CR,MIN(IF(ISNUMBER(CR58:CR254),ROW(CR58:CR254),"")))</f>
        <v>5.6</v>
      </c>
      <c r="CT58" s="13">
        <f>IF('Données projet'!$A$140&gt;35,CT57+CS58-DB57,IF(A58&lt;'Données projet'!$A$140,$CQ$205^A58,IF(A58='Données projet'!$A$140,'Données projet'!$B$140,CT57+CS58-DB57)))</f>
        <v>148.99999999999994</v>
      </c>
      <c r="CU58" s="18">
        <f>CT58*VLOOKUP('Données projet'!$B$13,Paramètres!$A$1:$I$89,3,0)*VLOOKUP('Données projet'!$B$13,Paramètres!$A$1:$I$89,5,0)</f>
        <v>144.11279999999996</v>
      </c>
      <c r="CV58" s="14">
        <f t="shared" si="41"/>
        <v>37.237596662992466</v>
      </c>
      <c r="CW58" s="22">
        <f t="shared" si="13"/>
        <v>315.85194085471181</v>
      </c>
      <c r="CX58" s="60">
        <f t="shared" si="14"/>
        <v>574.17439633518325</v>
      </c>
      <c r="CY58" s="60">
        <f ca="1">AVERAGE(OFFSET($CX$3,0,0,'Données projet'!$E$13+1,1))-AVERAGE(OFFSET($H$3,0,0,'Données projet'!$E$13+1,1))</f>
        <v>385.5283976785621</v>
      </c>
      <c r="CZ58" s="60">
        <f t="shared" si="42"/>
        <v>173.19148969173838</v>
      </c>
      <c r="DA58" s="16">
        <f>IF(ISNA(VLOOKUP(A58,'Données projet'!$A$139:$I$159,3,0)),0,VLOOKUP(A58,'Données projet'!$A$139:$I$159,3,0))</f>
        <v>3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218</v>
      </c>
      <c r="DP58" s="18">
        <f>DO58*VLOOKUP('Données projet'!$B$14,Paramètres!$A$1:$I$89,3,0)*VLOOKUP('Données projet'!$B$14,Paramètres!$A$1:$I$89,5,0)</f>
        <v>234.65519999999998</v>
      </c>
      <c r="DQ58" s="14">
        <f t="shared" si="43"/>
        <v>57.288067746850999</v>
      </c>
      <c r="DR58" s="22">
        <f t="shared" si="16"/>
        <v>508.46785799243213</v>
      </c>
      <c r="DS58" s="60">
        <f t="shared" si="17"/>
        <v>766.79031347290356</v>
      </c>
      <c r="DT58" s="60">
        <f ca="1">AVERAGE(OFFSET($DS$3,0,0,'Données projet'!$E$14+1,1))-AVERAGE(OFFSET($H$3,0,0,'Données projet'!$E$14+1,1))</f>
        <v>543.15812193567342</v>
      </c>
      <c r="DU58" s="60">
        <f t="shared" si="44"/>
        <v>286.40725588660575</v>
      </c>
      <c r="DV58" s="16">
        <f>IF(ISNA(VLOOKUP(A58,'Données projet'!$A$165:$I$185,3,0)),0,VLOOKUP(A58,'Données projet'!$A$165:$I$185,3,0))</f>
        <v>4</v>
      </c>
      <c r="DW58" s="16">
        <f>IF(ISNA(VLOOKUP(A58,'Données projet'!$A$165:$I$185,4,0)),0,VLOOKUP(A58,'Données projet'!$A$165:$I$185,4,0))</f>
        <v>42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135.89743589743588</v>
      </c>
      <c r="EH58" s="13">
        <f>VLOOKUP(A58,'Données projet'!$A$191:$I$211,9,0)</f>
        <v>4.3589743589743595</v>
      </c>
      <c r="EI58" s="13">
        <f t="array" ref="EI58">INDEX(EH:EH,MIN(IF(ISNUMBER(EH58:EH254),ROW(EH58:EH254),"")))</f>
        <v>4.3589743589743595</v>
      </c>
      <c r="EJ58" s="13">
        <f>IF('Données projet'!$A$192&gt;35,EJ57+EI58-ER57,IF(A58&lt;'Données projet'!$A$192,$EG$205^A58,IF(A58='Données projet'!$A$192,'Données projet'!$B$192,EJ57+EI58-ER57)))</f>
        <v>135.89743589743586</v>
      </c>
      <c r="EK58" s="18">
        <f>EJ58*VLOOKUP('Données projet'!$B$15,Paramètres!$A$1:$I$89,3,0)*VLOOKUP('Données projet'!$B$15,Paramètres!$A$1:$I$89,5,0)</f>
        <v>91.159999999999968</v>
      </c>
      <c r="EL58" s="14">
        <f t="shared" si="45"/>
        <v>24.844780200578068</v>
      </c>
      <c r="EM58" s="22">
        <f t="shared" si="19"/>
        <v>202.04165884934011</v>
      </c>
      <c r="EN58" s="60">
        <f t="shared" si="20"/>
        <v>460.36411432981151</v>
      </c>
      <c r="EO58" s="60">
        <f ca="1">AVERAGE(OFFSET($EN$3,0,0,'Données projet'!$E$15+1,1))-AVERAGE(OFFSET($H$3,0,0,'Données projet'!$E$15+1,1))</f>
        <v>239.52247785001794</v>
      </c>
      <c r="EP58" s="60">
        <f t="shared" si="46"/>
        <v>173.69760199651617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0.75283418614271069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0.75283418614271069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8">
        <f t="shared" si="1"/>
        <v>183.33333333333334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186.1704</v>
      </c>
      <c r="P59" s="14">
        <f t="shared" si="33"/>
        <v>46.692281933796018</v>
      </c>
      <c r="Q59" s="22">
        <f t="shared" si="53"/>
        <v>405.56917103469476</v>
      </c>
      <c r="R59" s="60">
        <f t="shared" si="0"/>
        <v>664.49898697331651</v>
      </c>
      <c r="S59" s="60">
        <f ca="1">AVERAGE(OFFSET($R$3,0,0,'Données projet'!$E$9+1,1))-AVERAGE(OFFSET($H$3,0,0,'Données projet'!$E$9+1,1))</f>
        <v>516.54532596122067</v>
      </c>
      <c r="T59" s="60">
        <f t="shared" si="34"/>
        <v>273.35778700650792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4.1025641025641049</v>
      </c>
      <c r="AI59" s="14">
        <f>IF('Données projet'!$A$62&gt;35,AI58+AH59-AQ58,IF(A59&lt;'Données projet'!$A$62,$AF$205^A59,IF(A59='Données projet'!$A$62,'Données projet'!$B$62,AI58+AH59-AQ58)))</f>
        <v>140.00000000000006</v>
      </c>
      <c r="AJ59" s="14">
        <f>AI59*VLOOKUP('Données projet'!$B$10,Paramètres!$A$1:$I$89,3,0)*VLOOKUP('Données projet'!$B$10,Paramètres!$A$1:$I$89,5,0)</f>
        <v>133.22400000000005</v>
      </c>
      <c r="AK59" s="14">
        <f t="shared" si="35"/>
        <v>34.740265606230643</v>
      </c>
      <c r="AL59" s="22">
        <f t="shared" si="4"/>
        <v>292.53776259751845</v>
      </c>
      <c r="AM59" s="60">
        <f t="shared" si="5"/>
        <v>551.46757853614019</v>
      </c>
      <c r="AN59" s="60">
        <f ca="1">AVERAGE(OFFSET($AM$3,0,0,'Données projet'!$E$10+1,1))-AVERAGE(OFFSET($H$3,0,0,'Données projet'!$E$10+1,1))</f>
        <v>328.36544111680962</v>
      </c>
      <c r="AO59" s="60">
        <f t="shared" si="36"/>
        <v>226.85392900722772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4.2</v>
      </c>
      <c r="BD59" s="13">
        <f>IF('Données projet'!$A$88&gt;35,BD58+BC59-BL58,IF(A59&lt;'Données projet'!$A$88,$BA$205^A59,IF(A59='Données projet'!$A$88,'Données projet'!$B$88,BD58+BC59-BL58)))</f>
        <v>189.2</v>
      </c>
      <c r="BE59" s="14">
        <f>BD59*VLOOKUP('Données projet'!$B$11,Paramètres!$A$1:$I$89,3,0)*VLOOKUP('Données projet'!$B$11,Paramètres!$A$1:$I$89,5,0)</f>
        <v>165.28512000000001</v>
      </c>
      <c r="BF59" s="14">
        <f t="shared" si="37"/>
        <v>42.032324946671778</v>
      </c>
      <c r="BG59" s="22">
        <f t="shared" si="7"/>
        <v>361.07788328212001</v>
      </c>
      <c r="BH59" s="60">
        <f t="shared" si="8"/>
        <v>620.00769922074176</v>
      </c>
      <c r="BI59" s="60">
        <f ca="1">AVERAGE(OFFSET($BH$3,0,0,'Données projet'!$E$11+1,1))-AVERAGE(OFFSET($H$3,0,0,'Données projet'!$E$11+1,1))</f>
        <v>296.01124173332352</v>
      </c>
      <c r="BJ59" s="60">
        <f t="shared" si="38"/>
        <v>315.50730924873733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4.5999999999999996</v>
      </c>
      <c r="BY59" s="13">
        <f>IF('Données projet'!$A$114&gt;35,BY58+BX59-CG58,IF(A59&lt;'Données projet'!$A$114,$BV$205^A59,IF(A59='Données projet'!$A$114,'Données projet'!$B$114,BY58+BX59-CG58)))</f>
        <v>146.59999999999997</v>
      </c>
      <c r="BZ59" s="14">
        <f>BY59*VLOOKUP('Données projet'!$B$12,Paramètres!$A$1:$I$89,3,0)*VLOOKUP('Données projet'!$B$12,Paramètres!$A$1:$I$89,5,0)</f>
        <v>96.05231999999998</v>
      </c>
      <c r="CA59" s="14">
        <f t="shared" si="39"/>
        <v>26.019324001860227</v>
      </c>
      <c r="CB59" s="22">
        <f t="shared" si="10"/>
        <v>212.60811330323986</v>
      </c>
      <c r="CC59" s="60">
        <f t="shared" si="11"/>
        <v>471.5379292418616</v>
      </c>
      <c r="CD59" s="60">
        <f ca="1">AVERAGE(OFFSET($CC$3,0,0,'Données projet'!$E$12+1,1))-AVERAGE(OFFSET($H$3,0,0,'Données projet'!$E$12+1,1))</f>
        <v>216.42026264996392</v>
      </c>
      <c r="CE59" s="60">
        <f t="shared" si="40"/>
        <v>216.4587454288401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5.4</v>
      </c>
      <c r="CT59" s="13">
        <f>IF('Données projet'!$A$140&gt;35,CT58+CS59-DB58,IF(A59&lt;'Données projet'!$A$140,$CQ$205^A59,IF(A59='Données projet'!$A$140,'Données projet'!$B$140,CT58+CS59-DB58)))</f>
        <v>126.39999999999995</v>
      </c>
      <c r="CU59" s="18">
        <f>CT59*VLOOKUP('Données projet'!$B$13,Paramètres!$A$1:$I$89,3,0)*VLOOKUP('Données projet'!$B$13,Paramètres!$A$1:$I$89,5,0)</f>
        <v>122.25407999999995</v>
      </c>
      <c r="CV59" s="14">
        <f t="shared" si="41"/>
        <v>32.20015567592624</v>
      </c>
      <c r="CW59" s="22">
        <f t="shared" si="13"/>
        <v>269.0077938022381</v>
      </c>
      <c r="CX59" s="60">
        <f t="shared" si="14"/>
        <v>527.9376097408599</v>
      </c>
      <c r="CY59" s="60">
        <f ca="1">AVERAGE(OFFSET($CX$3,0,0,'Données projet'!$E$13+1,1))-AVERAGE(OFFSET($H$3,0,0,'Données projet'!$E$13+1,1))</f>
        <v>385.5283976785621</v>
      </c>
      <c r="CZ59" s="60">
        <f t="shared" si="42"/>
        <v>173.19148969173838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183.6</v>
      </c>
      <c r="DP59" s="18">
        <f>DO59*VLOOKUP('Données projet'!$B$14,Paramètres!$A$1:$I$89,3,0)*VLOOKUP('Données projet'!$B$14,Paramètres!$A$1:$I$89,5,0)</f>
        <v>197.62703999999999</v>
      </c>
      <c r="DQ59" s="14">
        <f t="shared" si="43"/>
        <v>49.222301224260015</v>
      </c>
      <c r="DR59" s="22">
        <f t="shared" si="16"/>
        <v>429.92926929891951</v>
      </c>
      <c r="DS59" s="60">
        <f t="shared" si="17"/>
        <v>688.85908523754119</v>
      </c>
      <c r="DT59" s="60">
        <f ca="1">AVERAGE(OFFSET($DS$3,0,0,'Données projet'!$E$14+1,1))-AVERAGE(OFFSET($H$3,0,0,'Données projet'!$E$14+1,1))</f>
        <v>543.15812193567342</v>
      </c>
      <c r="DU59" s="60">
        <f t="shared" si="44"/>
        <v>286.40725588660575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3.974358974358978</v>
      </c>
      <c r="EJ59" s="13">
        <f>IF('Données projet'!$A$192&gt;35,EJ58+EI59-ER58,IF(A59&lt;'Données projet'!$A$192,$EG$205^A59,IF(A59='Données projet'!$A$192,'Données projet'!$B$192,EJ58+EI59-ER58)))</f>
        <v>139.87179487179483</v>
      </c>
      <c r="EK59" s="18">
        <f>EJ59*VLOOKUP('Données projet'!$B$15,Paramètres!$A$1:$I$89,3,0)*VLOOKUP('Données projet'!$B$15,Paramètres!$A$1:$I$89,5,0)</f>
        <v>93.825999999999979</v>
      </c>
      <c r="EL59" s="14">
        <f t="shared" si="45"/>
        <v>25.485716397269222</v>
      </c>
      <c r="EM59" s="22">
        <f t="shared" si="19"/>
        <v>207.80123939191051</v>
      </c>
      <c r="EN59" s="60">
        <f t="shared" si="20"/>
        <v>466.73105533053229</v>
      </c>
      <c r="EO59" s="60">
        <f ca="1">AVERAGE(OFFSET($EN$3,0,0,'Données projet'!$E$15+1,1))-AVERAGE(OFFSET($H$3,0,0,'Données projet'!$E$15+1,1))</f>
        <v>239.52247785001794</v>
      </c>
      <c r="EP59" s="60">
        <f t="shared" si="46"/>
        <v>173.69760199651617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0.73224789573280902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0.73224789573280902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8">
        <f t="shared" si="1"/>
        <v>183.33333333333334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193.8768</v>
      </c>
      <c r="P60" s="14">
        <f t="shared" si="33"/>
        <v>48.396048099527611</v>
      </c>
      <c r="Q60" s="22">
        <f t="shared" si="53"/>
        <v>421.95854377334393</v>
      </c>
      <c r="R60" s="60">
        <f t="shared" si="0"/>
        <v>681.48518382402165</v>
      </c>
      <c r="S60" s="60">
        <f ca="1">AVERAGE(OFFSET($R$3,0,0,'Données projet'!$E$9+1,1))-AVERAGE(OFFSET($H$3,0,0,'Données projet'!$E$9+1,1))</f>
        <v>516.54532596122067</v>
      </c>
      <c r="T60" s="60">
        <f t="shared" si="34"/>
        <v>273.35778700650792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4.1025641025641049</v>
      </c>
      <c r="AI60" s="14">
        <f>IF('Données projet'!$A$62&gt;35,AI59+AH60-AQ59,IF(A60&lt;'Données projet'!$A$62,$AF$205^A60,IF(A60='Données projet'!$A$62,'Données projet'!$B$62,AI59+AH60-AQ59)))</f>
        <v>144.10256410256417</v>
      </c>
      <c r="AJ60" s="14">
        <f>AI60*VLOOKUP('Données projet'!$B$10,Paramètres!$A$1:$I$89,3,0)*VLOOKUP('Données projet'!$B$10,Paramètres!$A$1:$I$89,5,0)</f>
        <v>137.12800000000007</v>
      </c>
      <c r="AK60" s="14">
        <f t="shared" si="35"/>
        <v>35.638279033136236</v>
      </c>
      <c r="AL60" s="22">
        <f t="shared" si="4"/>
        <v>300.90126931604573</v>
      </c>
      <c r="AM60" s="60">
        <f t="shared" si="5"/>
        <v>560.4279093667235</v>
      </c>
      <c r="AN60" s="60">
        <f ca="1">AVERAGE(OFFSET($AM$3,0,0,'Données projet'!$E$10+1,1))-AVERAGE(OFFSET($H$3,0,0,'Données projet'!$E$10+1,1))</f>
        <v>328.36544111680962</v>
      </c>
      <c r="AO60" s="60">
        <f t="shared" si="36"/>
        <v>226.85392900722772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4.2</v>
      </c>
      <c r="BD60" s="13">
        <f>IF('Données projet'!$A$88&gt;35,BD59+BC60-BL59,IF(A60&lt;'Données projet'!$A$88,$BA$205^A60,IF(A60='Données projet'!$A$88,'Données projet'!$B$88,BD59+BC60-BL59)))</f>
        <v>193.39999999999998</v>
      </c>
      <c r="BE60" s="14">
        <f>BD60*VLOOKUP('Données projet'!$B$11,Paramètres!$A$1:$I$89,3,0)*VLOOKUP('Données projet'!$B$11,Paramètres!$A$1:$I$89,5,0)</f>
        <v>168.95424</v>
      </c>
      <c r="BF60" s="14">
        <f t="shared" si="37"/>
        <v>42.855724087026708</v>
      </c>
      <c r="BG60" s="22">
        <f t="shared" si="7"/>
        <v>368.90235411823818</v>
      </c>
      <c r="BH60" s="60">
        <f t="shared" si="8"/>
        <v>628.42899416891589</v>
      </c>
      <c r="BI60" s="60">
        <f ca="1">AVERAGE(OFFSET($BH$3,0,0,'Données projet'!$E$11+1,1))-AVERAGE(OFFSET($H$3,0,0,'Données projet'!$E$11+1,1))</f>
        <v>296.01124173332352</v>
      </c>
      <c r="BJ60" s="60">
        <f t="shared" si="38"/>
        <v>315.50730924873733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4.5999999999999996</v>
      </c>
      <c r="BY60" s="13">
        <f>IF('Données projet'!$A$114&gt;35,BY59+BX60-CG59,IF(A60&lt;'Données projet'!$A$114,$BV$205^A60,IF(A60='Données projet'!$A$114,'Données projet'!$B$114,BY59+BX60-CG59)))</f>
        <v>151.19999999999996</v>
      </c>
      <c r="BZ60" s="14">
        <f>BY60*VLOOKUP('Données projet'!$B$12,Paramètres!$A$1:$I$89,3,0)*VLOOKUP('Données projet'!$B$12,Paramètres!$A$1:$I$89,5,0)</f>
        <v>99.066239999999979</v>
      </c>
      <c r="CA60" s="14">
        <f t="shared" si="39"/>
        <v>26.739420789378705</v>
      </c>
      <c r="CB60" s="22">
        <f t="shared" si="10"/>
        <v>219.11152587483454</v>
      </c>
      <c r="CC60" s="60">
        <f t="shared" si="11"/>
        <v>478.63816592551223</v>
      </c>
      <c r="CD60" s="60">
        <f ca="1">AVERAGE(OFFSET($CC$3,0,0,'Données projet'!$E$12+1,1))-AVERAGE(OFFSET($H$3,0,0,'Données projet'!$E$12+1,1))</f>
        <v>216.42026264996392</v>
      </c>
      <c r="CE60" s="60">
        <f t="shared" si="40"/>
        <v>216.4587454288401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5.4</v>
      </c>
      <c r="CT60" s="13">
        <f>IF('Données projet'!$A$140&gt;35,CT59+CS60-DB59,IF(A60&lt;'Données projet'!$A$140,$CQ$205^A60,IF(A60='Données projet'!$A$140,'Données projet'!$B$140,CT59+CS60-DB59)))</f>
        <v>131.79999999999995</v>
      </c>
      <c r="CU60" s="18">
        <f>CT60*VLOOKUP('Données projet'!$B$13,Paramètres!$A$1:$I$89,3,0)*VLOOKUP('Données projet'!$B$13,Paramètres!$A$1:$I$89,5,0)</f>
        <v>127.47695999999995</v>
      </c>
      <c r="CV60" s="14">
        <f t="shared" si="41"/>
        <v>33.412695535466739</v>
      </c>
      <c r="CW60" s="22">
        <f t="shared" si="13"/>
        <v>280.21615005760447</v>
      </c>
      <c r="CX60" s="60">
        <f t="shared" si="14"/>
        <v>539.74279010828218</v>
      </c>
      <c r="CY60" s="60">
        <f ca="1">AVERAGE(OFFSET($CX$3,0,0,'Données projet'!$E$13+1,1))-AVERAGE(OFFSET($H$3,0,0,'Données projet'!$E$13+1,1))</f>
        <v>385.5283976785621</v>
      </c>
      <c r="CZ60" s="60">
        <f t="shared" si="42"/>
        <v>173.19148969173838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191.2</v>
      </c>
      <c r="DP60" s="18">
        <f>DO60*VLOOKUP('Données projet'!$B$14,Paramètres!$A$1:$I$89,3,0)*VLOOKUP('Données projet'!$B$14,Paramètres!$A$1:$I$89,5,0)</f>
        <v>205.80767999999995</v>
      </c>
      <c r="DQ60" s="14">
        <f t="shared" si="43"/>
        <v>51.018385886479962</v>
      </c>
      <c r="DR60" s="22">
        <f t="shared" si="16"/>
        <v>447.30539808561917</v>
      </c>
      <c r="DS60" s="60">
        <f t="shared" si="17"/>
        <v>706.83203813629689</v>
      </c>
      <c r="DT60" s="60">
        <f ca="1">AVERAGE(OFFSET($DS$3,0,0,'Données projet'!$E$14+1,1))-AVERAGE(OFFSET($H$3,0,0,'Données projet'!$E$14+1,1))</f>
        <v>543.15812193567342</v>
      </c>
      <c r="DU60" s="60">
        <f t="shared" si="44"/>
        <v>286.40725588660575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3.974358974358978</v>
      </c>
      <c r="EJ60" s="13">
        <f>IF('Données projet'!$A$192&gt;35,EJ59+EI60-ER59,IF(A60&lt;'Données projet'!$A$192,$EG$205^A60,IF(A60='Données projet'!$A$192,'Données projet'!$B$192,EJ59+EI60-ER59)))</f>
        <v>143.84615384615381</v>
      </c>
      <c r="EK60" s="18">
        <f>EJ60*VLOOKUP('Données projet'!$B$15,Paramètres!$A$1:$I$89,3,0)*VLOOKUP('Données projet'!$B$15,Paramètres!$A$1:$I$89,5,0)</f>
        <v>96.491999999999976</v>
      </c>
      <c r="EL60" s="14">
        <f t="shared" si="45"/>
        <v>26.12453594675571</v>
      </c>
      <c r="EM60" s="22">
        <f t="shared" si="19"/>
        <v>213.5571334405995</v>
      </c>
      <c r="EN60" s="60">
        <f t="shared" si="20"/>
        <v>473.08377349127721</v>
      </c>
      <c r="EO60" s="60">
        <f ca="1">AVERAGE(OFFSET($EN$3,0,0,'Données projet'!$E$15+1,1))-AVERAGE(OFFSET($H$3,0,0,'Données projet'!$E$15+1,1))</f>
        <v>239.52247785001794</v>
      </c>
      <c r="EP60" s="60">
        <f t="shared" si="46"/>
        <v>173.69760199651617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0.71222453851675205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0.71222453851675205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8">
        <f t="shared" si="1"/>
        <v>183.33333333333334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201.58320000000001</v>
      </c>
      <c r="P61" s="14">
        <f t="shared" si="33"/>
        <v>50.091947337331924</v>
      </c>
      <c r="Q61" s="22">
        <f t="shared" si="53"/>
        <v>438.33421494585309</v>
      </c>
      <c r="R61" s="60">
        <f t="shared" si="0"/>
        <v>698.44732554454151</v>
      </c>
      <c r="S61" s="60">
        <f ca="1">AVERAGE(OFFSET($R$3,0,0,'Données projet'!$E$9+1,1))-AVERAGE(OFFSET($H$3,0,0,'Données projet'!$E$9+1,1))</f>
        <v>516.54532596122067</v>
      </c>
      <c r="T61" s="60">
        <f t="shared" si="34"/>
        <v>273.35778700650792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4.1025641025641049</v>
      </c>
      <c r="AI61" s="14">
        <f>IF('Données projet'!$A$62&gt;35,AI60+AH61-AQ60,IF(A61&lt;'Données projet'!$A$62,$AF$205^A61,IF(A61='Données projet'!$A$62,'Données projet'!$B$62,AI60+AH61-AQ60)))</f>
        <v>148.20512820512829</v>
      </c>
      <c r="AJ61" s="14">
        <f>AI61*VLOOKUP('Données projet'!$B$10,Paramètres!$A$1:$I$89,3,0)*VLOOKUP('Données projet'!$B$10,Paramètres!$A$1:$I$89,5,0)</f>
        <v>141.03200000000007</v>
      </c>
      <c r="AK61" s="14">
        <f t="shared" si="35"/>
        <v>36.533321053516296</v>
      </c>
      <c r="AL61" s="22">
        <f t="shared" si="4"/>
        <v>309.25960083487433</v>
      </c>
      <c r="AM61" s="60">
        <f t="shared" si="5"/>
        <v>569.3727114335627</v>
      </c>
      <c r="AN61" s="60">
        <f ca="1">AVERAGE(OFFSET($AM$3,0,0,'Données projet'!$E$10+1,1))-AVERAGE(OFFSET($H$3,0,0,'Données projet'!$E$10+1,1))</f>
        <v>328.36544111680962</v>
      </c>
      <c r="AO61" s="60">
        <f t="shared" si="36"/>
        <v>226.85392900722772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4.2</v>
      </c>
      <c r="BD61" s="13">
        <f>IF('Données projet'!$A$88&gt;35,BD60+BC61-BL60,IF(A61&lt;'Données projet'!$A$88,$BA$205^A61,IF(A61='Données projet'!$A$88,'Données projet'!$B$88,BD60+BC61-BL60)))</f>
        <v>197.59999999999997</v>
      </c>
      <c r="BE61" s="14">
        <f>BD61*VLOOKUP('Données projet'!$B$11,Paramètres!$A$1:$I$89,3,0)*VLOOKUP('Données projet'!$B$11,Paramètres!$A$1:$I$89,5,0)</f>
        <v>172.62335999999999</v>
      </c>
      <c r="BF61" s="14">
        <f t="shared" si="37"/>
        <v>43.67704427998607</v>
      </c>
      <c r="BG61" s="22">
        <f t="shared" si="7"/>
        <v>376.72320412097571</v>
      </c>
      <c r="BH61" s="60">
        <f t="shared" si="8"/>
        <v>636.83631471966419</v>
      </c>
      <c r="BI61" s="60">
        <f ca="1">AVERAGE(OFFSET($BH$3,0,0,'Données projet'!$E$11+1,1))-AVERAGE(OFFSET($H$3,0,0,'Données projet'!$E$11+1,1))</f>
        <v>296.01124173332352</v>
      </c>
      <c r="BJ61" s="60">
        <f t="shared" si="38"/>
        <v>315.50730924873733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4.5999999999999996</v>
      </c>
      <c r="BY61" s="13">
        <f>IF('Données projet'!$A$114&gt;35,BY60+BX61-CG60,IF(A61&lt;'Données projet'!$A$114,$BV$205^A61,IF(A61='Données projet'!$A$114,'Données projet'!$B$114,BY60+BX61-CG60)))</f>
        <v>155.79999999999995</v>
      </c>
      <c r="BZ61" s="14">
        <f>BY61*VLOOKUP('Données projet'!$B$12,Paramètres!$A$1:$I$89,3,0)*VLOOKUP('Données projet'!$B$12,Paramètres!$A$1:$I$89,5,0)</f>
        <v>102.08015999999996</v>
      </c>
      <c r="CA61" s="14">
        <f t="shared" si="39"/>
        <v>27.456971614793169</v>
      </c>
      <c r="CB61" s="22">
        <f t="shared" si="10"/>
        <v>225.61050422909804</v>
      </c>
      <c r="CC61" s="60">
        <f t="shared" si="11"/>
        <v>485.72361482778649</v>
      </c>
      <c r="CD61" s="60">
        <f ca="1">AVERAGE(OFFSET($CC$3,0,0,'Données projet'!$E$12+1,1))-AVERAGE(OFFSET($H$3,0,0,'Données projet'!$E$12+1,1))</f>
        <v>216.42026264996392</v>
      </c>
      <c r="CE61" s="60">
        <f t="shared" si="40"/>
        <v>216.4587454288401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5.4</v>
      </c>
      <c r="CT61" s="13">
        <f>IF('Données projet'!$A$140&gt;35,CT60+CS61-DB60,IF(A61&lt;'Données projet'!$A$140,$CQ$205^A61,IF(A61='Données projet'!$A$140,'Données projet'!$B$140,CT60+CS61-DB60)))</f>
        <v>137.19999999999996</v>
      </c>
      <c r="CU61" s="18">
        <f>CT61*VLOOKUP('Données projet'!$B$13,Paramètres!$A$1:$I$89,3,0)*VLOOKUP('Données projet'!$B$13,Paramètres!$A$1:$I$89,5,0)</f>
        <v>132.69983999999997</v>
      </c>
      <c r="CV61" s="14">
        <f t="shared" si="41"/>
        <v>34.619464800994599</v>
      </c>
      <c r="CW61" s="22">
        <f t="shared" si="13"/>
        <v>291.41445586173216</v>
      </c>
      <c r="CX61" s="60">
        <f t="shared" si="14"/>
        <v>551.52756646042053</v>
      </c>
      <c r="CY61" s="60">
        <f ca="1">AVERAGE(OFFSET($CX$3,0,0,'Données projet'!$E$13+1,1))-AVERAGE(OFFSET($H$3,0,0,'Données projet'!$E$13+1,1))</f>
        <v>385.5283976785621</v>
      </c>
      <c r="CZ61" s="60">
        <f t="shared" si="42"/>
        <v>173.19148969173838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198.79999999999998</v>
      </c>
      <c r="DP61" s="18">
        <f>DO61*VLOOKUP('Données projet'!$B$14,Paramètres!$A$1:$I$89,3,0)*VLOOKUP('Données projet'!$B$14,Paramètres!$A$1:$I$89,5,0)</f>
        <v>213.98831999999996</v>
      </c>
      <c r="DQ61" s="14">
        <f t="shared" si="43"/>
        <v>52.806177351620995</v>
      </c>
      <c r="DR61" s="22">
        <f t="shared" si="16"/>
        <v>464.66708288740648</v>
      </c>
      <c r="DS61" s="60">
        <f t="shared" si="17"/>
        <v>724.78019348609496</v>
      </c>
      <c r="DT61" s="60">
        <f ca="1">AVERAGE(OFFSET($DS$3,0,0,'Données projet'!$E$14+1,1))-AVERAGE(OFFSET($H$3,0,0,'Données projet'!$E$14+1,1))</f>
        <v>543.15812193567342</v>
      </c>
      <c r="DU61" s="60">
        <f t="shared" si="44"/>
        <v>286.40725588660575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3.974358974358978</v>
      </c>
      <c r="EJ61" s="13">
        <f>IF('Données projet'!$A$192&gt;35,EJ60+EI61-ER60,IF(A61&lt;'Données projet'!$A$192,$EG$205^A61,IF(A61='Données projet'!$A$192,'Données projet'!$B$192,EJ60+EI61-ER60)))</f>
        <v>147.82051282051279</v>
      </c>
      <c r="EK61" s="18">
        <f>EJ61*VLOOKUP('Données projet'!$B$15,Paramètres!$A$1:$I$89,3,0)*VLOOKUP('Données projet'!$B$15,Paramètres!$A$1:$I$89,5,0)</f>
        <v>99.157999999999987</v>
      </c>
      <c r="EL61" s="14">
        <f t="shared" si="45"/>
        <v>26.761304049535209</v>
      </c>
      <c r="EM61" s="22">
        <f t="shared" si="19"/>
        <v>219.30945455294045</v>
      </c>
      <c r="EN61" s="60">
        <f t="shared" si="20"/>
        <v>479.42256515162887</v>
      </c>
      <c r="EO61" s="60">
        <f ca="1">AVERAGE(OFFSET($EN$3,0,0,'Données projet'!$E$15+1,1))-AVERAGE(OFFSET($H$3,0,0,'Données projet'!$E$15+1,1))</f>
        <v>239.52247785001794</v>
      </c>
      <c r="EP61" s="60">
        <f t="shared" si="46"/>
        <v>173.69760199651617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0.69274872105675078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0.69274872105675078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8">
        <f t="shared" si="1"/>
        <v>183.33333333333334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209.28960000000001</v>
      </c>
      <c r="P62" s="14">
        <f t="shared" si="33"/>
        <v>51.780314822292169</v>
      </c>
      <c r="Q62" s="22">
        <f t="shared" si="53"/>
        <v>454.69676831549214</v>
      </c>
      <c r="R62" s="60">
        <f t="shared" si="0"/>
        <v>715.38617550933486</v>
      </c>
      <c r="S62" s="60">
        <f ca="1">AVERAGE(OFFSET($R$3,0,0,'Données projet'!$E$9+1,1))-AVERAGE(OFFSET($H$3,0,0,'Données projet'!$E$9+1,1))</f>
        <v>516.54532596122067</v>
      </c>
      <c r="T62" s="60">
        <f t="shared" si="34"/>
        <v>273.35778700650792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4.1025641025641049</v>
      </c>
      <c r="AI62" s="14">
        <f>IF('Données projet'!$A$62&gt;35,AI61+AH62-AQ61,IF(A62&lt;'Données projet'!$A$62,$AF$205^A62,IF(A62='Données projet'!$A$62,'Données projet'!$B$62,AI61+AH62-AQ61)))</f>
        <v>152.30769230769241</v>
      </c>
      <c r="AJ62" s="14">
        <f>AI62*VLOOKUP('Données projet'!$B$10,Paramètres!$A$1:$I$89,3,0)*VLOOKUP('Données projet'!$B$10,Paramètres!$A$1:$I$89,5,0)</f>
        <v>144.93600000000009</v>
      </c>
      <c r="AK62" s="14">
        <f t="shared" si="35"/>
        <v>37.425483371083182</v>
      </c>
      <c r="AL62" s="22">
        <f t="shared" si="4"/>
        <v>317.61291687130336</v>
      </c>
      <c r="AM62" s="60">
        <f t="shared" si="5"/>
        <v>578.30232406514619</v>
      </c>
      <c r="AN62" s="60">
        <f ca="1">AVERAGE(OFFSET($AM$3,0,0,'Données projet'!$E$10+1,1))-AVERAGE(OFFSET($H$3,0,0,'Données projet'!$E$10+1,1))</f>
        <v>328.36544111680962</v>
      </c>
      <c r="AO62" s="60">
        <f t="shared" si="36"/>
        <v>226.85392900722772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4.2</v>
      </c>
      <c r="BD62" s="13">
        <f>IF('Données projet'!$A$88&gt;35,BD61+BC62-BL61,IF(A62&lt;'Données projet'!$A$88,$BA$205^A62,IF(A62='Données projet'!$A$88,'Données projet'!$B$88,BD61+BC62-BL61)))</f>
        <v>201.79999999999995</v>
      </c>
      <c r="BE62" s="14">
        <f>BD62*VLOOKUP('Données projet'!$B$11,Paramètres!$A$1:$I$89,3,0)*VLOOKUP('Données projet'!$B$11,Paramètres!$A$1:$I$89,5,0)</f>
        <v>176.29247999999998</v>
      </c>
      <c r="BF62" s="14">
        <f t="shared" si="37"/>
        <v>44.496334803721894</v>
      </c>
      <c r="BG62" s="22">
        <f t="shared" si="7"/>
        <v>384.5405191164823</v>
      </c>
      <c r="BH62" s="60">
        <f t="shared" si="8"/>
        <v>645.22992631032503</v>
      </c>
      <c r="BI62" s="60">
        <f ca="1">AVERAGE(OFFSET($BH$3,0,0,'Données projet'!$E$11+1,1))-AVERAGE(OFFSET($H$3,0,0,'Données projet'!$E$11+1,1))</f>
        <v>296.01124173332352</v>
      </c>
      <c r="BJ62" s="60">
        <f t="shared" si="38"/>
        <v>315.50730924873733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4.5999999999999996</v>
      </c>
      <c r="BY62" s="13">
        <f>IF('Données projet'!$A$114&gt;35,BY61+BX62-CG61,IF(A62&lt;'Données projet'!$A$114,$BV$205^A62,IF(A62='Données projet'!$A$114,'Données projet'!$B$114,BY61+BX62-CG61)))</f>
        <v>160.39999999999995</v>
      </c>
      <c r="BZ62" s="14">
        <f>BY62*VLOOKUP('Données projet'!$B$12,Paramètres!$A$1:$I$89,3,0)*VLOOKUP('Données projet'!$B$12,Paramètres!$A$1:$I$89,5,0)</f>
        <v>105.09407999999998</v>
      </c>
      <c r="CA62" s="14">
        <f t="shared" si="39"/>
        <v>28.172060278105043</v>
      </c>
      <c r="CB62" s="22">
        <f t="shared" si="10"/>
        <v>232.10519431769956</v>
      </c>
      <c r="CC62" s="60">
        <f t="shared" si="11"/>
        <v>492.79460151154234</v>
      </c>
      <c r="CD62" s="60">
        <f ca="1">AVERAGE(OFFSET($CC$3,0,0,'Données projet'!$E$12+1,1))-AVERAGE(OFFSET($H$3,0,0,'Données projet'!$E$12+1,1))</f>
        <v>216.42026264996392</v>
      </c>
      <c r="CE62" s="60">
        <f t="shared" si="40"/>
        <v>216.4587454288401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5.4</v>
      </c>
      <c r="CT62" s="13">
        <f>IF('Données projet'!$A$140&gt;35,CT61+CS62-DB61,IF(A62&lt;'Données projet'!$A$140,$CQ$205^A62,IF(A62='Données projet'!$A$140,'Données projet'!$B$140,CT61+CS62-DB61)))</f>
        <v>142.59999999999997</v>
      </c>
      <c r="CU62" s="18">
        <f>CT62*VLOOKUP('Données projet'!$B$13,Paramètres!$A$1:$I$89,3,0)*VLOOKUP('Données projet'!$B$13,Paramètres!$A$1:$I$89,5,0)</f>
        <v>137.92271999999997</v>
      </c>
      <c r="CV62" s="14">
        <f t="shared" si="41"/>
        <v>35.82071658526872</v>
      </c>
      <c r="CW62" s="22">
        <f t="shared" si="13"/>
        <v>302.60315205267631</v>
      </c>
      <c r="CX62" s="60">
        <f t="shared" si="14"/>
        <v>563.29255924651909</v>
      </c>
      <c r="CY62" s="60">
        <f ca="1">AVERAGE(OFFSET($CX$3,0,0,'Données projet'!$E$13+1,1))-AVERAGE(OFFSET($H$3,0,0,'Données projet'!$E$13+1,1))</f>
        <v>385.5283976785621</v>
      </c>
      <c r="CZ62" s="60">
        <f t="shared" si="42"/>
        <v>173.19148969173838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206.39999999999998</v>
      </c>
      <c r="DP62" s="18">
        <f>DO62*VLOOKUP('Données projet'!$B$14,Paramètres!$A$1:$I$89,3,0)*VLOOKUP('Données projet'!$B$14,Paramètres!$A$1:$I$89,5,0)</f>
        <v>222.16895999999997</v>
      </c>
      <c r="DQ62" s="14">
        <f t="shared" si="43"/>
        <v>54.586028956213639</v>
      </c>
      <c r="DR62" s="22">
        <f t="shared" si="16"/>
        <v>482.01493909873869</v>
      </c>
      <c r="DS62" s="60">
        <f t="shared" si="17"/>
        <v>742.70434629258148</v>
      </c>
      <c r="DT62" s="60">
        <f ca="1">AVERAGE(OFFSET($DS$3,0,0,'Données projet'!$E$14+1,1))-AVERAGE(OFFSET($H$3,0,0,'Données projet'!$E$14+1,1))</f>
        <v>543.15812193567342</v>
      </c>
      <c r="DU62" s="60">
        <f t="shared" si="44"/>
        <v>286.40725588660575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3.974358974358978</v>
      </c>
      <c r="EJ62" s="13">
        <f>IF('Données projet'!$A$192&gt;35,EJ61+EI62-ER61,IF(A62&lt;'Données projet'!$A$192,$EG$205^A62,IF(A62='Données projet'!$A$192,'Données projet'!$B$192,EJ61+EI62-ER61)))</f>
        <v>151.79487179487177</v>
      </c>
      <c r="EK62" s="18">
        <f>EJ62*VLOOKUP('Données projet'!$B$15,Paramètres!$A$1:$I$89,3,0)*VLOOKUP('Données projet'!$B$15,Paramètres!$A$1:$I$89,5,0)</f>
        <v>101.82399999999997</v>
      </c>
      <c r="EL62" s="14">
        <f t="shared" si="45"/>
        <v>27.396082200495339</v>
      </c>
      <c r="EM62" s="22">
        <f t="shared" si="19"/>
        <v>225.05830983252932</v>
      </c>
      <c r="EN62" s="60">
        <f t="shared" si="20"/>
        <v>485.74771702637213</v>
      </c>
      <c r="EO62" s="60">
        <f ca="1">AVERAGE(OFFSET($EN$3,0,0,'Données projet'!$E$15+1,1))-AVERAGE(OFFSET($H$3,0,0,'Données projet'!$E$15+1,1))</f>
        <v>239.52247785001794</v>
      </c>
      <c r="EP62" s="60">
        <f t="shared" si="46"/>
        <v>173.69760199651617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0.67380547084938203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0.67380547084938203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8">
        <f t="shared" si="1"/>
        <v>183.33333333333334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216.99600000000001</v>
      </c>
      <c r="P63" s="14">
        <f t="shared" si="33"/>
        <v>53.461459647386917</v>
      </c>
      <c r="Q63" s="22">
        <f t="shared" si="53"/>
        <v>471.04674221919896</v>
      </c>
      <c r="R63" s="60">
        <f t="shared" si="0"/>
        <v>732.30244855067644</v>
      </c>
      <c r="S63" s="60">
        <f ca="1">AVERAGE(OFFSET($R$3,0,0,'Données projet'!$E$9+1,1))-AVERAGE(OFFSET($H$3,0,0,'Données projet'!$E$9+1,1))</f>
        <v>516.54532596122067</v>
      </c>
      <c r="T63" s="60">
        <f t="shared" si="34"/>
        <v>273.35778700650792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156.41025641025641</v>
      </c>
      <c r="AG63" s="13">
        <f>VLOOKUP(A63,'Données projet'!$A$61:$I$81,9,0)</f>
        <v>4.1025641025641049</v>
      </c>
      <c r="AH63" s="13">
        <f t="array" ref="AH63">INDEX(AG:AG,MIN(IF(ISNUMBER(AG63:AG259),ROW(AG63:AG259),"")))</f>
        <v>4.1025641025641049</v>
      </c>
      <c r="AI63" s="14">
        <f>IF('Données projet'!$A$62&gt;35,AI62+AH63-AQ62,IF(A63&lt;'Données projet'!$A$62,$AF$205^A63,IF(A63='Données projet'!$A$62,'Données projet'!$B$62,AI62+AH63-AQ62)))</f>
        <v>156.41025641025652</v>
      </c>
      <c r="AJ63" s="14">
        <f>AI63*VLOOKUP('Données projet'!$B$10,Paramètres!$A$1:$I$89,3,0)*VLOOKUP('Données projet'!$B$10,Paramètres!$A$1:$I$89,5,0)</f>
        <v>148.84000000000012</v>
      </c>
      <c r="AK63" s="14">
        <f t="shared" si="35"/>
        <v>38.31485246803809</v>
      </c>
      <c r="AL63" s="22">
        <f t="shared" si="4"/>
        <v>325.96136804849988</v>
      </c>
      <c r="AM63" s="60">
        <f t="shared" si="5"/>
        <v>587.21707437997736</v>
      </c>
      <c r="AN63" s="60">
        <f ca="1">AVERAGE(OFFSET($AM$3,0,0,'Données projet'!$E$10+1,1))-AVERAGE(OFFSET($H$3,0,0,'Données projet'!$E$10+1,1))</f>
        <v>328.36544111680962</v>
      </c>
      <c r="AO63" s="60">
        <f t="shared" si="36"/>
        <v>226.85392900722772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23.076923076923077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206</v>
      </c>
      <c r="BB63" s="13">
        <f>VLOOKUP(A63,'Données projet'!$A$87:$I$107,9,0)</f>
        <v>4.2</v>
      </c>
      <c r="BC63" s="13">
        <f t="array" ref="BC63">INDEX(BB:BB,MIN(IF(ISNUMBER(BB63:BB259),ROW(BB63:BB259),"")))</f>
        <v>4.2</v>
      </c>
      <c r="BD63" s="13">
        <f>IF('Données projet'!$A$88&gt;35,BD62+BC63-BL62,IF(A63&lt;'Données projet'!$A$88,$BA$205^A63,IF(A63='Données projet'!$A$88,'Données projet'!$B$88,BD62+BC63-BL62)))</f>
        <v>205.99999999999994</v>
      </c>
      <c r="BE63" s="14">
        <f>BD63*VLOOKUP('Données projet'!$B$11,Paramètres!$A$1:$I$89,3,0)*VLOOKUP('Données projet'!$B$11,Paramètres!$A$1:$I$89,5,0)</f>
        <v>179.96159999999998</v>
      </c>
      <c r="BF63" s="14">
        <f t="shared" si="37"/>
        <v>45.313642767960104</v>
      </c>
      <c r="BG63" s="22">
        <f t="shared" si="7"/>
        <v>392.35438115419714</v>
      </c>
      <c r="BH63" s="60">
        <f t="shared" si="8"/>
        <v>653.61008748567463</v>
      </c>
      <c r="BI63" s="60">
        <f ca="1">AVERAGE(OFFSET($BH$3,0,0,'Données projet'!$E$11+1,1))-AVERAGE(OFFSET($H$3,0,0,'Données projet'!$E$11+1,1))</f>
        <v>296.01124173332352</v>
      </c>
      <c r="BJ63" s="60">
        <f t="shared" si="38"/>
        <v>315.50730924873733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165</v>
      </c>
      <c r="BW63" s="13">
        <f>VLOOKUP(A63,'Données projet'!$A$113:$I$133,9,0)</f>
        <v>4.5999999999999996</v>
      </c>
      <c r="BX63" s="13">
        <f t="array" ref="BX63">INDEX(BW:BW,MIN(IF(ISNUMBER(BW63:BW259),ROW(BW63:BW259),"")))</f>
        <v>4.5999999999999996</v>
      </c>
      <c r="BY63" s="13">
        <f>IF('Données projet'!$A$114&gt;35,BY62+BX63-CG62,IF(A63&lt;'Données projet'!$A$114,$BV$205^A63,IF(A63='Données projet'!$A$114,'Données projet'!$B$114,BY62+BX63-CG62)))</f>
        <v>164.99999999999994</v>
      </c>
      <c r="BZ63" s="14">
        <f>BY63*VLOOKUP('Données projet'!$B$12,Paramètres!$A$1:$I$89,3,0)*VLOOKUP('Données projet'!$B$12,Paramètres!$A$1:$I$89,5,0)</f>
        <v>108.10799999999996</v>
      </c>
      <c r="CA63" s="14">
        <f t="shared" si="39"/>
        <v>28.884765499467136</v>
      </c>
      <c r="CB63" s="22">
        <f t="shared" si="10"/>
        <v>238.5957332449052</v>
      </c>
      <c r="CC63" s="60">
        <f t="shared" si="11"/>
        <v>499.85143957638269</v>
      </c>
      <c r="CD63" s="60">
        <f ca="1">AVERAGE(OFFSET($CC$3,0,0,'Données projet'!$E$12+1,1))-AVERAGE(OFFSET($H$3,0,0,'Données projet'!$E$12+1,1))</f>
        <v>216.42026264996392</v>
      </c>
      <c r="CE63" s="60">
        <f t="shared" si="40"/>
        <v>216.4587454288401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148</v>
      </c>
      <c r="CR63" s="13">
        <f>VLOOKUP(A63,'Données projet'!$A$139:$I$159,9,0)</f>
        <v>5.4</v>
      </c>
      <c r="CS63" s="13">
        <f t="array" ref="CS63">INDEX(CR:CR,MIN(IF(ISNUMBER(CR63:CR259),ROW(CR63:CR259),"")))</f>
        <v>5.4</v>
      </c>
      <c r="CT63" s="13">
        <f>IF('Données projet'!$A$140&gt;35,CT62+CS63-DB62,IF(A63&lt;'Données projet'!$A$140,$CQ$205^A63,IF(A63='Données projet'!$A$140,'Données projet'!$B$140,CT62+CS63-DB62)))</f>
        <v>147.99999999999997</v>
      </c>
      <c r="CU63" s="18">
        <f>CT63*VLOOKUP('Données projet'!$B$13,Paramètres!$A$1:$I$89,3,0)*VLOOKUP('Données projet'!$B$13,Paramètres!$A$1:$I$89,5,0)</f>
        <v>143.14559999999997</v>
      </c>
      <c r="CV63" s="14">
        <f t="shared" si="41"/>
        <v>37.01668374538415</v>
      </c>
      <c r="CW63" s="22">
        <f t="shared" si="13"/>
        <v>313.78264418987732</v>
      </c>
      <c r="CX63" s="60">
        <f t="shared" si="14"/>
        <v>575.0383505213548</v>
      </c>
      <c r="CY63" s="60">
        <f ca="1">AVERAGE(OFFSET($CX$3,0,0,'Données projet'!$E$13+1,1))-AVERAGE(OFFSET($H$3,0,0,'Données projet'!$E$13+1,1))</f>
        <v>385.5283976785621</v>
      </c>
      <c r="CZ63" s="60">
        <f t="shared" si="42"/>
        <v>173.19148969173838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213.99999999999997</v>
      </c>
      <c r="DP63" s="18">
        <f>DO63*VLOOKUP('Données projet'!$B$14,Paramètres!$A$1:$I$89,3,0)*VLOOKUP('Données projet'!$B$14,Paramètres!$A$1:$I$89,5,0)</f>
        <v>230.34959999999995</v>
      </c>
      <c r="DQ63" s="14">
        <f t="shared" si="43"/>
        <v>56.35826654142631</v>
      </c>
      <c r="DR63" s="22">
        <f t="shared" si="16"/>
        <v>499.34953422631742</v>
      </c>
      <c r="DS63" s="60">
        <f t="shared" si="17"/>
        <v>760.6052405577949</v>
      </c>
      <c r="DT63" s="60">
        <f ca="1">AVERAGE(OFFSET($DS$3,0,0,'Données projet'!$E$14+1,1))-AVERAGE(OFFSET($H$3,0,0,'Données projet'!$E$14+1,1))</f>
        <v>543.15812193567342</v>
      </c>
      <c r="DU63" s="60">
        <f t="shared" si="44"/>
        <v>286.40725588660575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155.76923076923077</v>
      </c>
      <c r="EH63" s="13">
        <f>VLOOKUP(A63,'Données projet'!$A$191:$I$211,9,0)</f>
        <v>3.974358974358978</v>
      </c>
      <c r="EI63" s="13">
        <f t="array" ref="EI63">INDEX(EH:EH,MIN(IF(ISNUMBER(EH63:EH259),ROW(EH63:EH259),"")))</f>
        <v>3.974358974358978</v>
      </c>
      <c r="EJ63" s="13">
        <f>IF('Données projet'!$A$192&gt;35,EJ62+EI63-ER62,IF(A63&lt;'Données projet'!$A$192,$EG$205^A63,IF(A63='Données projet'!$A$192,'Données projet'!$B$192,EJ62+EI63-ER62)))</f>
        <v>155.76923076923075</v>
      </c>
      <c r="EK63" s="18">
        <f>EJ63*VLOOKUP('Données projet'!$B$15,Paramètres!$A$1:$I$89,3,0)*VLOOKUP('Données projet'!$B$15,Paramètres!$A$1:$I$89,5,0)</f>
        <v>104.49</v>
      </c>
      <c r="EL63" s="14">
        <f t="shared" si="45"/>
        <v>28.028928490951767</v>
      </c>
      <c r="EM63" s="22">
        <f t="shared" si="19"/>
        <v>230.80380045507431</v>
      </c>
      <c r="EN63" s="60">
        <f t="shared" si="20"/>
        <v>492.05950678655176</v>
      </c>
      <c r="EO63" s="60">
        <f ca="1">AVERAGE(OFFSET($EN$3,0,0,'Données projet'!$E$15+1,1))-AVERAGE(OFFSET($H$3,0,0,'Données projet'!$E$15+1,1))</f>
        <v>239.52247785001794</v>
      </c>
      <c r="EP63" s="60">
        <f t="shared" si="46"/>
        <v>173.69760199651617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21.794871794871796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0.65538022481511593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0.65538022481511593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8">
        <f t="shared" si="1"/>
        <v>183.33333333333334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224.29679999999996</v>
      </c>
      <c r="P64" s="14">
        <f t="shared" si="33"/>
        <v>55.047720057866165</v>
      </c>
      <c r="Q64" s="22">
        <f t="shared" si="53"/>
        <v>486.52503910078349</v>
      </c>
      <c r="R64" s="60">
        <f t="shared" si="0"/>
        <v>748.33722054591283</v>
      </c>
      <c r="S64" s="60">
        <f ca="1">AVERAGE(OFFSET($R$3,0,0,'Données projet'!$E$9+1,1))-AVERAGE(OFFSET($H$3,0,0,'Données projet'!$E$9+1,1))</f>
        <v>516.54532596122067</v>
      </c>
      <c r="T64" s="60">
        <f t="shared" si="34"/>
        <v>273.35778700650792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3.8461538461538454</v>
      </c>
      <c r="AI64" s="14">
        <f>IF('Données projet'!$A$62&gt;35,AI63+AH64-AQ63,IF(A64&lt;'Données projet'!$A$62,$AF$205^A64,IF(A64='Données projet'!$A$62,'Données projet'!$B$62,AI63+AH64-AQ63)))</f>
        <v>137.1794871794873</v>
      </c>
      <c r="AJ64" s="14">
        <f>AI64*VLOOKUP('Données projet'!$B$10,Paramètres!$A$1:$I$89,3,0)*VLOOKUP('Données projet'!$B$10,Paramètres!$A$1:$I$89,5,0)</f>
        <v>130.54000000000011</v>
      </c>
      <c r="AK64" s="14">
        <f t="shared" si="35"/>
        <v>34.121107358490384</v>
      </c>
      <c r="AL64" s="22">
        <f t="shared" si="4"/>
        <v>286.78476198270425</v>
      </c>
      <c r="AM64" s="60">
        <f t="shared" si="5"/>
        <v>548.59694342783359</v>
      </c>
      <c r="AN64" s="60">
        <f ca="1">AVERAGE(OFFSET($AM$3,0,0,'Données projet'!$E$10+1,1))-AVERAGE(OFFSET($H$3,0,0,'Données projet'!$E$10+1,1))</f>
        <v>328.36544111680962</v>
      </c>
      <c r="AO64" s="60">
        <f t="shared" si="36"/>
        <v>226.85392900722772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3.2</v>
      </c>
      <c r="BD64" s="13">
        <f>IF('Données projet'!$A$88&gt;35,BD63+BC64-BL63,IF(A64&lt;'Données projet'!$A$88,$BA$205^A64,IF(A64='Données projet'!$A$88,'Données projet'!$B$88,BD63+BC64-BL63)))</f>
        <v>189.19999999999993</v>
      </c>
      <c r="BE64" s="14">
        <f>BD64*VLOOKUP('Données projet'!$B$11,Paramètres!$A$1:$I$89,3,0)*VLOOKUP('Données projet'!$B$11,Paramètres!$A$1:$I$89,5,0)</f>
        <v>165.28511999999995</v>
      </c>
      <c r="BF64" s="14">
        <f t="shared" si="37"/>
        <v>42.032324946671778</v>
      </c>
      <c r="BG64" s="22">
        <f t="shared" si="7"/>
        <v>361.07788328211996</v>
      </c>
      <c r="BH64" s="60">
        <f t="shared" si="8"/>
        <v>622.8900647272493</v>
      </c>
      <c r="BI64" s="60">
        <f ca="1">AVERAGE(OFFSET($BH$3,0,0,'Données projet'!$E$11+1,1))-AVERAGE(OFFSET($H$3,0,0,'Données projet'!$E$11+1,1))</f>
        <v>296.01124173332352</v>
      </c>
      <c r="BJ64" s="60">
        <f t="shared" si="38"/>
        <v>315.50730924873733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4.4000000000000004</v>
      </c>
      <c r="BY64" s="13">
        <f>IF('Données projet'!$A$114&gt;35,BY63+BX64-CG63,IF(A64&lt;'Données projet'!$A$114,$BV$205^A64,IF(A64='Données projet'!$A$114,'Données projet'!$B$114,BY63+BX64-CG63)))</f>
        <v>135.39999999999995</v>
      </c>
      <c r="BZ64" s="14">
        <f>BY64*VLOOKUP('Données projet'!$B$12,Paramètres!$A$1:$I$89,3,0)*VLOOKUP('Données projet'!$B$12,Paramètres!$A$1:$I$89,5,0)</f>
        <v>88.714079999999967</v>
      </c>
      <c r="CA64" s="14">
        <f t="shared" si="39"/>
        <v>24.254832778458091</v>
      </c>
      <c r="CB64" s="22">
        <f t="shared" si="10"/>
        <v>196.75418975581445</v>
      </c>
      <c r="CC64" s="60">
        <f t="shared" si="11"/>
        <v>458.56637120094376</v>
      </c>
      <c r="CD64" s="60">
        <f ca="1">AVERAGE(OFFSET($CC$3,0,0,'Données projet'!$E$12+1,1))-AVERAGE(OFFSET($H$3,0,0,'Données projet'!$E$12+1,1))</f>
        <v>216.42026264996392</v>
      </c>
      <c r="CE64" s="60">
        <f t="shared" si="40"/>
        <v>216.4587454288401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5.4</v>
      </c>
      <c r="CT64" s="13">
        <f>IF('Données projet'!$A$140&gt;35,CT63+CS64-DB63,IF(A64&lt;'Données projet'!$A$140,$CQ$205^A64,IF(A64='Données projet'!$A$140,'Données projet'!$B$140,CT63+CS64-DB63)))</f>
        <v>153.39999999999998</v>
      </c>
      <c r="CU64" s="18">
        <f>CT64*VLOOKUP('Données projet'!$B$13,Paramètres!$A$1:$I$89,3,0)*VLOOKUP('Données projet'!$B$13,Paramètres!$A$1:$I$89,5,0)</f>
        <v>148.36847999999998</v>
      </c>
      <c r="CV64" s="14">
        <f t="shared" si="41"/>
        <v>38.207581183185901</v>
      </c>
      <c r="CW64" s="22">
        <f t="shared" si="13"/>
        <v>324.95330656071542</v>
      </c>
      <c r="CX64" s="60">
        <f t="shared" si="14"/>
        <v>586.76548800584476</v>
      </c>
      <c r="CY64" s="60">
        <f ca="1">AVERAGE(OFFSET($CX$3,0,0,'Données projet'!$E$13+1,1))-AVERAGE(OFFSET($H$3,0,0,'Données projet'!$E$13+1,1))</f>
        <v>385.5283976785621</v>
      </c>
      <c r="CZ64" s="60">
        <f t="shared" si="42"/>
        <v>173.19148969173838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221.19999999999996</v>
      </c>
      <c r="DP64" s="18">
        <f>DO64*VLOOKUP('Données projet'!$B$14,Paramètres!$A$1:$I$89,3,0)*VLOOKUP('Données projet'!$B$14,Paramètres!$A$1:$I$89,5,0)</f>
        <v>238.09967999999995</v>
      </c>
      <c r="DQ64" s="14">
        <f t="shared" si="43"/>
        <v>58.030478404094161</v>
      </c>
      <c r="DR64" s="22">
        <f t="shared" si="16"/>
        <v>515.76002588713061</v>
      </c>
      <c r="DS64" s="60">
        <f t="shared" si="17"/>
        <v>777.57220733225995</v>
      </c>
      <c r="DT64" s="60">
        <f ca="1">AVERAGE(OFFSET($DS$3,0,0,'Données projet'!$E$14+1,1))-AVERAGE(OFFSET($H$3,0,0,'Données projet'!$E$14+1,1))</f>
        <v>543.15812193567342</v>
      </c>
      <c r="DU64" s="60">
        <f t="shared" si="44"/>
        <v>286.40725588660575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3.9743589743589722</v>
      </c>
      <c r="EJ64" s="13">
        <f>IF('Données projet'!$A$192&gt;35,EJ63+EI64-ER63,IF(A64&lt;'Données projet'!$A$192,$EG$205^A64,IF(A64='Données projet'!$A$192,'Données projet'!$B$192,EJ63+EI64-ER63)))</f>
        <v>137.94871794871793</v>
      </c>
      <c r="EK64" s="18">
        <f>EJ64*VLOOKUP('Données projet'!$B$15,Paramètres!$A$1:$I$89,3,0)*VLOOKUP('Données projet'!$B$15,Paramètres!$A$1:$I$89,5,0)</f>
        <v>92.535999999999987</v>
      </c>
      <c r="EL64" s="14">
        <f t="shared" si="45"/>
        <v>25.175854463014918</v>
      </c>
      <c r="EM64" s="22">
        <f t="shared" si="19"/>
        <v>205.01481318975095</v>
      </c>
      <c r="EN64" s="60">
        <f t="shared" si="20"/>
        <v>466.82699463488029</v>
      </c>
      <c r="EO64" s="60">
        <f ca="1">AVERAGE(OFFSET($EN$3,0,0,'Données projet'!$E$15+1,1))-AVERAGE(OFFSET($H$3,0,0,'Données projet'!$E$15+1,1))</f>
        <v>239.52247785001794</v>
      </c>
      <c r="EP64" s="60">
        <f t="shared" si="46"/>
        <v>173.69760199651617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0.63745881810259841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0.63745881810259841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8">
        <f t="shared" si="1"/>
        <v>183.33333333333334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231.59759999999997</v>
      </c>
      <c r="P65" s="14">
        <f t="shared" si="33"/>
        <v>56.627980714948151</v>
      </c>
      <c r="Q65" s="22">
        <f t="shared" si="53"/>
        <v>501.99288641186791</v>
      </c>
      <c r="R65" s="60">
        <f t="shared" si="0"/>
        <v>764.35188937151929</v>
      </c>
      <c r="S65" s="60">
        <f ca="1">AVERAGE(OFFSET($R$3,0,0,'Données projet'!$E$9+1,1))-AVERAGE(OFFSET($H$3,0,0,'Données projet'!$E$9+1,1))</f>
        <v>516.54532596122067</v>
      </c>
      <c r="T65" s="60">
        <f t="shared" si="34"/>
        <v>273.35778700650792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3.8461538461538454</v>
      </c>
      <c r="AI65" s="14">
        <f>IF('Données projet'!$A$62&gt;35,AI64+AH65-AQ64,IF(A65&lt;'Données projet'!$A$62,$AF$205^A65,IF(A65='Données projet'!$A$62,'Données projet'!$B$62,AI64+AH65-AQ64)))</f>
        <v>141.02564102564114</v>
      </c>
      <c r="AJ65" s="14">
        <f>AI65*VLOOKUP('Données projet'!$B$10,Paramètres!$A$1:$I$89,3,0)*VLOOKUP('Données projet'!$B$10,Paramètres!$A$1:$I$89,5,0)</f>
        <v>134.2000000000001</v>
      </c>
      <c r="AK65" s="14">
        <f t="shared" si="35"/>
        <v>34.965052756825415</v>
      </c>
      <c r="AL65" s="22">
        <f t="shared" si="4"/>
        <v>294.62913355147111</v>
      </c>
      <c r="AM65" s="60">
        <f t="shared" si="5"/>
        <v>556.98813651112243</v>
      </c>
      <c r="AN65" s="60">
        <f ca="1">AVERAGE(OFFSET($AM$3,0,0,'Données projet'!$E$10+1,1))-AVERAGE(OFFSET($H$3,0,0,'Données projet'!$E$10+1,1))</f>
        <v>328.36544111680962</v>
      </c>
      <c r="AO65" s="60">
        <f t="shared" si="36"/>
        <v>226.85392900722772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3.2</v>
      </c>
      <c r="BD65" s="13">
        <f>IF('Données projet'!$A$88&gt;35,BD64+BC65-BL64,IF(A65&lt;'Données projet'!$A$88,$BA$205^A65,IF(A65='Données projet'!$A$88,'Données projet'!$B$88,BD64+BC65-BL64)))</f>
        <v>192.39999999999992</v>
      </c>
      <c r="BE65" s="14">
        <f>BD65*VLOOKUP('Données projet'!$B$11,Paramètres!$A$1:$I$89,3,0)*VLOOKUP('Données projet'!$B$11,Paramètres!$A$1:$I$89,5,0)</f>
        <v>168.08063999999996</v>
      </c>
      <c r="BF65" s="14">
        <f t="shared" si="37"/>
        <v>42.659867131343425</v>
      </c>
      <c r="BG65" s="22">
        <f t="shared" si="7"/>
        <v>367.03971658708974</v>
      </c>
      <c r="BH65" s="60">
        <f t="shared" si="8"/>
        <v>629.39871954674106</v>
      </c>
      <c r="BI65" s="60">
        <f ca="1">AVERAGE(OFFSET($BH$3,0,0,'Données projet'!$E$11+1,1))-AVERAGE(OFFSET($H$3,0,0,'Données projet'!$E$11+1,1))</f>
        <v>296.01124173332352</v>
      </c>
      <c r="BJ65" s="60">
        <f t="shared" si="38"/>
        <v>315.50730924873733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4.4000000000000004</v>
      </c>
      <c r="BY65" s="13">
        <f>IF('Données projet'!$A$114&gt;35,BY64+BX65-CG64,IF(A65&lt;'Données projet'!$A$114,$BV$205^A65,IF(A65='Données projet'!$A$114,'Données projet'!$B$114,BY64+BX65-CG64)))</f>
        <v>139.79999999999995</v>
      </c>
      <c r="BZ65" s="14">
        <f>BY65*VLOOKUP('Données projet'!$B$12,Paramètres!$A$1:$I$89,3,0)*VLOOKUP('Données projet'!$B$12,Paramètres!$A$1:$I$89,5,0)</f>
        <v>91.596959999999967</v>
      </c>
      <c r="CA65" s="14">
        <f t="shared" si="39"/>
        <v>24.949978150202149</v>
      </c>
      <c r="CB65" s="22">
        <f t="shared" si="10"/>
        <v>202.98591727826872</v>
      </c>
      <c r="CC65" s="60">
        <f t="shared" si="11"/>
        <v>465.34492023792006</v>
      </c>
      <c r="CD65" s="60">
        <f ca="1">AVERAGE(OFFSET($CC$3,0,0,'Données projet'!$E$12+1,1))-AVERAGE(OFFSET($H$3,0,0,'Données projet'!$E$12+1,1))</f>
        <v>216.42026264996392</v>
      </c>
      <c r="CE65" s="60">
        <f t="shared" si="40"/>
        <v>216.4587454288401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5.4</v>
      </c>
      <c r="CT65" s="13">
        <f>IF('Données projet'!$A$140&gt;35,CT64+CS65-DB64,IF(A65&lt;'Données projet'!$A$140,$CQ$205^A65,IF(A65='Données projet'!$A$140,'Données projet'!$B$140,CT64+CS65-DB64)))</f>
        <v>158.79999999999998</v>
      </c>
      <c r="CU65" s="18">
        <f>CT65*VLOOKUP('Données projet'!$B$13,Paramètres!$A$1:$I$89,3,0)*VLOOKUP('Données projet'!$B$13,Paramètres!$A$1:$I$89,5,0)</f>
        <v>153.59135999999998</v>
      </c>
      <c r="CV65" s="14">
        <f t="shared" si="41"/>
        <v>39.393607812663873</v>
      </c>
      <c r="CW65" s="22">
        <f t="shared" si="13"/>
        <v>336.1154856070562</v>
      </c>
      <c r="CX65" s="60">
        <f t="shared" si="14"/>
        <v>598.47448856670758</v>
      </c>
      <c r="CY65" s="60">
        <f ca="1">AVERAGE(OFFSET($CX$3,0,0,'Données projet'!$E$13+1,1))-AVERAGE(OFFSET($H$3,0,0,'Données projet'!$E$13+1,1))</f>
        <v>385.5283976785621</v>
      </c>
      <c r="CZ65" s="60">
        <f t="shared" si="42"/>
        <v>173.19148969173838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228.39999999999995</v>
      </c>
      <c r="DP65" s="18">
        <f>DO65*VLOOKUP('Données projet'!$B$14,Paramètres!$A$1:$I$89,3,0)*VLOOKUP('Données projet'!$B$14,Paramètres!$A$1:$I$89,5,0)</f>
        <v>245.84975999999992</v>
      </c>
      <c r="DQ65" s="14">
        <f t="shared" si="43"/>
        <v>59.696365416984804</v>
      </c>
      <c r="DR65" s="22">
        <f t="shared" si="16"/>
        <v>532.15950176791512</v>
      </c>
      <c r="DS65" s="60">
        <f t="shared" si="17"/>
        <v>794.51850472756644</v>
      </c>
      <c r="DT65" s="60">
        <f ca="1">AVERAGE(OFFSET($DS$3,0,0,'Données projet'!$E$14+1,1))-AVERAGE(OFFSET($H$3,0,0,'Données projet'!$E$14+1,1))</f>
        <v>543.15812193567342</v>
      </c>
      <c r="DU65" s="60">
        <f t="shared" si="44"/>
        <v>286.40725588660575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3.9743589743589722</v>
      </c>
      <c r="EJ65" s="13">
        <f>IF('Données projet'!$A$192&gt;35,EJ64+EI65-ER64,IF(A65&lt;'Données projet'!$A$192,$EG$205^A65,IF(A65='Données projet'!$A$192,'Données projet'!$B$192,EJ64+EI65-ER64)))</f>
        <v>141.92307692307691</v>
      </c>
      <c r="EK65" s="18">
        <f>EJ65*VLOOKUP('Données projet'!$B$15,Paramètres!$A$1:$I$89,3,0)*VLOOKUP('Données projet'!$B$15,Paramètres!$A$1:$I$89,5,0)</f>
        <v>95.201999999999984</v>
      </c>
      <c r="EL65" s="14">
        <f t="shared" si="45"/>
        <v>25.815689813656931</v>
      </c>
      <c r="EM65" s="22">
        <f t="shared" si="19"/>
        <v>210.77247642545248</v>
      </c>
      <c r="EN65" s="60">
        <f t="shared" si="20"/>
        <v>473.13147938510383</v>
      </c>
      <c r="EO65" s="60">
        <f ca="1">AVERAGE(OFFSET($EN$3,0,0,'Données projet'!$E$15+1,1))-AVERAGE(OFFSET($H$3,0,0,'Données projet'!$E$15+1,1))</f>
        <v>239.52247785001794</v>
      </c>
      <c r="EP65" s="60">
        <f t="shared" si="46"/>
        <v>173.69760199651617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0.62002747319908058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0.62002747319908058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8">
        <f t="shared" si="1"/>
        <v>183.33333333333334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238.89839999999995</v>
      </c>
      <c r="P66" s="14">
        <f t="shared" si="33"/>
        <v>58.202452451868851</v>
      </c>
      <c r="Q66" s="22">
        <f t="shared" si="53"/>
        <v>517.45065135367156</v>
      </c>
      <c r="R66" s="60">
        <f t="shared" si="0"/>
        <v>780.34698969707767</v>
      </c>
      <c r="S66" s="60">
        <f ca="1">AVERAGE(OFFSET($R$3,0,0,'Données projet'!$E$9+1,1))-AVERAGE(OFFSET($H$3,0,0,'Données projet'!$E$9+1,1))</f>
        <v>516.54532596122067</v>
      </c>
      <c r="T66" s="60">
        <f t="shared" si="34"/>
        <v>273.35778700650792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3.8461538461538454</v>
      </c>
      <c r="AI66" s="14">
        <f>IF('Données projet'!$A$62&gt;35,AI65+AH66-AQ65,IF(A66&lt;'Données projet'!$A$62,$AF$205^A66,IF(A66='Données projet'!$A$62,'Données projet'!$B$62,AI65+AH66-AQ65)))</f>
        <v>144.87179487179498</v>
      </c>
      <c r="AJ66" s="14">
        <f>AI66*VLOOKUP('Données projet'!$B$10,Paramètres!$A$1:$I$89,3,0)*VLOOKUP('Données projet'!$B$10,Paramètres!$A$1:$I$89,5,0)</f>
        <v>137.8600000000001</v>
      </c>
      <c r="AK66" s="14">
        <f t="shared" si="35"/>
        <v>35.806322909716584</v>
      </c>
      <c r="AL66" s="22">
        <f t="shared" si="4"/>
        <v>302.46884573442321</v>
      </c>
      <c r="AM66" s="60">
        <f t="shared" si="5"/>
        <v>565.36518407782933</v>
      </c>
      <c r="AN66" s="60">
        <f ca="1">AVERAGE(OFFSET($AM$3,0,0,'Données projet'!$E$10+1,1))-AVERAGE(OFFSET($H$3,0,0,'Données projet'!$E$10+1,1))</f>
        <v>328.36544111680962</v>
      </c>
      <c r="AO66" s="60">
        <f t="shared" si="36"/>
        <v>226.85392900722772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3.2</v>
      </c>
      <c r="BD66" s="13">
        <f>IF('Données projet'!$A$88&gt;35,BD65+BC66-BL65,IF(A66&lt;'Données projet'!$A$88,$BA$205^A66,IF(A66='Données projet'!$A$88,'Données projet'!$B$88,BD65+BC66-BL65)))</f>
        <v>195.59999999999991</v>
      </c>
      <c r="BE66" s="14">
        <f>BD66*VLOOKUP('Données projet'!$B$11,Paramètres!$A$1:$I$89,3,0)*VLOOKUP('Données projet'!$B$11,Paramètres!$A$1:$I$89,5,0)</f>
        <v>170.87615999999994</v>
      </c>
      <c r="BF66" s="14">
        <f t="shared" si="37"/>
        <v>43.286195531301551</v>
      </c>
      <c r="BG66" s="22">
        <f t="shared" si="7"/>
        <v>372.99943588368342</v>
      </c>
      <c r="BH66" s="60">
        <f t="shared" si="8"/>
        <v>635.89577422708953</v>
      </c>
      <c r="BI66" s="60">
        <f ca="1">AVERAGE(OFFSET($BH$3,0,0,'Données projet'!$E$11+1,1))-AVERAGE(OFFSET($H$3,0,0,'Données projet'!$E$11+1,1))</f>
        <v>296.01124173332352</v>
      </c>
      <c r="BJ66" s="60">
        <f t="shared" si="38"/>
        <v>315.50730924873733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4.4000000000000004</v>
      </c>
      <c r="BY66" s="13">
        <f>IF('Données projet'!$A$114&gt;35,BY65+BX66-CG65,IF(A66&lt;'Données projet'!$A$114,$BV$205^A66,IF(A66='Données projet'!$A$114,'Données projet'!$B$114,BY65+BX66-CG65)))</f>
        <v>144.19999999999996</v>
      </c>
      <c r="BZ66" s="14">
        <f>BY66*VLOOKUP('Données projet'!$B$12,Paramètres!$A$1:$I$89,3,0)*VLOOKUP('Données projet'!$B$12,Paramètres!$A$1:$I$89,5,0)</f>
        <v>94.479839999999967</v>
      </c>
      <c r="CA66" s="14">
        <f t="shared" si="39"/>
        <v>25.642581059186206</v>
      </c>
      <c r="CB66" s="22">
        <f t="shared" si="10"/>
        <v>209.21321667808255</v>
      </c>
      <c r="CC66" s="60">
        <f t="shared" si="11"/>
        <v>472.10955502148863</v>
      </c>
      <c r="CD66" s="60">
        <f ca="1">AVERAGE(OFFSET($CC$3,0,0,'Données projet'!$E$12+1,1))-AVERAGE(OFFSET($H$3,0,0,'Données projet'!$E$12+1,1))</f>
        <v>216.42026264996392</v>
      </c>
      <c r="CE66" s="60">
        <f t="shared" si="40"/>
        <v>216.4587454288401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5.4</v>
      </c>
      <c r="CT66" s="13">
        <f>IF('Données projet'!$A$140&gt;35,CT65+CS66-DB65,IF(A66&lt;'Données projet'!$A$140,$CQ$205^A66,IF(A66='Données projet'!$A$140,'Données projet'!$B$140,CT65+CS66-DB65)))</f>
        <v>164.2</v>
      </c>
      <c r="CU66" s="18">
        <f>CT66*VLOOKUP('Données projet'!$B$13,Paramètres!$A$1:$I$89,3,0)*VLOOKUP('Données projet'!$B$13,Paramètres!$A$1:$I$89,5,0)</f>
        <v>158.81423999999998</v>
      </c>
      <c r="CV66" s="14">
        <f t="shared" si="41"/>
        <v>40.574948252224658</v>
      </c>
      <c r="CW66" s="22">
        <f t="shared" si="13"/>
        <v>347.26950287262457</v>
      </c>
      <c r="CX66" s="60">
        <f t="shared" si="14"/>
        <v>610.16584121603069</v>
      </c>
      <c r="CY66" s="60">
        <f ca="1">AVERAGE(OFFSET($CX$3,0,0,'Données projet'!$E$13+1,1))-AVERAGE(OFFSET($H$3,0,0,'Données projet'!$E$13+1,1))</f>
        <v>385.5283976785621</v>
      </c>
      <c r="CZ66" s="60">
        <f t="shared" si="42"/>
        <v>173.19148969173838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235.59999999999994</v>
      </c>
      <c r="DP66" s="18">
        <f>DO66*VLOOKUP('Données projet'!$B$14,Paramètres!$A$1:$I$89,3,0)*VLOOKUP('Données projet'!$B$14,Paramètres!$A$1:$I$89,5,0)</f>
        <v>253.59983999999992</v>
      </c>
      <c r="DQ66" s="14">
        <f t="shared" si="43"/>
        <v>61.356149837323883</v>
      </c>
      <c r="DR66" s="22">
        <f t="shared" si="16"/>
        <v>548.54834896667228</v>
      </c>
      <c r="DS66" s="60">
        <f t="shared" si="17"/>
        <v>811.44468731007839</v>
      </c>
      <c r="DT66" s="60">
        <f ca="1">AVERAGE(OFFSET($DS$3,0,0,'Données projet'!$E$14+1,1))-AVERAGE(OFFSET($H$3,0,0,'Données projet'!$E$14+1,1))</f>
        <v>543.15812193567342</v>
      </c>
      <c r="DU66" s="60">
        <f t="shared" si="44"/>
        <v>286.40725588660575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3.9743589743589722</v>
      </c>
      <c r="EJ66" s="13">
        <f>IF('Données projet'!$A$192&gt;35,EJ65+EI66-ER65,IF(A66&lt;'Données projet'!$A$192,$EG$205^A66,IF(A66='Données projet'!$A$192,'Données projet'!$B$192,EJ65+EI66-ER65)))</f>
        <v>145.89743589743588</v>
      </c>
      <c r="EK66" s="18">
        <f>EJ66*VLOOKUP('Données projet'!$B$15,Paramètres!$A$1:$I$89,3,0)*VLOOKUP('Données projet'!$B$15,Paramètres!$A$1:$I$89,5,0)</f>
        <v>97.867999999999995</v>
      </c>
      <c r="EL66" s="14">
        <f t="shared" si="45"/>
        <v>26.453442651675342</v>
      </c>
      <c r="EM66" s="22">
        <f t="shared" si="19"/>
        <v>216.52651261833455</v>
      </c>
      <c r="EN66" s="60">
        <f t="shared" si="20"/>
        <v>479.42285096174066</v>
      </c>
      <c r="EO66" s="60">
        <f ca="1">AVERAGE(OFFSET($EN$3,0,0,'Données projet'!$E$15+1,1))-AVERAGE(OFFSET($H$3,0,0,'Données projet'!$E$15+1,1))</f>
        <v>239.52247785001794</v>
      </c>
      <c r="EP66" s="60">
        <f t="shared" si="46"/>
        <v>173.69760199651617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0.60307278933862396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0.60307278933862396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8">
        <f t="shared" si="1"/>
        <v>183.33333333333334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246.19919999999996</v>
      </c>
      <c r="P67" s="14">
        <f t="shared" si="33"/>
        <v>59.77133248344078</v>
      </c>
      <c r="Q67" s="22">
        <f t="shared" ref="Q67:Q98" si="54">(O67+P67)*0.475*44/12</f>
        <v>532.8986774086593</v>
      </c>
      <c r="R67" s="60">
        <f t="shared" ref="R67:R130" si="55">Q67+(I67+J67)*44/12</f>
        <v>796.323029568214</v>
      </c>
      <c r="S67" s="60">
        <f ca="1">AVERAGE(OFFSET($R$3,0,0,'Données projet'!$E$9+1,1))-AVERAGE(OFFSET($H$3,0,0,'Données projet'!$E$9+1,1))</f>
        <v>516.54532596122067</v>
      </c>
      <c r="T67" s="60">
        <f t="shared" si="34"/>
        <v>273.35778700650792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3.8461538461538454</v>
      </c>
      <c r="AI67" s="14">
        <f>IF('Données projet'!$A$62&gt;35,AI66+AH67-AQ66,IF(A67&lt;'Données projet'!$A$62,$AF$205^A67,IF(A67='Données projet'!$A$62,'Données projet'!$B$62,AI66+AH67-AQ66)))</f>
        <v>148.71794871794881</v>
      </c>
      <c r="AJ67" s="14">
        <f>AI67*VLOOKUP('Données projet'!$B$10,Paramètres!$A$1:$I$89,3,0)*VLOOKUP('Données projet'!$B$10,Paramètres!$A$1:$I$89,5,0)</f>
        <v>141.5200000000001</v>
      </c>
      <c r="AK67" s="14">
        <f t="shared" si="35"/>
        <v>36.644997005040857</v>
      </c>
      <c r="AL67" s="22">
        <f t="shared" si="4"/>
        <v>310.30403645044635</v>
      </c>
      <c r="AM67" s="60">
        <f t="shared" si="5"/>
        <v>573.72838861000105</v>
      </c>
      <c r="AN67" s="60">
        <f ca="1">AVERAGE(OFFSET($AM$3,0,0,'Données projet'!$E$10+1,1))-AVERAGE(OFFSET($H$3,0,0,'Données projet'!$E$10+1,1))</f>
        <v>328.36544111680962</v>
      </c>
      <c r="AO67" s="60">
        <f t="shared" si="36"/>
        <v>226.85392900722772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3.2</v>
      </c>
      <c r="BD67" s="13">
        <f>IF('Données projet'!$A$88&gt;35,BD66+BC67-BL66,IF(A67&lt;'Données projet'!$A$88,$BA$205^A67,IF(A67='Données projet'!$A$88,'Données projet'!$B$88,BD66+BC67-BL66)))</f>
        <v>198.7999999999999</v>
      </c>
      <c r="BE67" s="14">
        <f>BD67*VLOOKUP('Données projet'!$B$11,Paramètres!$A$1:$I$89,3,0)*VLOOKUP('Données projet'!$B$11,Paramètres!$A$1:$I$89,5,0)</f>
        <v>173.67167999999995</v>
      </c>
      <c r="BF67" s="14">
        <f t="shared" si="37"/>
        <v>43.911332296264369</v>
      </c>
      <c r="BG67" s="22">
        <f t="shared" si="7"/>
        <v>378.95707974932702</v>
      </c>
      <c r="BH67" s="60">
        <f t="shared" si="8"/>
        <v>642.38143190888172</v>
      </c>
      <c r="BI67" s="60">
        <f ca="1">AVERAGE(OFFSET($BH$3,0,0,'Données projet'!$E$11+1,1))-AVERAGE(OFFSET($H$3,0,0,'Données projet'!$E$11+1,1))</f>
        <v>296.01124173332352</v>
      </c>
      <c r="BJ67" s="60">
        <f t="shared" si="38"/>
        <v>315.50730924873733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4.4000000000000004</v>
      </c>
      <c r="BY67" s="13">
        <f>IF('Données projet'!$A$114&gt;35,BY66+BX67-CG66,IF(A67&lt;'Données projet'!$A$114,$BV$205^A67,IF(A67='Données projet'!$A$114,'Données projet'!$B$114,BY66+BX67-CG66)))</f>
        <v>148.59999999999997</v>
      </c>
      <c r="BZ67" s="14">
        <f>BY67*VLOOKUP('Données projet'!$B$12,Paramètres!$A$1:$I$89,3,0)*VLOOKUP('Données projet'!$B$12,Paramètres!$A$1:$I$89,5,0)</f>
        <v>97.362719999999982</v>
      </c>
      <c r="CA67" s="14">
        <f t="shared" si="39"/>
        <v>26.332727987771989</v>
      </c>
      <c r="CB67" s="22">
        <f t="shared" si="10"/>
        <v>215.43623857870284</v>
      </c>
      <c r="CC67" s="60">
        <f t="shared" si="11"/>
        <v>478.8605907382576</v>
      </c>
      <c r="CD67" s="60">
        <f ca="1">AVERAGE(OFFSET($CC$3,0,0,'Données projet'!$E$12+1,1))-AVERAGE(OFFSET($H$3,0,0,'Données projet'!$E$12+1,1))</f>
        <v>216.42026264996392</v>
      </c>
      <c r="CE67" s="60">
        <f t="shared" si="40"/>
        <v>216.4587454288401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5.4</v>
      </c>
      <c r="CT67" s="13">
        <f>IF('Données projet'!$A$140&gt;35,CT66+CS67-DB66,IF(A67&lt;'Données projet'!$A$140,$CQ$205^A67,IF(A67='Données projet'!$A$140,'Données projet'!$B$140,CT66+CS67-DB66)))</f>
        <v>169.6</v>
      </c>
      <c r="CU67" s="18">
        <f>CT67*VLOOKUP('Données projet'!$B$13,Paramètres!$A$1:$I$89,3,0)*VLOOKUP('Données projet'!$B$13,Paramètres!$A$1:$I$89,5,0)</f>
        <v>164.03712000000002</v>
      </c>
      <c r="CV67" s="14">
        <f t="shared" si="41"/>
        <v>41.75177428809652</v>
      </c>
      <c r="CW67" s="22">
        <f t="shared" si="13"/>
        <v>358.41565755176816</v>
      </c>
      <c r="CX67" s="60">
        <f t="shared" si="14"/>
        <v>621.84000971132286</v>
      </c>
      <c r="CY67" s="60">
        <f ca="1">AVERAGE(OFFSET($CX$3,0,0,'Données projet'!$E$13+1,1))-AVERAGE(OFFSET($H$3,0,0,'Données projet'!$E$13+1,1))</f>
        <v>385.5283976785621</v>
      </c>
      <c r="CZ67" s="60">
        <f t="shared" si="42"/>
        <v>173.19148969173838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242.79999999999993</v>
      </c>
      <c r="DP67" s="18">
        <f>DO67*VLOOKUP('Données projet'!$B$14,Paramètres!$A$1:$I$89,3,0)*VLOOKUP('Données projet'!$B$14,Paramètres!$A$1:$I$89,5,0)</f>
        <v>261.34991999999988</v>
      </c>
      <c r="DQ67" s="14">
        <f t="shared" si="43"/>
        <v>63.010039566000117</v>
      </c>
      <c r="DR67" s="22">
        <f t="shared" si="16"/>
        <v>564.92692957744998</v>
      </c>
      <c r="DS67" s="60">
        <f t="shared" si="17"/>
        <v>828.35128173700468</v>
      </c>
      <c r="DT67" s="60">
        <f ca="1">AVERAGE(OFFSET($DS$3,0,0,'Données projet'!$E$14+1,1))-AVERAGE(OFFSET($H$3,0,0,'Données projet'!$E$14+1,1))</f>
        <v>543.15812193567342</v>
      </c>
      <c r="DU67" s="60">
        <f t="shared" si="44"/>
        <v>286.40725588660575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3.9743589743589722</v>
      </c>
      <c r="EJ67" s="13">
        <f>IF('Données projet'!$A$192&gt;35,EJ66+EI67-ER66,IF(A67&lt;'Données projet'!$A$192,$EG$205^A67,IF(A67='Données projet'!$A$192,'Données projet'!$B$192,EJ66+EI67-ER66)))</f>
        <v>149.87179487179486</v>
      </c>
      <c r="EK67" s="18">
        <f>EJ67*VLOOKUP('Données projet'!$B$15,Paramètres!$A$1:$I$89,3,0)*VLOOKUP('Données projet'!$B$15,Paramètres!$A$1:$I$89,5,0)</f>
        <v>100.53399999999999</v>
      </c>
      <c r="EL67" s="14">
        <f t="shared" si="45"/>
        <v>27.089176225149</v>
      </c>
      <c r="EM67" s="22">
        <f t="shared" si="19"/>
        <v>222.27703192546781</v>
      </c>
      <c r="EN67" s="60">
        <f t="shared" si="20"/>
        <v>485.7013840850226</v>
      </c>
      <c r="EO67" s="60">
        <f ca="1">AVERAGE(OFFSET($EN$3,0,0,'Données projet'!$E$15+1,1))-AVERAGE(OFFSET($H$3,0,0,'Données projet'!$E$15+1,1))</f>
        <v>239.52247785001794</v>
      </c>
      <c r="EP67" s="60">
        <f t="shared" si="46"/>
        <v>173.69760199651617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0.58658173219993959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0.58658173219993959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8">
        <f t="shared" ref="H68:H131" si="56">(B68+E68+F68)*44/12+(C68+D68)*0.475*44/12</f>
        <v>183.33333333333334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253.49999999999991</v>
      </c>
      <c r="P68" s="14">
        <f t="shared" si="33"/>
        <v>61.334805663162498</v>
      </c>
      <c r="Q68" s="22">
        <f t="shared" si="54"/>
        <v>548.33728653000776</v>
      </c>
      <c r="R68" s="60">
        <f t="shared" si="55"/>
        <v>812.28049264646302</v>
      </c>
      <c r="S68" s="60">
        <f ca="1">AVERAGE(OFFSET($R$3,0,0,'Données projet'!$E$9+1,1))-AVERAGE(OFFSET($H$3,0,0,'Données projet'!$E$9+1,1))</f>
        <v>516.54532596122067</v>
      </c>
      <c r="T68" s="60">
        <f t="shared" si="34"/>
        <v>273.35778700650792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152.56410256410257</v>
      </c>
      <c r="AG68" s="13">
        <f>VLOOKUP(A68,'Données projet'!$A$61:$I$81,9,0)</f>
        <v>3.8461538461538454</v>
      </c>
      <c r="AH68" s="13">
        <f t="array" ref="AH68">INDEX(AG:AG,MIN(IF(ISNUMBER(AG68:AG264),ROW(AG68:AG264),"")))</f>
        <v>3.8461538461538454</v>
      </c>
      <c r="AI68" s="14">
        <f>IF('Données projet'!$A$62&gt;35,AI67+AH68-AQ67,IF(A68&lt;'Données projet'!$A$62,$AF$205^A68,IF(A68='Données projet'!$A$62,'Données projet'!$B$62,AI67+AH68-AQ67)))</f>
        <v>152.56410256410265</v>
      </c>
      <c r="AJ68" s="14">
        <f>AI68*VLOOKUP('Données projet'!$B$10,Paramètres!$A$1:$I$89,3,0)*VLOOKUP('Données projet'!$B$10,Paramètres!$A$1:$I$89,5,0)</f>
        <v>145.18000000000009</v>
      </c>
      <c r="AK68" s="14">
        <f t="shared" si="35"/>
        <v>37.481149901429063</v>
      </c>
      <c r="AL68" s="22">
        <f t="shared" ref="AL68:AL131" si="58">(AJ68+AK68)*0.475*44/12</f>
        <v>318.13483607832245</v>
      </c>
      <c r="AM68" s="60">
        <f t="shared" ref="AM68:AM131" si="59">AL68+(AD68+AE68)*44/12</f>
        <v>582.07804219477771</v>
      </c>
      <c r="AN68" s="60">
        <f ca="1">AVERAGE(OFFSET($AM$3,0,0,'Données projet'!$E$10+1,1))-AVERAGE(OFFSET($H$3,0,0,'Données projet'!$E$10+1,1))</f>
        <v>328.36544111680962</v>
      </c>
      <c r="AO68" s="60">
        <f t="shared" si="36"/>
        <v>226.85392900722772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202</v>
      </c>
      <c r="BB68" s="13">
        <f>VLOOKUP(A68,'Données projet'!$A$87:$I$107,9,0)</f>
        <v>3.2</v>
      </c>
      <c r="BC68" s="13">
        <f t="array" ref="BC68">INDEX(BB:BB,MIN(IF(ISNUMBER(BB68:BB264),ROW(BB68:BB264),"")))</f>
        <v>3.2</v>
      </c>
      <c r="BD68" s="13">
        <f>IF('Données projet'!$A$88&gt;35,BD67+BC68-BL67,IF(A68&lt;'Données projet'!$A$88,$BA$205^A68,IF(A68='Données projet'!$A$88,'Données projet'!$B$88,BD67+BC68-BL67)))</f>
        <v>201.99999999999989</v>
      </c>
      <c r="BE68" s="14">
        <f>BD68*VLOOKUP('Données projet'!$B$11,Paramètres!$A$1:$I$89,3,0)*VLOOKUP('Données projet'!$B$11,Paramètres!$A$1:$I$89,5,0)</f>
        <v>176.46719999999993</v>
      </c>
      <c r="BF68" s="14">
        <f t="shared" si="37"/>
        <v>44.535298821989393</v>
      </c>
      <c r="BG68" s="22">
        <f t="shared" ref="BG68:BG131" si="61">(BE68+BF68)*0.475*44/12</f>
        <v>384.91268544829808</v>
      </c>
      <c r="BH68" s="60">
        <f t="shared" ref="BH68:BH131" si="62">BG68+(AY68+AZ68)*44/12</f>
        <v>648.85589156475328</v>
      </c>
      <c r="BI68" s="60">
        <f ca="1">AVERAGE(OFFSET($BH$3,0,0,'Données projet'!$E$11+1,1))-AVERAGE(OFFSET($H$3,0,0,'Données projet'!$E$11+1,1))</f>
        <v>296.01124173332352</v>
      </c>
      <c r="BJ68" s="60">
        <f t="shared" si="38"/>
        <v>315.50730924873733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153</v>
      </c>
      <c r="BW68" s="13">
        <f>VLOOKUP(A68,'Données projet'!$A$113:$I$133,9,0)</f>
        <v>4.4000000000000004</v>
      </c>
      <c r="BX68" s="13">
        <f t="array" ref="BX68">INDEX(BW:BW,MIN(IF(ISNUMBER(BW68:BW264),ROW(BW68:BW264),"")))</f>
        <v>4.4000000000000004</v>
      </c>
      <c r="BY68" s="13">
        <f>IF('Données projet'!$A$114&gt;35,BY67+BX68-CG67,IF(A68&lt;'Données projet'!$A$114,$BV$205^A68,IF(A68='Données projet'!$A$114,'Données projet'!$B$114,BY67+BX68-CG67)))</f>
        <v>152.99999999999997</v>
      </c>
      <c r="BZ68" s="14">
        <f>BY68*VLOOKUP('Données projet'!$B$12,Paramètres!$A$1:$I$89,3,0)*VLOOKUP('Données projet'!$B$12,Paramètres!$A$1:$I$89,5,0)</f>
        <v>100.2456</v>
      </c>
      <c r="CA68" s="14">
        <f t="shared" si="39"/>
        <v>27.020500005754936</v>
      </c>
      <c r="CB68" s="22">
        <f t="shared" ref="CB68:CB131" si="64">(BZ68+CA68)*0.475*44/12</f>
        <v>221.65512417668984</v>
      </c>
      <c r="CC68" s="60">
        <f t="shared" ref="CC68:CC131" si="65">CB68+(BT68+BU68)*44/12</f>
        <v>485.59833029314507</v>
      </c>
      <c r="CD68" s="60">
        <f ca="1">AVERAGE(OFFSET($CC$3,0,0,'Données projet'!$E$12+1,1))-AVERAGE(OFFSET($H$3,0,0,'Données projet'!$E$12+1,1))</f>
        <v>216.42026264996392</v>
      </c>
      <c r="CE68" s="60">
        <f t="shared" si="40"/>
        <v>216.4587454288401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175</v>
      </c>
      <c r="CR68" s="13">
        <f>VLOOKUP(A68,'Données projet'!$A$139:$I$159,9,0)</f>
        <v>5.4</v>
      </c>
      <c r="CS68" s="13">
        <f t="array" ref="CS68">INDEX(CR:CR,MIN(IF(ISNUMBER(CR68:CR264),ROW(CR68:CR264),"")))</f>
        <v>5.4</v>
      </c>
      <c r="CT68" s="13">
        <f>IF('Données projet'!$A$140&gt;35,CT67+CS68-DB67,IF(A68&lt;'Données projet'!$A$140,$CQ$205^A68,IF(A68='Données projet'!$A$140,'Données projet'!$B$140,CT67+CS68-DB67)))</f>
        <v>175</v>
      </c>
      <c r="CU68" s="18">
        <f>CT68*VLOOKUP('Données projet'!$B$13,Paramètres!$A$1:$I$89,3,0)*VLOOKUP('Données projet'!$B$13,Paramètres!$A$1:$I$89,5,0)</f>
        <v>169.26000000000002</v>
      </c>
      <c r="CV68" s="14">
        <f t="shared" si="41"/>
        <v>42.924246146122272</v>
      </c>
      <c r="CW68" s="22">
        <f t="shared" ref="CW68:CW131" si="67">(CU68+CV68)*0.475*44/12</f>
        <v>369.55422870449632</v>
      </c>
      <c r="CX68" s="60">
        <f t="shared" ref="CX68:CX131" si="68">CW68+(CO68+CP68)*44/12</f>
        <v>633.49743482095153</v>
      </c>
      <c r="CY68" s="60">
        <f ca="1">AVERAGE(OFFSET($CX$3,0,0,'Données projet'!$E$13+1,1))-AVERAGE(OFFSET($H$3,0,0,'Données projet'!$E$13+1,1))</f>
        <v>385.5283976785621</v>
      </c>
      <c r="CZ68" s="60">
        <f t="shared" si="42"/>
        <v>173.19148969173838</v>
      </c>
      <c r="DA68" s="16">
        <f>IF(ISNA(VLOOKUP(A68,'Données projet'!$A$139:$I$159,3,0)),0,VLOOKUP(A68,'Données projet'!$A$139:$I$159,3,0))</f>
        <v>4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250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249.99999999999991</v>
      </c>
      <c r="DP68" s="18">
        <f>DO68*VLOOKUP('Données projet'!$B$14,Paramètres!$A$1:$I$89,3,0)*VLOOKUP('Données projet'!$B$14,Paramètres!$A$1:$I$89,5,0)</f>
        <v>269.09999999999985</v>
      </c>
      <c r="DQ68" s="14">
        <f t="shared" si="43"/>
        <v>64.658229472790936</v>
      </c>
      <c r="DR68" s="22">
        <f t="shared" ref="DR68:DR131" si="70">(DP68+DQ68)*0.475*44/12</f>
        <v>581.29558299844393</v>
      </c>
      <c r="DS68" s="60">
        <f t="shared" ref="DS68:DS131" si="71">DR68+(DJ68+DK68)*44/12</f>
        <v>845.23878911489919</v>
      </c>
      <c r="DT68" s="60">
        <f ca="1">AVERAGE(OFFSET($DS$3,0,0,'Données projet'!$E$14+1,1))-AVERAGE(OFFSET($H$3,0,0,'Données projet'!$E$14+1,1))</f>
        <v>543.15812193567342</v>
      </c>
      <c r="DU68" s="60">
        <f t="shared" si="44"/>
        <v>286.40725588660575</v>
      </c>
      <c r="DV68" s="16">
        <f>IF(ISNA(VLOOKUP(A68,'Données projet'!$A$165:$I$185,3,0)),0,VLOOKUP(A68,'Données projet'!$A$165:$I$185,3,0))</f>
        <v>5</v>
      </c>
      <c r="DW68" s="16">
        <f>IF(ISNA(VLOOKUP(A68,'Données projet'!$A$165:$I$185,4,0)),0,VLOOKUP(A68,'Données projet'!$A$165:$I$185,4,0))</f>
        <v>42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153.84615384615384</v>
      </c>
      <c r="EH68" s="13">
        <f>VLOOKUP(A68,'Données projet'!$A$191:$I$211,9,0)</f>
        <v>3.9743589743589722</v>
      </c>
      <c r="EI68" s="13">
        <f t="array" ref="EI68">INDEX(EH:EH,MIN(IF(ISNUMBER(EH68:EH264),ROW(EH68:EH264),"")))</f>
        <v>3.9743589743589722</v>
      </c>
      <c r="EJ68" s="13">
        <f>IF('Données projet'!$A$192&gt;35,EJ67+EI68-ER67,IF(A68&lt;'Données projet'!$A$192,$EG$205^A68,IF(A68='Données projet'!$A$192,'Données projet'!$B$192,EJ67+EI68-ER67)))</f>
        <v>153.84615384615384</v>
      </c>
      <c r="EK68" s="18">
        <f>EJ68*VLOOKUP('Données projet'!$B$15,Paramètres!$A$1:$I$89,3,0)*VLOOKUP('Données projet'!$B$15,Paramètres!$A$1:$I$89,5,0)</f>
        <v>103.19999999999999</v>
      </c>
      <c r="EL68" s="14">
        <f t="shared" si="45"/>
        <v>27.722950236669856</v>
      </c>
      <c r="EM68" s="22">
        <f t="shared" ref="EM68:EM131" si="73">(EK68+EL68)*0.475*44/12</f>
        <v>228.0241383288666</v>
      </c>
      <c r="EN68" s="60">
        <f t="shared" ref="EN68:EN131" si="74">EM68+(EE68+EF68)*44/12</f>
        <v>491.96734444532183</v>
      </c>
      <c r="EO68" s="60">
        <f ca="1">AVERAGE(OFFSET($EN$3,0,0,'Données projet'!$E$15+1,1))-AVERAGE(OFFSET($H$3,0,0,'Données projet'!$E$15+1,1))</f>
        <v>239.52247785001794</v>
      </c>
      <c r="EP68" s="60">
        <f t="shared" si="46"/>
        <v>173.69760199651617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0.57054162388593954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0.57054162388593954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8">
        <f t="shared" si="56"/>
        <v>183.33333333333334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217.80719999999994</v>
      </c>
      <c r="P69" s="14">
        <f t="shared" ref="P69:P132" si="87">EXP(-1.0587+0.8836*LN(O69)+0.284)</f>
        <v>53.638013973813976</v>
      </c>
      <c r="Q69" s="22">
        <f t="shared" si="54"/>
        <v>472.76708100439259</v>
      </c>
      <c r="R69" s="60">
        <f t="shared" si="55"/>
        <v>737.22014012157967</v>
      </c>
      <c r="S69" s="60">
        <f ca="1">AVERAGE(OFFSET($R$3,0,0,'Données projet'!$E$9+1,1))-AVERAGE(OFFSET($H$3,0,0,'Données projet'!$E$9+1,1))</f>
        <v>516.54532596122067</v>
      </c>
      <c r="T69" s="60">
        <f t="shared" ref="T69:T132" si="88">$T$3</f>
        <v>273.35778700650792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3.7179487179487181</v>
      </c>
      <c r="AI69" s="14">
        <f>IF('Données projet'!$A$62&gt;35,AI68+AH69-AQ68,IF(A69&lt;'Données projet'!$A$62,$AF$205^A69,IF(A69='Données projet'!$A$62,'Données projet'!$B$62,AI68+AH69-AQ68)))</f>
        <v>156.28205128205138</v>
      </c>
      <c r="AJ69" s="14">
        <f>AI69*VLOOKUP('Données projet'!$B$10,Paramètres!$A$1:$I$89,3,0)*VLOOKUP('Données projet'!$B$10,Paramètres!$A$1:$I$89,5,0)</f>
        <v>148.7180000000001</v>
      </c>
      <c r="AK69" s="14">
        <f t="shared" ref="AK69:AK132" si="89">EXP(-1.0587+0.8836*LN(AJ69)+0.284)</f>
        <v>38.287101140838288</v>
      </c>
      <c r="AL69" s="22">
        <f t="shared" si="58"/>
        <v>325.70055115362692</v>
      </c>
      <c r="AM69" s="60">
        <f t="shared" si="59"/>
        <v>590.15361027081394</v>
      </c>
      <c r="AN69" s="60">
        <f ca="1">AVERAGE(OFFSET($AM$3,0,0,'Données projet'!$E$10+1,1))-AVERAGE(OFFSET($H$3,0,0,'Données projet'!$E$10+1,1))</f>
        <v>328.36544111680962</v>
      </c>
      <c r="AO69" s="60">
        <f t="shared" ref="AO69:AO132" si="90">$AO$3</f>
        <v>226.85392900722772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</v>
      </c>
      <c r="BD69" s="13">
        <f>IF('Données projet'!$A$88&gt;35,BD68+BC69-BL68,IF(A69&lt;'Données projet'!$A$88,$BA$205^A69,IF(A69='Données projet'!$A$88,'Données projet'!$B$88,BD68+BC69-BL68)))</f>
        <v>204.99999999999989</v>
      </c>
      <c r="BE69" s="14">
        <f>BD69*VLOOKUP('Données projet'!$B$11,Paramètres!$A$1:$I$89,3,0)*VLOOKUP('Données projet'!$B$11,Paramètres!$A$1:$I$89,5,0)</f>
        <v>179.08799999999991</v>
      </c>
      <c r="BF69" s="14">
        <f t="shared" ref="BF69:BF132" si="91">EXP(-1.0587+0.8836*LN(BE69)+0.284)</f>
        <v>45.119223023956835</v>
      </c>
      <c r="BG69" s="22">
        <f t="shared" si="61"/>
        <v>390.49424676672464</v>
      </c>
      <c r="BH69" s="60">
        <f t="shared" si="62"/>
        <v>654.94730588391167</v>
      </c>
      <c r="BI69" s="60">
        <f ca="1">AVERAGE(OFFSET($BH$3,0,0,'Données projet'!$E$11+1,1))-AVERAGE(OFFSET($H$3,0,0,'Données projet'!$E$11+1,1))</f>
        <v>296.01124173332352</v>
      </c>
      <c r="BJ69" s="60">
        <f t="shared" ref="BJ69:BJ132" si="92">$BJ$3</f>
        <v>315.50730924873733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</v>
      </c>
      <c r="BY69" s="13">
        <f>IF('Données projet'!$A$114&gt;35,BY68+BX69-CG68,IF(A69&lt;'Données projet'!$A$114,$BV$205^A69,IF(A69='Données projet'!$A$114,'Données projet'!$B$114,BY68+BX69-CG68)))</f>
        <v>156.99999999999997</v>
      </c>
      <c r="BZ69" s="14">
        <f>BY69*VLOOKUP('Données projet'!$B$12,Paramètres!$A$1:$I$89,3,0)*VLOOKUP('Données projet'!$B$12,Paramètres!$A$1:$I$89,5,0)</f>
        <v>102.86639999999998</v>
      </c>
      <c r="CA69" s="14">
        <f t="shared" ref="CA69:CA132" si="93">EXP(-1.0587+0.8836*LN(BZ69)+0.284)</f>
        <v>27.643750580905362</v>
      </c>
      <c r="CB69" s="22">
        <f t="shared" si="64"/>
        <v>227.30517892841019</v>
      </c>
      <c r="CC69" s="60">
        <f t="shared" si="65"/>
        <v>491.7582380455973</v>
      </c>
      <c r="CD69" s="60">
        <f ca="1">AVERAGE(OFFSET($CC$3,0,0,'Données projet'!$E$12+1,1))-AVERAGE(OFFSET($H$3,0,0,'Données projet'!$E$12+1,1))</f>
        <v>216.42026264996392</v>
      </c>
      <c r="CE69" s="60">
        <f t="shared" ref="CE69:CE132" si="94">$CE$3</f>
        <v>216.4587454288401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</v>
      </c>
      <c r="CT69" s="13">
        <f>IF('Données projet'!$A$140&gt;35,CT68+CS69-DB68,IF(A69&lt;'Données projet'!$A$140,$CQ$205^A69,IF(A69='Données projet'!$A$140,'Données projet'!$B$140,CT68+CS69-DB68)))</f>
        <v>152</v>
      </c>
      <c r="CU69" s="18">
        <f>CT69*VLOOKUP('Données projet'!$B$13,Paramètres!$A$1:$I$89,3,0)*VLOOKUP('Données projet'!$B$13,Paramètres!$A$1:$I$89,5,0)</f>
        <v>147.01439999999999</v>
      </c>
      <c r="CV69" s="14">
        <f t="shared" ref="CV69:CV132" si="95">EXP(-1.0587+0.8836*LN(CU69)+0.284)</f>
        <v>37.899305454176826</v>
      </c>
      <c r="CW69" s="22">
        <f t="shared" si="67"/>
        <v>322.05803699935797</v>
      </c>
      <c r="CX69" s="60">
        <f t="shared" si="68"/>
        <v>586.5110961165451</v>
      </c>
      <c r="CY69" s="60">
        <f ca="1">AVERAGE(OFFSET($CX$3,0,0,'Données projet'!$E$13+1,1))-AVERAGE(OFFSET($H$3,0,0,'Données projet'!$E$13+1,1))</f>
        <v>385.5283976785621</v>
      </c>
      <c r="CZ69" s="60">
        <f t="shared" ref="CZ69:CZ132" si="96">$CZ$3</f>
        <v>173.19148969173838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214.7999999999999</v>
      </c>
      <c r="DP69" s="18">
        <f>DO69*VLOOKUP('Données projet'!$B$14,Paramètres!$A$1:$I$89,3,0)*VLOOKUP('Données projet'!$B$14,Paramètres!$A$1:$I$89,5,0)</f>
        <v>231.21071999999987</v>
      </c>
      <c r="DQ69" s="14">
        <f t="shared" ref="DQ69:DQ132" si="97">EXP(-1.0587+0.8836*LN(DP69)+0.284)</f>
        <v>56.544387456445222</v>
      </c>
      <c r="DR69" s="22">
        <f t="shared" si="70"/>
        <v>501.17347881997517</v>
      </c>
      <c r="DS69" s="60">
        <f t="shared" si="71"/>
        <v>765.62653793716231</v>
      </c>
      <c r="DT69" s="60">
        <f ca="1">AVERAGE(OFFSET($DS$3,0,0,'Données projet'!$E$14+1,1))-AVERAGE(OFFSET($H$3,0,0,'Données projet'!$E$14+1,1))</f>
        <v>543.15812193567342</v>
      </c>
      <c r="DU69" s="60">
        <f t="shared" ref="DU69:DU132" si="98">$DU$3</f>
        <v>286.40725588660575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3.4615384615384643</v>
      </c>
      <c r="EJ69" s="13">
        <f>IF('Données projet'!$A$192&gt;35,EJ68+EI69-ER68,IF(A69&lt;'Données projet'!$A$192,$EG$205^A69,IF(A69='Données projet'!$A$192,'Données projet'!$B$192,EJ68+EI69-ER68)))</f>
        <v>157.30769230769229</v>
      </c>
      <c r="EK69" s="18">
        <f>EJ69*VLOOKUP('Données projet'!$B$15,Paramètres!$A$1:$I$89,3,0)*VLOOKUP('Données projet'!$B$15,Paramètres!$A$1:$I$89,5,0)</f>
        <v>105.52199999999999</v>
      </c>
      <c r="EL69" s="14">
        <f t="shared" ref="EL69:EL132" si="99">EXP(-1.0587+0.8836*LN(EK69)+0.284)</f>
        <v>28.273394438553211</v>
      </c>
      <c r="EM69" s="22">
        <f t="shared" si="73"/>
        <v>233.02697864714685</v>
      </c>
      <c r="EN69" s="60">
        <f t="shared" si="74"/>
        <v>497.48003776433393</v>
      </c>
      <c r="EO69" s="60">
        <f ca="1">AVERAGE(OFFSET($EN$3,0,0,'Données projet'!$E$15+1,1))-AVERAGE(OFFSET($H$3,0,0,'Données projet'!$E$15+1,1))</f>
        <v>239.52247785001794</v>
      </c>
      <c r="EP69" s="60">
        <f t="shared" ref="EP69:EP132" si="100">$EP$3</f>
        <v>173.69760199651617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0.55494013317729851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0.55494013317729851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8">
        <f t="shared" si="56"/>
        <v>183.33333333333334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224.7023999999999</v>
      </c>
      <c r="P70" s="14">
        <f t="shared" si="87"/>
        <v>55.135667706678262</v>
      </c>
      <c r="Q70" s="22">
        <f t="shared" si="54"/>
        <v>487.38463458913111</v>
      </c>
      <c r="R70" s="60">
        <f t="shared" si="55"/>
        <v>752.33870189734807</v>
      </c>
      <c r="S70" s="60">
        <f ca="1">AVERAGE(OFFSET($R$3,0,0,'Données projet'!$E$9+1,1))-AVERAGE(OFFSET($H$3,0,0,'Données projet'!$E$9+1,1))</f>
        <v>516.54532596122067</v>
      </c>
      <c r="T70" s="60">
        <f t="shared" si="88"/>
        <v>273.35778700650792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3.7179487179487181</v>
      </c>
      <c r="AI70" s="14">
        <f>IF('Données projet'!$A$62&gt;35,AI69+AH70-AQ69,IF(A70&lt;'Données projet'!$A$62,$AF$205^A70,IF(A70='Données projet'!$A$62,'Données projet'!$B$62,AI69+AH70-AQ69)))</f>
        <v>160.00000000000011</v>
      </c>
      <c r="AJ70" s="14">
        <f>AI70*VLOOKUP('Données projet'!$B$10,Paramètres!$A$1:$I$89,3,0)*VLOOKUP('Données projet'!$B$10,Paramètres!$A$1:$I$89,5,0)</f>
        <v>152.25600000000011</v>
      </c>
      <c r="AK70" s="14">
        <f t="shared" si="89"/>
        <v>39.090823441353102</v>
      </c>
      <c r="AL70" s="22">
        <f t="shared" si="58"/>
        <v>333.26238416035682</v>
      </c>
      <c r="AM70" s="60">
        <f t="shared" si="59"/>
        <v>598.21645146857372</v>
      </c>
      <c r="AN70" s="60">
        <f ca="1">AVERAGE(OFFSET($AM$3,0,0,'Données projet'!$E$10+1,1))-AVERAGE(OFFSET($H$3,0,0,'Données projet'!$E$10+1,1))</f>
        <v>328.36544111680962</v>
      </c>
      <c r="AO70" s="60">
        <f t="shared" si="90"/>
        <v>226.85392900722772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</v>
      </c>
      <c r="BD70" s="13">
        <f>IF('Données projet'!$A$88&gt;35,BD69+BC70-BL69,IF(A70&lt;'Données projet'!$A$88,$BA$205^A70,IF(A70='Données projet'!$A$88,'Données projet'!$B$88,BD69+BC70-BL69)))</f>
        <v>207.99999999999989</v>
      </c>
      <c r="BE70" s="14">
        <f>BD70*VLOOKUP('Données projet'!$B$11,Paramètres!$A$1:$I$89,3,0)*VLOOKUP('Données projet'!$B$11,Paramètres!$A$1:$I$89,5,0)</f>
        <v>181.70879999999991</v>
      </c>
      <c r="BF70" s="14">
        <f t="shared" si="91"/>
        <v>45.702153370067769</v>
      </c>
      <c r="BG70" s="22">
        <f t="shared" si="61"/>
        <v>396.07407711953448</v>
      </c>
      <c r="BH70" s="60">
        <f t="shared" si="62"/>
        <v>661.02814442775139</v>
      </c>
      <c r="BI70" s="60">
        <f ca="1">AVERAGE(OFFSET($BH$3,0,0,'Données projet'!$E$11+1,1))-AVERAGE(OFFSET($H$3,0,0,'Données projet'!$E$11+1,1))</f>
        <v>296.01124173332352</v>
      </c>
      <c r="BJ70" s="60">
        <f t="shared" si="92"/>
        <v>315.50730924873733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</v>
      </c>
      <c r="BY70" s="13">
        <f>IF('Données projet'!$A$114&gt;35,BY69+BX70-CG69,IF(A70&lt;'Données projet'!$A$114,$BV$205^A70,IF(A70='Données projet'!$A$114,'Données projet'!$B$114,BY69+BX70-CG69)))</f>
        <v>160.99999999999997</v>
      </c>
      <c r="BZ70" s="14">
        <f>BY70*VLOOKUP('Données projet'!$B$12,Paramètres!$A$1:$I$89,3,0)*VLOOKUP('Données projet'!$B$12,Paramètres!$A$1:$I$89,5,0)</f>
        <v>105.48719999999999</v>
      </c>
      <c r="CA70" s="14">
        <f t="shared" si="93"/>
        <v>28.265155367923839</v>
      </c>
      <c r="CB70" s="22">
        <f t="shared" si="64"/>
        <v>232.95201893246733</v>
      </c>
      <c r="CC70" s="60">
        <f t="shared" si="65"/>
        <v>497.9060862406842</v>
      </c>
      <c r="CD70" s="60">
        <f ca="1">AVERAGE(OFFSET($CC$3,0,0,'Données projet'!$E$12+1,1))-AVERAGE(OFFSET($H$3,0,0,'Données projet'!$E$12+1,1))</f>
        <v>216.42026264996392</v>
      </c>
      <c r="CE70" s="60">
        <f t="shared" si="94"/>
        <v>216.4587454288401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</v>
      </c>
      <c r="CT70" s="13">
        <f>IF('Données projet'!$A$140&gt;35,CT69+CS70-DB69,IF(A70&lt;'Données projet'!$A$140,$CQ$205^A70,IF(A70='Données projet'!$A$140,'Données projet'!$B$140,CT69+CS70-DB69)))</f>
        <v>157</v>
      </c>
      <c r="CU70" s="18">
        <f>CT70*VLOOKUP('Données projet'!$B$13,Paramètres!$A$1:$I$89,3,0)*VLOOKUP('Données projet'!$B$13,Paramètres!$A$1:$I$89,5,0)</f>
        <v>151.85040000000001</v>
      </c>
      <c r="CV70" s="14">
        <f t="shared" si="95"/>
        <v>38.998795130362446</v>
      </c>
      <c r="CW70" s="22">
        <f t="shared" si="67"/>
        <v>332.39568151871464</v>
      </c>
      <c r="CX70" s="60">
        <f t="shared" si="68"/>
        <v>597.34974882693155</v>
      </c>
      <c r="CY70" s="60">
        <f ca="1">AVERAGE(OFFSET($CX$3,0,0,'Données projet'!$E$13+1,1))-AVERAGE(OFFSET($H$3,0,0,'Données projet'!$E$13+1,1))</f>
        <v>385.5283976785621</v>
      </c>
      <c r="CZ70" s="60">
        <f t="shared" si="96"/>
        <v>173.19148969173838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221.59999999999991</v>
      </c>
      <c r="DP70" s="18">
        <f>DO70*VLOOKUP('Données projet'!$B$14,Paramètres!$A$1:$I$89,3,0)*VLOOKUP('Données projet'!$B$14,Paramètres!$A$1:$I$89,5,0)</f>
        <v>238.53023999999991</v>
      </c>
      <c r="DQ70" s="14">
        <f t="shared" si="97"/>
        <v>58.123191492478547</v>
      </c>
      <c r="DR70" s="22">
        <f t="shared" si="70"/>
        <v>516.67139318273325</v>
      </c>
      <c r="DS70" s="60">
        <f t="shared" si="71"/>
        <v>781.62546049095022</v>
      </c>
      <c r="DT70" s="60">
        <f ca="1">AVERAGE(OFFSET($DS$3,0,0,'Données projet'!$E$14+1,1))-AVERAGE(OFFSET($H$3,0,0,'Données projet'!$E$14+1,1))</f>
        <v>543.15812193567342</v>
      </c>
      <c r="DU70" s="60">
        <f t="shared" si="98"/>
        <v>286.40725588660575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3.4615384615384643</v>
      </c>
      <c r="EJ70" s="13">
        <f>IF('Données projet'!$A$192&gt;35,EJ69+EI70-ER69,IF(A70&lt;'Données projet'!$A$192,$EG$205^A70,IF(A70='Données projet'!$A$192,'Données projet'!$B$192,EJ69+EI70-ER69)))</f>
        <v>160.76923076923075</v>
      </c>
      <c r="EK70" s="18">
        <f>EJ70*VLOOKUP('Données projet'!$B$15,Paramètres!$A$1:$I$89,3,0)*VLOOKUP('Données projet'!$B$15,Paramètres!$A$1:$I$89,5,0)</f>
        <v>107.84399999999998</v>
      </c>
      <c r="EL70" s="14">
        <f t="shared" si="99"/>
        <v>28.822430433579967</v>
      </c>
      <c r="EM70" s="22">
        <f t="shared" si="73"/>
        <v>238.027366338485</v>
      </c>
      <c r="EN70" s="60">
        <f t="shared" si="74"/>
        <v>502.98143364670193</v>
      </c>
      <c r="EO70" s="60">
        <f ca="1">AVERAGE(OFFSET($EN$3,0,0,'Données projet'!$E$15+1,1))-AVERAGE(OFFSET($H$3,0,0,'Données projet'!$E$15+1,1))</f>
        <v>239.52247785001794</v>
      </c>
      <c r="EP70" s="60">
        <f t="shared" si="100"/>
        <v>173.69760199651617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0.53976526605253206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0.53976526605253206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8">
        <f t="shared" si="56"/>
        <v>183.33333333333334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231.59759999999994</v>
      </c>
      <c r="P71" s="14">
        <f t="shared" si="87"/>
        <v>56.627980714948151</v>
      </c>
      <c r="Q71" s="22">
        <f t="shared" si="54"/>
        <v>501.99288641186786</v>
      </c>
      <c r="R71" s="60">
        <f t="shared" si="55"/>
        <v>767.43927053908669</v>
      </c>
      <c r="S71" s="60">
        <f ca="1">AVERAGE(OFFSET($R$3,0,0,'Données projet'!$E$9+1,1))-AVERAGE(OFFSET($H$3,0,0,'Données projet'!$E$9+1,1))</f>
        <v>516.54532596122067</v>
      </c>
      <c r="T71" s="60">
        <f t="shared" si="88"/>
        <v>273.35778700650792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3.7179487179487181</v>
      </c>
      <c r="AI71" s="14">
        <f>IF('Données projet'!$A$62&gt;35,AI70+AH71-AQ70,IF(A71&lt;'Données projet'!$A$62,$AF$205^A71,IF(A71='Données projet'!$A$62,'Données projet'!$B$62,AI70+AH71-AQ70)))</f>
        <v>163.71794871794884</v>
      </c>
      <c r="AJ71" s="14">
        <f>AI71*VLOOKUP('Données projet'!$B$10,Paramètres!$A$1:$I$89,3,0)*VLOOKUP('Données projet'!$B$10,Paramètres!$A$1:$I$89,5,0)</f>
        <v>155.79400000000012</v>
      </c>
      <c r="AK71" s="14">
        <f t="shared" si="89"/>
        <v>39.892374558454222</v>
      </c>
      <c r="AL71" s="22">
        <f t="shared" si="58"/>
        <v>340.820435689308</v>
      </c>
      <c r="AM71" s="60">
        <f t="shared" si="59"/>
        <v>606.26681981652678</v>
      </c>
      <c r="AN71" s="60">
        <f ca="1">AVERAGE(OFFSET($AM$3,0,0,'Données projet'!$E$10+1,1))-AVERAGE(OFFSET($H$3,0,0,'Données projet'!$E$10+1,1))</f>
        <v>328.36544111680962</v>
      </c>
      <c r="AO71" s="60">
        <f t="shared" si="90"/>
        <v>226.85392900722772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</v>
      </c>
      <c r="BD71" s="13">
        <f>IF('Données projet'!$A$88&gt;35,BD70+BC71-BL70,IF(A71&lt;'Données projet'!$A$88,$BA$205^A71,IF(A71='Données projet'!$A$88,'Données projet'!$B$88,BD70+BC71-BL70)))</f>
        <v>210.99999999999989</v>
      </c>
      <c r="BE71" s="14">
        <f>BD71*VLOOKUP('Données projet'!$B$11,Paramètres!$A$1:$I$89,3,0)*VLOOKUP('Données projet'!$B$11,Paramètres!$A$1:$I$89,5,0)</f>
        <v>184.32959999999994</v>
      </c>
      <c r="BF71" s="14">
        <f t="shared" si="91"/>
        <v>46.284105851003062</v>
      </c>
      <c r="BG71" s="22">
        <f t="shared" si="61"/>
        <v>401.65220435716355</v>
      </c>
      <c r="BH71" s="60">
        <f t="shared" si="62"/>
        <v>667.09858848438239</v>
      </c>
      <c r="BI71" s="60">
        <f ca="1">AVERAGE(OFFSET($BH$3,0,0,'Données projet'!$E$11+1,1))-AVERAGE(OFFSET($H$3,0,0,'Données projet'!$E$11+1,1))</f>
        <v>296.01124173332352</v>
      </c>
      <c r="BJ71" s="60">
        <f t="shared" si="92"/>
        <v>315.50730924873733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</v>
      </c>
      <c r="BY71" s="13">
        <f>IF('Données projet'!$A$114&gt;35,BY70+BX71-CG70,IF(A71&lt;'Données projet'!$A$114,$BV$205^A71,IF(A71='Données projet'!$A$114,'Données projet'!$B$114,BY70+BX71-CG70)))</f>
        <v>164.99999999999997</v>
      </c>
      <c r="BZ71" s="14">
        <f>BY71*VLOOKUP('Données projet'!$B$12,Paramètres!$A$1:$I$89,3,0)*VLOOKUP('Données projet'!$B$12,Paramètres!$A$1:$I$89,5,0)</f>
        <v>108.10799999999998</v>
      </c>
      <c r="CA71" s="14">
        <f t="shared" si="93"/>
        <v>28.884765499467136</v>
      </c>
      <c r="CB71" s="22">
        <f t="shared" si="64"/>
        <v>238.5957332449052</v>
      </c>
      <c r="CC71" s="60">
        <f t="shared" si="65"/>
        <v>504.04211737212404</v>
      </c>
      <c r="CD71" s="60">
        <f ca="1">AVERAGE(OFFSET($CC$3,0,0,'Données projet'!$E$12+1,1))-AVERAGE(OFFSET($H$3,0,0,'Données projet'!$E$12+1,1))</f>
        <v>216.42026264996392</v>
      </c>
      <c r="CE71" s="60">
        <f t="shared" si="94"/>
        <v>216.4587454288401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</v>
      </c>
      <c r="CT71" s="13">
        <f>IF('Données projet'!$A$140&gt;35,CT70+CS71-DB70,IF(A71&lt;'Données projet'!$A$140,$CQ$205^A71,IF(A71='Données projet'!$A$140,'Données projet'!$B$140,CT70+CS71-DB70)))</f>
        <v>162</v>
      </c>
      <c r="CU71" s="18">
        <f>CT71*VLOOKUP('Données projet'!$B$13,Paramètres!$A$1:$I$89,3,0)*VLOOKUP('Données projet'!$B$13,Paramètres!$A$1:$I$89,5,0)</f>
        <v>156.68639999999999</v>
      </c>
      <c r="CV71" s="14">
        <f t="shared" si="95"/>
        <v>40.094215809840712</v>
      </c>
      <c r="CW71" s="22">
        <f t="shared" si="67"/>
        <v>342.7262392021392</v>
      </c>
      <c r="CX71" s="60">
        <f t="shared" si="68"/>
        <v>608.17262332935798</v>
      </c>
      <c r="CY71" s="60">
        <f ca="1">AVERAGE(OFFSET($CX$3,0,0,'Données projet'!$E$13+1,1))-AVERAGE(OFFSET($H$3,0,0,'Données projet'!$E$13+1,1))</f>
        <v>385.5283976785621</v>
      </c>
      <c r="CZ71" s="60">
        <f t="shared" si="96"/>
        <v>173.19148969173838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228.39999999999992</v>
      </c>
      <c r="DP71" s="18">
        <f>DO71*VLOOKUP('Données projet'!$B$14,Paramètres!$A$1:$I$89,3,0)*VLOOKUP('Données projet'!$B$14,Paramètres!$A$1:$I$89,5,0)</f>
        <v>245.84975999999992</v>
      </c>
      <c r="DQ71" s="14">
        <f t="shared" si="97"/>
        <v>59.696365416984804</v>
      </c>
      <c r="DR71" s="22">
        <f t="shared" si="70"/>
        <v>532.15950176791512</v>
      </c>
      <c r="DS71" s="60">
        <f t="shared" si="71"/>
        <v>797.60588589513395</v>
      </c>
      <c r="DT71" s="60">
        <f ca="1">AVERAGE(OFFSET($DS$3,0,0,'Données projet'!$E$14+1,1))-AVERAGE(OFFSET($H$3,0,0,'Données projet'!$E$14+1,1))</f>
        <v>543.15812193567342</v>
      </c>
      <c r="DU71" s="60">
        <f t="shared" si="98"/>
        <v>286.40725588660575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3.4615384615384643</v>
      </c>
      <c r="EJ71" s="13">
        <f>IF('Données projet'!$A$192&gt;35,EJ70+EI71-ER70,IF(A71&lt;'Données projet'!$A$192,$EG$205^A71,IF(A71='Données projet'!$A$192,'Données projet'!$B$192,EJ70+EI71-ER70)))</f>
        <v>164.2307692307692</v>
      </c>
      <c r="EK71" s="18">
        <f>EJ71*VLOOKUP('Données projet'!$B$15,Paramètres!$A$1:$I$89,3,0)*VLOOKUP('Données projet'!$B$15,Paramètres!$A$1:$I$89,5,0)</f>
        <v>110.16599999999998</v>
      </c>
      <c r="EL71" s="14">
        <f t="shared" si="99"/>
        <v>29.370092034164426</v>
      </c>
      <c r="EM71" s="22">
        <f t="shared" si="73"/>
        <v>243.02536029283627</v>
      </c>
      <c r="EN71" s="60">
        <f t="shared" si="74"/>
        <v>508.47174442005507</v>
      </c>
      <c r="EO71" s="60">
        <f ca="1">AVERAGE(OFFSET($EN$3,0,0,'Données projet'!$E$15+1,1))-AVERAGE(OFFSET($H$3,0,0,'Données projet'!$E$15+1,1))</f>
        <v>239.52247785001794</v>
      </c>
      <c r="EP71" s="60">
        <f t="shared" si="100"/>
        <v>173.69760199651617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0.52500535646730384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0.52500535646730384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8">
        <f t="shared" si="56"/>
        <v>183.33333333333334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238.49279999999996</v>
      </c>
      <c r="P72" s="14">
        <f t="shared" si="87"/>
        <v>58.115130258576542</v>
      </c>
      <c r="Q72" s="22">
        <f t="shared" si="54"/>
        <v>516.59214520035414</v>
      </c>
      <c r="R72" s="60">
        <f t="shared" si="55"/>
        <v>782.5223055504207</v>
      </c>
      <c r="S72" s="60">
        <f ca="1">AVERAGE(OFFSET($R$3,0,0,'Données projet'!$E$9+1,1))-AVERAGE(OFFSET($H$3,0,0,'Données projet'!$E$9+1,1))</f>
        <v>516.54532596122067</v>
      </c>
      <c r="T72" s="60">
        <f t="shared" si="88"/>
        <v>273.35778700650792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3.7179487179487181</v>
      </c>
      <c r="AI72" s="14">
        <f>IF('Données projet'!$A$62&gt;35,AI71+AH72-AQ71,IF(A72&lt;'Données projet'!$A$62,$AF$205^A72,IF(A72='Données projet'!$A$62,'Données projet'!$B$62,AI71+AH72-AQ71)))</f>
        <v>167.43589743589757</v>
      </c>
      <c r="AJ72" s="14">
        <f>AI72*VLOOKUP('Données projet'!$B$10,Paramètres!$A$1:$I$89,3,0)*VLOOKUP('Données projet'!$B$10,Paramètres!$A$1:$I$89,5,0)</f>
        <v>159.33200000000014</v>
      </c>
      <c r="AK72" s="14">
        <f t="shared" si="89"/>
        <v>40.691809474707895</v>
      </c>
      <c r="AL72" s="22">
        <f t="shared" si="58"/>
        <v>348.37480150178311</v>
      </c>
      <c r="AM72" s="60">
        <f t="shared" si="59"/>
        <v>614.30496185184961</v>
      </c>
      <c r="AN72" s="60">
        <f ca="1">AVERAGE(OFFSET($AM$3,0,0,'Données projet'!$E$10+1,1))-AVERAGE(OFFSET($H$3,0,0,'Données projet'!$E$10+1,1))</f>
        <v>328.36544111680962</v>
      </c>
      <c r="AO72" s="60">
        <f t="shared" si="90"/>
        <v>226.85392900722772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</v>
      </c>
      <c r="BD72" s="13">
        <f>IF('Données projet'!$A$88&gt;35,BD71+BC72-BL71,IF(A72&lt;'Données projet'!$A$88,$BA$205^A72,IF(A72='Données projet'!$A$88,'Données projet'!$B$88,BD71+BC72-BL71)))</f>
        <v>213.99999999999989</v>
      </c>
      <c r="BE72" s="14">
        <f>BD72*VLOOKUP('Données projet'!$B$11,Paramètres!$A$1:$I$89,3,0)*VLOOKUP('Données projet'!$B$11,Paramètres!$A$1:$I$89,5,0)</f>
        <v>186.95039999999992</v>
      </c>
      <c r="BF72" s="14">
        <f t="shared" si="91"/>
        <v>46.86509597661761</v>
      </c>
      <c r="BG72" s="22">
        <f t="shared" si="61"/>
        <v>407.22865549260882</v>
      </c>
      <c r="BH72" s="60">
        <f t="shared" si="62"/>
        <v>673.15881584267538</v>
      </c>
      <c r="BI72" s="60">
        <f ca="1">AVERAGE(OFFSET($BH$3,0,0,'Données projet'!$E$11+1,1))-AVERAGE(OFFSET($H$3,0,0,'Données projet'!$E$11+1,1))</f>
        <v>296.01124173332352</v>
      </c>
      <c r="BJ72" s="60">
        <f t="shared" si="92"/>
        <v>315.50730924873733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</v>
      </c>
      <c r="BY72" s="13">
        <f>IF('Données projet'!$A$114&gt;35,BY71+BX72-CG71,IF(A72&lt;'Données projet'!$A$114,$BV$205^A72,IF(A72='Données projet'!$A$114,'Données projet'!$B$114,BY71+BX72-CG71)))</f>
        <v>168.99999999999997</v>
      </c>
      <c r="BZ72" s="14">
        <f>BY72*VLOOKUP('Données projet'!$B$12,Paramètres!$A$1:$I$89,3,0)*VLOOKUP('Données projet'!$B$12,Paramètres!$A$1:$I$89,5,0)</f>
        <v>110.72879999999999</v>
      </c>
      <c r="CA72" s="14">
        <f t="shared" si="93"/>
        <v>29.502629487670664</v>
      </c>
      <c r="CB72" s="22">
        <f t="shared" si="64"/>
        <v>244.23640635769303</v>
      </c>
      <c r="CC72" s="60">
        <f t="shared" si="65"/>
        <v>510.16656670775956</v>
      </c>
      <c r="CD72" s="60">
        <f ca="1">AVERAGE(OFFSET($CC$3,0,0,'Données projet'!$E$12+1,1))-AVERAGE(OFFSET($H$3,0,0,'Données projet'!$E$12+1,1))</f>
        <v>216.42026264996392</v>
      </c>
      <c r="CE72" s="60">
        <f t="shared" si="94"/>
        <v>216.4587454288401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</v>
      </c>
      <c r="CT72" s="13">
        <f>IF('Données projet'!$A$140&gt;35,CT71+CS72-DB71,IF(A72&lt;'Données projet'!$A$140,$CQ$205^A72,IF(A72='Données projet'!$A$140,'Données projet'!$B$140,CT71+CS72-DB71)))</f>
        <v>167</v>
      </c>
      <c r="CU72" s="18">
        <f>CT72*VLOOKUP('Données projet'!$B$13,Paramètres!$A$1:$I$89,3,0)*VLOOKUP('Données projet'!$B$13,Paramètres!$A$1:$I$89,5,0)</f>
        <v>161.5224</v>
      </c>
      <c r="CV72" s="14">
        <f t="shared" si="95"/>
        <v>41.185707490721896</v>
      </c>
      <c r="CW72" s="22">
        <f t="shared" si="67"/>
        <v>353.04995387967392</v>
      </c>
      <c r="CX72" s="60">
        <f t="shared" si="68"/>
        <v>618.98011422974048</v>
      </c>
      <c r="CY72" s="60">
        <f ca="1">AVERAGE(OFFSET($CX$3,0,0,'Données projet'!$E$13+1,1))-AVERAGE(OFFSET($H$3,0,0,'Données projet'!$E$13+1,1))</f>
        <v>385.5283976785621</v>
      </c>
      <c r="CZ72" s="60">
        <f t="shared" si="96"/>
        <v>173.19148969173838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235.19999999999993</v>
      </c>
      <c r="DP72" s="18">
        <f>DO72*VLOOKUP('Données projet'!$B$14,Paramètres!$A$1:$I$89,3,0)*VLOOKUP('Données projet'!$B$14,Paramètres!$A$1:$I$89,5,0)</f>
        <v>253.16927999999993</v>
      </c>
      <c r="DQ72" s="14">
        <f t="shared" si="97"/>
        <v>61.264096094739799</v>
      </c>
      <c r="DR72" s="22">
        <f t="shared" si="70"/>
        <v>547.63813003167172</v>
      </c>
      <c r="DS72" s="60">
        <f t="shared" si="71"/>
        <v>813.56829038173828</v>
      </c>
      <c r="DT72" s="60">
        <f ca="1">AVERAGE(OFFSET($DS$3,0,0,'Données projet'!$E$14+1,1))-AVERAGE(OFFSET($H$3,0,0,'Données projet'!$E$14+1,1))</f>
        <v>543.15812193567342</v>
      </c>
      <c r="DU72" s="60">
        <f t="shared" si="98"/>
        <v>286.40725588660575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3.4615384615384643</v>
      </c>
      <c r="EJ72" s="13">
        <f>IF('Données projet'!$A$192&gt;35,EJ71+EI72-ER71,IF(A72&lt;'Données projet'!$A$192,$EG$205^A72,IF(A72='Données projet'!$A$192,'Données projet'!$B$192,EJ71+EI72-ER71)))</f>
        <v>167.69230769230765</v>
      </c>
      <c r="EK72" s="18">
        <f>EJ72*VLOOKUP('Données projet'!$B$15,Paramètres!$A$1:$I$89,3,0)*VLOOKUP('Données projet'!$B$15,Paramètres!$A$1:$I$89,5,0)</f>
        <v>112.48799999999997</v>
      </c>
      <c r="EL72" s="14">
        <f t="shared" si="99"/>
        <v>29.916411545931812</v>
      </c>
      <c r="EM72" s="22">
        <f t="shared" si="73"/>
        <v>248.02101677583119</v>
      </c>
      <c r="EN72" s="60">
        <f t="shared" si="74"/>
        <v>513.95117712589774</v>
      </c>
      <c r="EO72" s="60">
        <f ca="1">AVERAGE(OFFSET($EN$3,0,0,'Données projet'!$E$15+1,1))-AVERAGE(OFFSET($H$3,0,0,'Données projet'!$E$15+1,1))</f>
        <v>239.52247785001794</v>
      </c>
      <c r="EP72" s="60">
        <f t="shared" si="100"/>
        <v>173.69760199651617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0.51064905738587363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0.51064905738587363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8">
        <f t="shared" si="56"/>
        <v>183.33333333333334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245.38799999999995</v>
      </c>
      <c r="P73" s="14">
        <f t="shared" si="87"/>
        <v>59.597282764919569</v>
      </c>
      <c r="Q73" s="22">
        <f t="shared" si="54"/>
        <v>531.18270081556818</v>
      </c>
      <c r="R73" s="60">
        <f t="shared" si="55"/>
        <v>797.58824495257772</v>
      </c>
      <c r="S73" s="60">
        <f ca="1">AVERAGE(OFFSET($R$3,0,0,'Données projet'!$E$9+1,1))-AVERAGE(OFFSET($H$3,0,0,'Données projet'!$E$9+1,1))</f>
        <v>516.54532596122067</v>
      </c>
      <c r="T73" s="60">
        <f t="shared" si="88"/>
        <v>273.35778700650792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171.15384615384616</v>
      </c>
      <c r="AG73" s="13">
        <f>VLOOKUP(A73,'Données projet'!$A$61:$I$81,9,0)</f>
        <v>3.7179487179487181</v>
      </c>
      <c r="AH73" s="13">
        <f t="array" ref="AH73">INDEX(AG:AG,MIN(IF(ISNUMBER(AG73:AG269),ROW(AG73:AG269),"")))</f>
        <v>3.7179487179487181</v>
      </c>
      <c r="AI73" s="14">
        <f>IF('Données projet'!$A$62&gt;35,AI72+AH73-AQ72,IF(A73&lt;'Données projet'!$A$62,$AF$205^A73,IF(A73='Données projet'!$A$62,'Données projet'!$B$62,AI72+AH73-AQ72)))</f>
        <v>171.1538461538463</v>
      </c>
      <c r="AJ73" s="14">
        <f>AI73*VLOOKUP('Données projet'!$B$10,Paramètres!$A$1:$I$89,3,0)*VLOOKUP('Données projet'!$B$10,Paramètres!$A$1:$I$89,5,0)</f>
        <v>162.87000000000015</v>
      </c>
      <c r="AK73" s="14">
        <f t="shared" si="89"/>
        <v>41.489180591467992</v>
      </c>
      <c r="AL73" s="22">
        <f t="shared" si="58"/>
        <v>355.92557286347369</v>
      </c>
      <c r="AM73" s="60">
        <f t="shared" si="59"/>
        <v>622.33111700048312</v>
      </c>
      <c r="AN73" s="60">
        <f ca="1">AVERAGE(OFFSET($AM$3,0,0,'Données projet'!$E$10+1,1))-AVERAGE(OFFSET($H$3,0,0,'Données projet'!$E$10+1,1))</f>
        <v>328.36544111680962</v>
      </c>
      <c r="AO73" s="60">
        <f t="shared" si="90"/>
        <v>226.85392900722772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21.794871794871796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217</v>
      </c>
      <c r="BB73" s="13">
        <f>VLOOKUP(A73,'Données projet'!$A$87:$I$107,9,0)</f>
        <v>3</v>
      </c>
      <c r="BC73" s="13">
        <f t="array" ref="BC73">INDEX(BB:BB,MIN(IF(ISNUMBER(BB73:BB269),ROW(BB73:BB269),"")))</f>
        <v>3</v>
      </c>
      <c r="BD73" s="13">
        <f>IF('Données projet'!$A$88&gt;35,BD72+BC73-BL72,IF(A73&lt;'Données projet'!$A$88,$BA$205^A73,IF(A73='Données projet'!$A$88,'Données projet'!$B$88,BD72+BC73-BL72)))</f>
        <v>216.99999999999989</v>
      </c>
      <c r="BE73" s="14">
        <f>BD73*VLOOKUP('Données projet'!$B$11,Paramètres!$A$1:$I$89,3,0)*VLOOKUP('Données projet'!$B$11,Paramètres!$A$1:$I$89,5,0)</f>
        <v>189.57119999999995</v>
      </c>
      <c r="BF73" s="14">
        <f t="shared" si="91"/>
        <v>47.44513879693244</v>
      </c>
      <c r="BG73" s="22">
        <f t="shared" si="61"/>
        <v>412.80345673799053</v>
      </c>
      <c r="BH73" s="60">
        <f t="shared" si="62"/>
        <v>679.20900087500002</v>
      </c>
      <c r="BI73" s="60">
        <f ca="1">AVERAGE(OFFSET($BH$3,0,0,'Données projet'!$E$11+1,1))-AVERAGE(OFFSET($H$3,0,0,'Données projet'!$E$11+1,1))</f>
        <v>296.01124173332352</v>
      </c>
      <c r="BJ73" s="60">
        <f t="shared" si="92"/>
        <v>315.50730924873733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16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4</v>
      </c>
      <c r="BX73" s="13">
        <f t="array" ref="BX73">INDEX(BW:BW,MIN(IF(ISNUMBER(BW73:BW269),ROW(BW73:BW269),"")))</f>
        <v>4</v>
      </c>
      <c r="BY73" s="13">
        <f>IF('Données projet'!$A$114&gt;35,BY72+BX73-CG72,IF(A73&lt;'Données projet'!$A$114,$BV$205^A73,IF(A73='Données projet'!$A$114,'Données projet'!$B$114,BY72+BX73-CG72)))</f>
        <v>172.99999999999997</v>
      </c>
      <c r="BZ73" s="14">
        <f>BY73*VLOOKUP('Données projet'!$B$12,Paramètres!$A$1:$I$89,3,0)*VLOOKUP('Données projet'!$B$12,Paramètres!$A$1:$I$89,5,0)</f>
        <v>113.34959999999998</v>
      </c>
      <c r="CA73" s="14">
        <f t="shared" si="93"/>
        <v>30.118793417247076</v>
      </c>
      <c r="CB73" s="22">
        <f t="shared" si="64"/>
        <v>249.87411853503863</v>
      </c>
      <c r="CC73" s="60">
        <f t="shared" si="65"/>
        <v>516.27966267204806</v>
      </c>
      <c r="CD73" s="60">
        <f ca="1">AVERAGE(OFFSET($CC$3,0,0,'Données projet'!$E$12+1,1))-AVERAGE(OFFSET($H$3,0,0,'Données projet'!$E$12+1,1))</f>
        <v>216.42026264996392</v>
      </c>
      <c r="CE73" s="60">
        <f t="shared" si="94"/>
        <v>216.4587454288401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31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172</v>
      </c>
      <c r="CR73" s="13">
        <f>VLOOKUP(A73,'Données projet'!$A$139:$I$159,9,0)</f>
        <v>5</v>
      </c>
      <c r="CS73" s="13">
        <f t="array" ref="CS73">INDEX(CR:CR,MIN(IF(ISNUMBER(CR73:CR269),ROW(CR73:CR269),"")))</f>
        <v>5</v>
      </c>
      <c r="CT73" s="13">
        <f>IF('Données projet'!$A$140&gt;35,CT72+CS73-DB72,IF(A73&lt;'Données projet'!$A$140,$CQ$205^A73,IF(A73='Données projet'!$A$140,'Données projet'!$B$140,CT72+CS73-DB72)))</f>
        <v>172</v>
      </c>
      <c r="CU73" s="18">
        <f>CT73*VLOOKUP('Données projet'!$B$13,Paramètres!$A$1:$I$89,3,0)*VLOOKUP('Données projet'!$B$13,Paramètres!$A$1:$I$89,5,0)</f>
        <v>166.35840000000002</v>
      </c>
      <c r="CV73" s="14">
        <f t="shared" si="95"/>
        <v>42.27340131152765</v>
      </c>
      <c r="CW73" s="22">
        <f t="shared" si="67"/>
        <v>363.3670539509107</v>
      </c>
      <c r="CX73" s="60">
        <f t="shared" si="68"/>
        <v>629.77259808792019</v>
      </c>
      <c r="CY73" s="60">
        <f ca="1">AVERAGE(OFFSET($CX$3,0,0,'Données projet'!$E$13+1,1))-AVERAGE(OFFSET($H$3,0,0,'Données projet'!$E$13+1,1))</f>
        <v>385.5283976785621</v>
      </c>
      <c r="CZ73" s="60">
        <f t="shared" si="96"/>
        <v>173.19148969173838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241.99999999999994</v>
      </c>
      <c r="DP73" s="18">
        <f>DO73*VLOOKUP('Données projet'!$B$14,Paramètres!$A$1:$I$89,3,0)*VLOOKUP('Données projet'!$B$14,Paramètres!$A$1:$I$89,5,0)</f>
        <v>260.48879999999997</v>
      </c>
      <c r="DQ73" s="14">
        <f t="shared" si="97"/>
        <v>62.826558970958821</v>
      </c>
      <c r="DR73" s="22">
        <f t="shared" si="70"/>
        <v>563.10758354108657</v>
      </c>
      <c r="DS73" s="60">
        <f t="shared" si="71"/>
        <v>829.513127678096</v>
      </c>
      <c r="DT73" s="60">
        <f ca="1">AVERAGE(OFFSET($DS$3,0,0,'Données projet'!$E$14+1,1))-AVERAGE(OFFSET($H$3,0,0,'Données projet'!$E$14+1,1))</f>
        <v>543.15812193567342</v>
      </c>
      <c r="DU73" s="60">
        <f t="shared" si="98"/>
        <v>286.40725588660575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171.15384615384616</v>
      </c>
      <c r="EH73" s="13">
        <f>VLOOKUP(A73,'Données projet'!$A$191:$I$211,9,0)</f>
        <v>3.4615384615384643</v>
      </c>
      <c r="EI73" s="13">
        <f t="array" ref="EI73">INDEX(EH:EH,MIN(IF(ISNUMBER(EH73:EH269),ROW(EH73:EH269),"")))</f>
        <v>3.4615384615384643</v>
      </c>
      <c r="EJ73" s="13">
        <f>IF('Données projet'!$A$192&gt;35,EJ72+EI73-ER72,IF(A73&lt;'Données projet'!$A$192,$EG$205^A73,IF(A73='Données projet'!$A$192,'Données projet'!$B$192,EJ72+EI73-ER72)))</f>
        <v>171.1538461538461</v>
      </c>
      <c r="EK73" s="18">
        <f>EJ73*VLOOKUP('Données projet'!$B$15,Paramètres!$A$1:$I$89,3,0)*VLOOKUP('Données projet'!$B$15,Paramètres!$A$1:$I$89,5,0)</f>
        <v>114.80999999999997</v>
      </c>
      <c r="EL73" s="14">
        <f t="shared" si="99"/>
        <v>30.46141986456006</v>
      </c>
      <c r="EM73" s="22">
        <f t="shared" si="73"/>
        <v>253.01438959744209</v>
      </c>
      <c r="EN73" s="60">
        <f t="shared" si="74"/>
        <v>519.41993373445155</v>
      </c>
      <c r="EO73" s="60">
        <f ca="1">AVERAGE(OFFSET($EN$3,0,0,'Données projet'!$E$15+1,1))-AVERAGE(OFFSET($H$3,0,0,'Données projet'!$E$15+1,1))</f>
        <v>239.52247785001794</v>
      </c>
      <c r="EP73" s="60">
        <f t="shared" si="100"/>
        <v>173.69760199651617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19.871794871794872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0.49668533205779009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0.49668533205779009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8">
        <f t="shared" si="56"/>
        <v>183.33333333333334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251.67479999999995</v>
      </c>
      <c r="P74" s="14">
        <f t="shared" si="87"/>
        <v>60.944434584138449</v>
      </c>
      <c r="Q74" s="22">
        <f t="shared" si="54"/>
        <v>544.47850023404101</v>
      </c>
      <c r="R74" s="60">
        <f t="shared" si="55"/>
        <v>811.35118131208901</v>
      </c>
      <c r="S74" s="60">
        <f ca="1">AVERAGE(OFFSET($R$3,0,0,'Données projet'!$E$9+1,1))-AVERAGE(OFFSET($H$3,0,0,'Données projet'!$E$9+1,1))</f>
        <v>516.54532596122067</v>
      </c>
      <c r="T74" s="60">
        <f t="shared" si="88"/>
        <v>273.35778700650792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3.4615384615384586</v>
      </c>
      <c r="AI74" s="14">
        <f>IF('Données projet'!$A$62&gt;35,AI73+AH74-AQ73,IF(A74&lt;'Données projet'!$A$62,$AF$205^A74,IF(A74='Données projet'!$A$62,'Données projet'!$B$62,AI73+AH74-AQ73)))</f>
        <v>152.82051282051296</v>
      </c>
      <c r="AJ74" s="14">
        <f>AI74*VLOOKUP('Données projet'!$B$10,Paramètres!$A$1:$I$89,3,0)*VLOOKUP('Données projet'!$B$10,Paramètres!$A$1:$I$89,5,0)</f>
        <v>145.42400000000015</v>
      </c>
      <c r="AK74" s="14">
        <f t="shared" si="89"/>
        <v>37.536805542777266</v>
      </c>
      <c r="AL74" s="22">
        <f t="shared" si="58"/>
        <v>318.6567363203373</v>
      </c>
      <c r="AM74" s="60">
        <f t="shared" si="59"/>
        <v>585.52941739838525</v>
      </c>
      <c r="AN74" s="60">
        <f ca="1">AVERAGE(OFFSET($AM$3,0,0,'Données projet'!$E$10+1,1))-AVERAGE(OFFSET($H$3,0,0,'Données projet'!$E$10+1,1))</f>
        <v>328.36544111680962</v>
      </c>
      <c r="AO74" s="60">
        <f t="shared" si="90"/>
        <v>226.85392900722772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2.6</v>
      </c>
      <c r="BD74" s="13">
        <f>IF('Données projet'!$A$88&gt;35,BD73+BC74-BL73,IF(A74&lt;'Données projet'!$A$88,$BA$205^A74,IF(A74='Données projet'!$A$88,'Données projet'!$B$88,BD73+BC74-BL73)))</f>
        <v>203.59999999999988</v>
      </c>
      <c r="BE74" s="14">
        <f>BD74*VLOOKUP('Données projet'!$B$11,Paramètres!$A$1:$I$89,3,0)*VLOOKUP('Données projet'!$B$11,Paramètres!$A$1:$I$89,5,0)</f>
        <v>177.86495999999994</v>
      </c>
      <c r="BF74" s="14">
        <f t="shared" si="91"/>
        <v>44.846849734353725</v>
      </c>
      <c r="BG74" s="22">
        <f t="shared" si="61"/>
        <v>387.8897352873326</v>
      </c>
      <c r="BH74" s="60">
        <f t="shared" si="62"/>
        <v>654.76241636538055</v>
      </c>
      <c r="BI74" s="60">
        <f ca="1">AVERAGE(OFFSET($BH$3,0,0,'Données projet'!$E$11+1,1))-AVERAGE(OFFSET($H$3,0,0,'Données projet'!$E$11+1,1))</f>
        <v>296.01124173332352</v>
      </c>
      <c r="BJ74" s="60">
        <f t="shared" si="92"/>
        <v>315.50730924873733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3.8</v>
      </c>
      <c r="BY74" s="13">
        <f>IF('Données projet'!$A$114&gt;35,BY73+BX74-CG73,IF(A74&lt;'Données projet'!$A$114,$BV$205^A74,IF(A74='Données projet'!$A$114,'Données projet'!$B$114,BY73+BX74-CG73)))</f>
        <v>145.79999999999998</v>
      </c>
      <c r="BZ74" s="14">
        <f>BY74*VLOOKUP('Données projet'!$B$12,Paramètres!$A$1:$I$89,3,0)*VLOOKUP('Données projet'!$B$12,Paramètres!$A$1:$I$89,5,0)</f>
        <v>95.528159999999986</v>
      </c>
      <c r="CA74" s="14">
        <f t="shared" si="93"/>
        <v>25.893823366813653</v>
      </c>
      <c r="CB74" s="22">
        <f t="shared" si="64"/>
        <v>211.47662103053372</v>
      </c>
      <c r="CC74" s="60">
        <f t="shared" si="65"/>
        <v>478.3493021085817</v>
      </c>
      <c r="CD74" s="60">
        <f ca="1">AVERAGE(OFFSET($CC$3,0,0,'Données projet'!$E$12+1,1))-AVERAGE(OFFSET($H$3,0,0,'Données projet'!$E$12+1,1))</f>
        <v>216.42026264996392</v>
      </c>
      <c r="CE74" s="60">
        <f t="shared" si="94"/>
        <v>216.4587454288401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</v>
      </c>
      <c r="CT74" s="13">
        <f>IF('Données projet'!$A$140&gt;35,CT73+CS74-DB73,IF(A74&lt;'Données projet'!$A$140,$CQ$205^A74,IF(A74='Données projet'!$A$140,'Données projet'!$B$140,CT73+CS74-DB73)))</f>
        <v>177</v>
      </c>
      <c r="CU74" s="18">
        <f>CT74*VLOOKUP('Données projet'!$B$13,Paramètres!$A$1:$I$89,3,0)*VLOOKUP('Données projet'!$B$13,Paramètres!$A$1:$I$89,5,0)</f>
        <v>171.1944</v>
      </c>
      <c r="CV74" s="14">
        <f t="shared" si="95"/>
        <v>43.35742035290977</v>
      </c>
      <c r="CW74" s="22">
        <f t="shared" si="67"/>
        <v>373.67775378131779</v>
      </c>
      <c r="CX74" s="60">
        <f t="shared" si="68"/>
        <v>640.55043485936574</v>
      </c>
      <c r="CY74" s="60">
        <f ca="1">AVERAGE(OFFSET($CX$3,0,0,'Données projet'!$E$13+1,1))-AVERAGE(OFFSET($H$3,0,0,'Données projet'!$E$13+1,1))</f>
        <v>385.5283976785621</v>
      </c>
      <c r="CZ74" s="60">
        <f t="shared" si="96"/>
        <v>173.19148969173838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248.19999999999993</v>
      </c>
      <c r="DP74" s="18">
        <f>DO74*VLOOKUP('Données projet'!$B$14,Paramètres!$A$1:$I$89,3,0)*VLOOKUP('Données projet'!$B$14,Paramètres!$A$1:$I$89,5,0)</f>
        <v>267.16247999999996</v>
      </c>
      <c r="DQ74" s="14">
        <f t="shared" si="97"/>
        <v>64.246706153622185</v>
      </c>
      <c r="DR74" s="22">
        <f t="shared" si="70"/>
        <v>577.20433255089188</v>
      </c>
      <c r="DS74" s="60">
        <f t="shared" si="71"/>
        <v>844.07701362893977</v>
      </c>
      <c r="DT74" s="60">
        <f ca="1">AVERAGE(OFFSET($DS$3,0,0,'Données projet'!$E$14+1,1))-AVERAGE(OFFSET($H$3,0,0,'Données projet'!$E$14+1,1))</f>
        <v>543.15812193567342</v>
      </c>
      <c r="DU74" s="60">
        <f t="shared" si="98"/>
        <v>286.40725588660575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3.3333333333333313</v>
      </c>
      <c r="EJ74" s="13">
        <f>IF('Données projet'!$A$192&gt;35,EJ73+EI74-ER73,IF(A74&lt;'Données projet'!$A$192,$EG$205^A74,IF(A74='Données projet'!$A$192,'Données projet'!$B$192,EJ73+EI74-ER73)))</f>
        <v>154.61538461538458</v>
      </c>
      <c r="EK74" s="18">
        <f>EJ74*VLOOKUP('Données projet'!$B$15,Paramètres!$A$1:$I$89,3,0)*VLOOKUP('Données projet'!$B$15,Paramètres!$A$1:$I$89,5,0)</f>
        <v>103.71599999999998</v>
      </c>
      <c r="EL74" s="14">
        <f t="shared" si="99"/>
        <v>27.845394655279556</v>
      </c>
      <c r="EM74" s="22">
        <f t="shared" si="73"/>
        <v>229.13609569127854</v>
      </c>
      <c r="EN74" s="60">
        <f t="shared" si="74"/>
        <v>496.00877676932646</v>
      </c>
      <c r="EO74" s="60">
        <f ca="1">AVERAGE(OFFSET($EN$3,0,0,'Données projet'!$E$15+1,1))-AVERAGE(OFFSET($H$3,0,0,'Données projet'!$E$15+1,1))</f>
        <v>239.52247785001794</v>
      </c>
      <c r="EP74" s="60">
        <f t="shared" si="100"/>
        <v>173.69760199651617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0.4831034455331234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0.4831034455331234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8">
        <f t="shared" si="56"/>
        <v>183.33333333333334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257.96159999999992</v>
      </c>
      <c r="P75" s="14">
        <f t="shared" si="87"/>
        <v>62.287674609742481</v>
      </c>
      <c r="Q75" s="22">
        <f t="shared" si="54"/>
        <v>557.76748661196802</v>
      </c>
      <c r="R75" s="60">
        <f t="shared" si="55"/>
        <v>825.09920084948908</v>
      </c>
      <c r="S75" s="60">
        <f ca="1">AVERAGE(OFFSET($R$3,0,0,'Données projet'!$E$9+1,1))-AVERAGE(OFFSET($H$3,0,0,'Données projet'!$E$9+1,1))</f>
        <v>516.54532596122067</v>
      </c>
      <c r="T75" s="60">
        <f t="shared" si="88"/>
        <v>273.35778700650792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3.4615384615384586</v>
      </c>
      <c r="AI75" s="14">
        <f>IF('Données projet'!$A$62&gt;35,AI74+AH75-AQ74,IF(A75&lt;'Données projet'!$A$62,$AF$205^A75,IF(A75='Données projet'!$A$62,'Données projet'!$B$62,AI74+AH75-AQ74)))</f>
        <v>156.28205128205141</v>
      </c>
      <c r="AJ75" s="14">
        <f>AI75*VLOOKUP('Données projet'!$B$10,Paramètres!$A$1:$I$89,3,0)*VLOOKUP('Données projet'!$B$10,Paramètres!$A$1:$I$89,5,0)</f>
        <v>148.7180000000001</v>
      </c>
      <c r="AK75" s="14">
        <f t="shared" si="89"/>
        <v>38.287101140838288</v>
      </c>
      <c r="AL75" s="22">
        <f t="shared" si="58"/>
        <v>325.70055115362692</v>
      </c>
      <c r="AM75" s="60">
        <f t="shared" si="59"/>
        <v>593.03226539114803</v>
      </c>
      <c r="AN75" s="60">
        <f ca="1">AVERAGE(OFFSET($AM$3,0,0,'Données projet'!$E$10+1,1))-AVERAGE(OFFSET($H$3,0,0,'Données projet'!$E$10+1,1))</f>
        <v>328.36544111680962</v>
      </c>
      <c r="AO75" s="60">
        <f t="shared" si="90"/>
        <v>226.85392900722772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2.6</v>
      </c>
      <c r="BD75" s="13">
        <f>IF('Données projet'!$A$88&gt;35,BD74+BC75-BL74,IF(A75&lt;'Données projet'!$A$88,$BA$205^A75,IF(A75='Données projet'!$A$88,'Données projet'!$B$88,BD74+BC75-BL74)))</f>
        <v>206.19999999999987</v>
      </c>
      <c r="BE75" s="14">
        <f>BD75*VLOOKUP('Données projet'!$B$11,Paramètres!$A$1:$I$89,3,0)*VLOOKUP('Données projet'!$B$11,Paramètres!$A$1:$I$89,5,0)</f>
        <v>180.1363199999999</v>
      </c>
      <c r="BF75" s="14">
        <f t="shared" si="91"/>
        <v>45.352513518602102</v>
      </c>
      <c r="BG75" s="22">
        <f t="shared" si="61"/>
        <v>392.72638504489845</v>
      </c>
      <c r="BH75" s="60">
        <f t="shared" si="62"/>
        <v>660.05809928241956</v>
      </c>
      <c r="BI75" s="60">
        <f ca="1">AVERAGE(OFFSET($BH$3,0,0,'Données projet'!$E$11+1,1))-AVERAGE(OFFSET($H$3,0,0,'Données projet'!$E$11+1,1))</f>
        <v>296.01124173332352</v>
      </c>
      <c r="BJ75" s="60">
        <f t="shared" si="92"/>
        <v>315.50730924873733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3.8</v>
      </c>
      <c r="BY75" s="13">
        <f>IF('Données projet'!$A$114&gt;35,BY74+BX75-CG74,IF(A75&lt;'Données projet'!$A$114,$BV$205^A75,IF(A75='Données projet'!$A$114,'Données projet'!$B$114,BY74+BX75-CG74)))</f>
        <v>149.6</v>
      </c>
      <c r="BZ75" s="14">
        <f>BY75*VLOOKUP('Données projet'!$B$12,Paramètres!$A$1:$I$89,3,0)*VLOOKUP('Données projet'!$B$12,Paramètres!$A$1:$I$89,5,0)</f>
        <v>98.017919999999989</v>
      </c>
      <c r="CA75" s="14">
        <f t="shared" si="93"/>
        <v>26.489245540318151</v>
      </c>
      <c r="CB75" s="22">
        <f t="shared" si="64"/>
        <v>216.84997998272073</v>
      </c>
      <c r="CC75" s="60">
        <f t="shared" si="65"/>
        <v>484.18169422024187</v>
      </c>
      <c r="CD75" s="60">
        <f ca="1">AVERAGE(OFFSET($CC$3,0,0,'Données projet'!$E$12+1,1))-AVERAGE(OFFSET($H$3,0,0,'Données projet'!$E$12+1,1))</f>
        <v>216.42026264996392</v>
      </c>
      <c r="CE75" s="60">
        <f t="shared" si="94"/>
        <v>216.4587454288401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</v>
      </c>
      <c r="CT75" s="13">
        <f>IF('Données projet'!$A$140&gt;35,CT74+CS75-DB74,IF(A75&lt;'Données projet'!$A$140,$CQ$205^A75,IF(A75='Données projet'!$A$140,'Données projet'!$B$140,CT74+CS75-DB74)))</f>
        <v>182</v>
      </c>
      <c r="CU75" s="18">
        <f>CT75*VLOOKUP('Données projet'!$B$13,Paramètres!$A$1:$I$89,3,0)*VLOOKUP('Données projet'!$B$13,Paramètres!$A$1:$I$89,5,0)</f>
        <v>176.03040000000001</v>
      </c>
      <c r="CV75" s="14">
        <f t="shared" si="95"/>
        <v>44.437880346232944</v>
      </c>
      <c r="CW75" s="22">
        <f t="shared" si="67"/>
        <v>383.98225493635573</v>
      </c>
      <c r="CX75" s="60">
        <f t="shared" si="68"/>
        <v>651.31396917387679</v>
      </c>
      <c r="CY75" s="60">
        <f ca="1">AVERAGE(OFFSET($CX$3,0,0,'Données projet'!$E$13+1,1))-AVERAGE(OFFSET($H$3,0,0,'Données projet'!$E$13+1,1))</f>
        <v>385.5283976785621</v>
      </c>
      <c r="CZ75" s="60">
        <f t="shared" si="96"/>
        <v>173.19148969173838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254.39999999999992</v>
      </c>
      <c r="DP75" s="18">
        <f>DO75*VLOOKUP('Données projet'!$B$14,Paramètres!$A$1:$I$89,3,0)*VLOOKUP('Données projet'!$B$14,Paramètres!$A$1:$I$89,5,0)</f>
        <v>273.83615999999995</v>
      </c>
      <c r="DQ75" s="14">
        <f t="shared" si="97"/>
        <v>65.662729582301651</v>
      </c>
      <c r="DR75" s="22">
        <f t="shared" si="70"/>
        <v>591.29389935584197</v>
      </c>
      <c r="DS75" s="60">
        <f t="shared" si="71"/>
        <v>858.62561359336314</v>
      </c>
      <c r="DT75" s="60">
        <f ca="1">AVERAGE(OFFSET($DS$3,0,0,'Données projet'!$E$14+1,1))-AVERAGE(OFFSET($H$3,0,0,'Données projet'!$E$14+1,1))</f>
        <v>543.15812193567342</v>
      </c>
      <c r="DU75" s="60">
        <f t="shared" si="98"/>
        <v>286.40725588660575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3.3333333333333313</v>
      </c>
      <c r="EJ75" s="13">
        <f>IF('Données projet'!$A$192&gt;35,EJ74+EI75-ER74,IF(A75&lt;'Données projet'!$A$192,$EG$205^A75,IF(A75='Données projet'!$A$192,'Données projet'!$B$192,EJ74+EI75-ER74)))</f>
        <v>157.94871794871793</v>
      </c>
      <c r="EK75" s="18">
        <f>EJ75*VLOOKUP('Données projet'!$B$15,Paramètres!$A$1:$I$89,3,0)*VLOOKUP('Données projet'!$B$15,Paramètres!$A$1:$I$89,5,0)</f>
        <v>105.95199999999998</v>
      </c>
      <c r="EL75" s="14">
        <f t="shared" si="99"/>
        <v>28.375172985321207</v>
      </c>
      <c r="EM75" s="22">
        <f t="shared" si="73"/>
        <v>233.95315961610106</v>
      </c>
      <c r="EN75" s="60">
        <f t="shared" si="74"/>
        <v>501.28487385362217</v>
      </c>
      <c r="EO75" s="60">
        <f ca="1">AVERAGE(OFFSET($EN$3,0,0,'Données projet'!$E$15+1,1))-AVERAGE(OFFSET($H$3,0,0,'Données projet'!$E$15+1,1))</f>
        <v>239.52247785001794</v>
      </c>
      <c r="EP75" s="60">
        <f t="shared" si="100"/>
        <v>173.69760199651617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0.46989295640971407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0.46989295640971407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8">
        <f t="shared" si="56"/>
        <v>183.33333333333334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264.24839999999995</v>
      </c>
      <c r="P76" s="14">
        <f t="shared" si="87"/>
        <v>63.627109143733414</v>
      </c>
      <c r="Q76" s="22">
        <f t="shared" si="54"/>
        <v>571.04984509200233</v>
      </c>
      <c r="R76" s="60">
        <f t="shared" si="55"/>
        <v>838.83262928992417</v>
      </c>
      <c r="S76" s="60">
        <f ca="1">AVERAGE(OFFSET($R$3,0,0,'Données projet'!$E$9+1,1))-AVERAGE(OFFSET($H$3,0,0,'Données projet'!$E$9+1,1))</f>
        <v>516.54532596122067</v>
      </c>
      <c r="T76" s="60">
        <f t="shared" si="88"/>
        <v>273.35778700650792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3.4615384615384586</v>
      </c>
      <c r="AI76" s="14">
        <f>IF('Données projet'!$A$62&gt;35,AI75+AH76-AQ75,IF(A76&lt;'Données projet'!$A$62,$AF$205^A76,IF(A76='Données projet'!$A$62,'Données projet'!$B$62,AI75+AH76-AQ75)))</f>
        <v>159.74358974358987</v>
      </c>
      <c r="AJ76" s="14">
        <f>AI76*VLOOKUP('Données projet'!$B$10,Paramètres!$A$1:$I$89,3,0)*VLOOKUP('Données projet'!$B$10,Paramètres!$A$1:$I$89,5,0)</f>
        <v>152.01200000000011</v>
      </c>
      <c r="AK76" s="14">
        <f t="shared" si="89"/>
        <v>39.035464667161314</v>
      </c>
      <c r="AL76" s="22">
        <f t="shared" si="58"/>
        <v>332.74100096197282</v>
      </c>
      <c r="AM76" s="60">
        <f t="shared" si="59"/>
        <v>600.5237851598946</v>
      </c>
      <c r="AN76" s="60">
        <f ca="1">AVERAGE(OFFSET($AM$3,0,0,'Données projet'!$E$10+1,1))-AVERAGE(OFFSET($H$3,0,0,'Données projet'!$E$10+1,1))</f>
        <v>328.36544111680962</v>
      </c>
      <c r="AO76" s="60">
        <f t="shared" si="90"/>
        <v>226.85392900722772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2.6</v>
      </c>
      <c r="BD76" s="13">
        <f>IF('Données projet'!$A$88&gt;35,BD75+BC76-BL75,IF(A76&lt;'Données projet'!$A$88,$BA$205^A76,IF(A76='Données projet'!$A$88,'Données projet'!$B$88,BD75+BC76-BL75)))</f>
        <v>208.79999999999987</v>
      </c>
      <c r="BE76" s="14">
        <f>BD76*VLOOKUP('Données projet'!$B$11,Paramètres!$A$1:$I$89,3,0)*VLOOKUP('Données projet'!$B$11,Paramètres!$A$1:$I$89,5,0)</f>
        <v>182.40767999999991</v>
      </c>
      <c r="BF76" s="14">
        <f t="shared" si="91"/>
        <v>45.857435663065921</v>
      </c>
      <c r="BG76" s="22">
        <f t="shared" si="61"/>
        <v>397.56174311317301</v>
      </c>
      <c r="BH76" s="60">
        <f t="shared" si="62"/>
        <v>665.34452731109479</v>
      </c>
      <c r="BI76" s="60">
        <f ca="1">AVERAGE(OFFSET($BH$3,0,0,'Données projet'!$E$11+1,1))-AVERAGE(OFFSET($H$3,0,0,'Données projet'!$E$11+1,1))</f>
        <v>296.01124173332352</v>
      </c>
      <c r="BJ76" s="60">
        <f t="shared" si="92"/>
        <v>315.50730924873733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3.8</v>
      </c>
      <c r="BY76" s="13">
        <f>IF('Données projet'!$A$114&gt;35,BY75+BX76-CG75,IF(A76&lt;'Données projet'!$A$114,$BV$205^A76,IF(A76='Données projet'!$A$114,'Données projet'!$B$114,BY75+BX76-CG75)))</f>
        <v>153.4</v>
      </c>
      <c r="BZ76" s="14">
        <f>BY76*VLOOKUP('Données projet'!$B$12,Paramètres!$A$1:$I$89,3,0)*VLOOKUP('Données projet'!$B$12,Paramètres!$A$1:$I$89,5,0)</f>
        <v>100.50767999999999</v>
      </c>
      <c r="CA76" s="14">
        <f t="shared" si="93"/>
        <v>27.082909638543693</v>
      </c>
      <c r="CB76" s="22">
        <f t="shared" si="64"/>
        <v>222.22027695379691</v>
      </c>
      <c r="CC76" s="60">
        <f t="shared" si="65"/>
        <v>490.00306115171873</v>
      </c>
      <c r="CD76" s="60">
        <f ca="1">AVERAGE(OFFSET($CC$3,0,0,'Données projet'!$E$12+1,1))-AVERAGE(OFFSET($H$3,0,0,'Données projet'!$E$12+1,1))</f>
        <v>216.42026264996392</v>
      </c>
      <c r="CE76" s="60">
        <f t="shared" si="94"/>
        <v>216.4587454288401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</v>
      </c>
      <c r="CT76" s="13">
        <f>IF('Données projet'!$A$140&gt;35,CT75+CS76-DB75,IF(A76&lt;'Données projet'!$A$140,$CQ$205^A76,IF(A76='Données projet'!$A$140,'Données projet'!$B$140,CT75+CS76-DB75)))</f>
        <v>187</v>
      </c>
      <c r="CU76" s="18">
        <f>CT76*VLOOKUP('Données projet'!$B$13,Paramètres!$A$1:$I$89,3,0)*VLOOKUP('Données projet'!$B$13,Paramètres!$A$1:$I$89,5,0)</f>
        <v>180.8664</v>
      </c>
      <c r="CV76" s="14">
        <f t="shared" si="95"/>
        <v>45.514890302102152</v>
      </c>
      <c r="CW76" s="22">
        <f t="shared" si="67"/>
        <v>394.28074727616121</v>
      </c>
      <c r="CX76" s="60">
        <f t="shared" si="68"/>
        <v>662.06353147408299</v>
      </c>
      <c r="CY76" s="60">
        <f ca="1">AVERAGE(OFFSET($CX$3,0,0,'Données projet'!$E$13+1,1))-AVERAGE(OFFSET($H$3,0,0,'Données projet'!$E$13+1,1))</f>
        <v>385.5283976785621</v>
      </c>
      <c r="CZ76" s="60">
        <f t="shared" si="96"/>
        <v>173.19148969173838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260.59999999999991</v>
      </c>
      <c r="DP76" s="18">
        <f>DO76*VLOOKUP('Données projet'!$B$14,Paramètres!$A$1:$I$89,3,0)*VLOOKUP('Données projet'!$B$14,Paramètres!$A$1:$I$89,5,0)</f>
        <v>280.50983999999988</v>
      </c>
      <c r="DQ76" s="14">
        <f t="shared" si="97"/>
        <v>67.074741318968506</v>
      </c>
      <c r="DR76" s="22">
        <f t="shared" si="70"/>
        <v>605.37647913053661</v>
      </c>
      <c r="DS76" s="60">
        <f t="shared" si="71"/>
        <v>873.15926332845834</v>
      </c>
      <c r="DT76" s="60">
        <f ca="1">AVERAGE(OFFSET($DS$3,0,0,'Données projet'!$E$14+1,1))-AVERAGE(OFFSET($H$3,0,0,'Données projet'!$E$14+1,1))</f>
        <v>543.15812193567342</v>
      </c>
      <c r="DU76" s="60">
        <f t="shared" si="98"/>
        <v>286.40725588660575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3.3333333333333313</v>
      </c>
      <c r="EJ76" s="13">
        <f>IF('Données projet'!$A$192&gt;35,EJ75+EI76-ER75,IF(A76&lt;'Données projet'!$A$192,$EG$205^A76,IF(A76='Données projet'!$A$192,'Données projet'!$B$192,EJ75+EI76-ER75)))</f>
        <v>161.28205128205127</v>
      </c>
      <c r="EK76" s="18">
        <f>EJ76*VLOOKUP('Données projet'!$B$15,Paramètres!$A$1:$I$89,3,0)*VLOOKUP('Données projet'!$B$15,Paramètres!$A$1:$I$89,5,0)</f>
        <v>108.18799999999999</v>
      </c>
      <c r="EL76" s="14">
        <f t="shared" si="99"/>
        <v>28.90365141347193</v>
      </c>
      <c r="EM76" s="22">
        <f t="shared" si="73"/>
        <v>238.76795954513022</v>
      </c>
      <c r="EN76" s="60">
        <f t="shared" si="74"/>
        <v>506.55074374305201</v>
      </c>
      <c r="EO76" s="60">
        <f ca="1">AVERAGE(OFFSET($EN$3,0,0,'Données projet'!$E$15+1,1))-AVERAGE(OFFSET($H$3,0,0,'Données projet'!$E$15+1,1))</f>
        <v>239.52247785001794</v>
      </c>
      <c r="EP76" s="60">
        <f t="shared" si="100"/>
        <v>173.69760199651617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0.4570437088060938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0.4570437088060938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8">
        <f t="shared" si="56"/>
        <v>183.33333333333334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270.53519999999992</v>
      </c>
      <c r="P77" s="14">
        <f t="shared" si="87"/>
        <v>64.962839141501405</v>
      </c>
      <c r="Q77" s="22">
        <f t="shared" si="54"/>
        <v>584.32575150478135</v>
      </c>
      <c r="R77" s="60">
        <f t="shared" si="55"/>
        <v>852.55178060773221</v>
      </c>
      <c r="S77" s="60">
        <f ca="1">AVERAGE(OFFSET($R$3,0,0,'Données projet'!$E$9+1,1))-AVERAGE(OFFSET($H$3,0,0,'Données projet'!$E$9+1,1))</f>
        <v>516.54532596122067</v>
      </c>
      <c r="T77" s="60">
        <f t="shared" si="88"/>
        <v>273.35778700650792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3.4615384615384586</v>
      </c>
      <c r="AI77" s="14">
        <f>IF('Données projet'!$A$62&gt;35,AI76+AH77-AQ76,IF(A77&lt;'Données projet'!$A$62,$AF$205^A77,IF(A77='Données projet'!$A$62,'Données projet'!$B$62,AI76+AH77-AQ76)))</f>
        <v>163.20512820512832</v>
      </c>
      <c r="AJ77" s="14">
        <f>AI77*VLOOKUP('Données projet'!$B$10,Paramètres!$A$1:$I$89,3,0)*VLOOKUP('Données projet'!$B$10,Paramètres!$A$1:$I$89,5,0)</f>
        <v>155.3060000000001</v>
      </c>
      <c r="AK77" s="14">
        <f t="shared" si="89"/>
        <v>39.781942810239343</v>
      </c>
      <c r="AL77" s="22">
        <f t="shared" si="58"/>
        <v>339.77816706116704</v>
      </c>
      <c r="AM77" s="60">
        <f t="shared" si="59"/>
        <v>608.00419616411796</v>
      </c>
      <c r="AN77" s="60">
        <f ca="1">AVERAGE(OFFSET($AM$3,0,0,'Données projet'!$E$10+1,1))-AVERAGE(OFFSET($H$3,0,0,'Données projet'!$E$10+1,1))</f>
        <v>328.36544111680962</v>
      </c>
      <c r="AO77" s="60">
        <f t="shared" si="90"/>
        <v>226.85392900722772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2.6</v>
      </c>
      <c r="BD77" s="13">
        <f>IF('Données projet'!$A$88&gt;35,BD76+BC77-BL76,IF(A77&lt;'Données projet'!$A$88,$BA$205^A77,IF(A77='Données projet'!$A$88,'Données projet'!$B$88,BD76+BC77-BL76)))</f>
        <v>211.39999999999986</v>
      </c>
      <c r="BE77" s="14">
        <f>BD77*VLOOKUP('Données projet'!$B$11,Paramètres!$A$1:$I$89,3,0)*VLOOKUP('Données projet'!$B$11,Paramètres!$A$1:$I$89,5,0)</f>
        <v>184.6790399999999</v>
      </c>
      <c r="BF77" s="14">
        <f t="shared" si="91"/>
        <v>46.361626470742181</v>
      </c>
      <c r="BG77" s="22">
        <f t="shared" si="61"/>
        <v>402.39582743654245</v>
      </c>
      <c r="BH77" s="60">
        <f t="shared" si="62"/>
        <v>670.62185653949336</v>
      </c>
      <c r="BI77" s="60">
        <f ca="1">AVERAGE(OFFSET($BH$3,0,0,'Données projet'!$E$11+1,1))-AVERAGE(OFFSET($H$3,0,0,'Données projet'!$E$11+1,1))</f>
        <v>296.01124173332352</v>
      </c>
      <c r="BJ77" s="60">
        <f t="shared" si="92"/>
        <v>315.50730924873733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3.8</v>
      </c>
      <c r="BY77" s="13">
        <f>IF('Données projet'!$A$114&gt;35,BY76+BX77-CG76,IF(A77&lt;'Données projet'!$A$114,$BV$205^A77,IF(A77='Données projet'!$A$114,'Données projet'!$B$114,BY76+BX77-CG76)))</f>
        <v>157.20000000000002</v>
      </c>
      <c r="BZ77" s="14">
        <f>BY77*VLOOKUP('Données projet'!$B$12,Paramètres!$A$1:$I$89,3,0)*VLOOKUP('Données projet'!$B$12,Paramètres!$A$1:$I$89,5,0)</f>
        <v>102.99744000000001</v>
      </c>
      <c r="CA77" s="14">
        <f t="shared" si="93"/>
        <v>27.67486422157177</v>
      </c>
      <c r="CB77" s="22">
        <f t="shared" si="64"/>
        <v>227.58759651923751</v>
      </c>
      <c r="CC77" s="60">
        <f t="shared" si="65"/>
        <v>495.8136256221884</v>
      </c>
      <c r="CD77" s="60">
        <f ca="1">AVERAGE(OFFSET($CC$3,0,0,'Données projet'!$E$12+1,1))-AVERAGE(OFFSET($H$3,0,0,'Données projet'!$E$12+1,1))</f>
        <v>216.42026264996392</v>
      </c>
      <c r="CE77" s="60">
        <f t="shared" si="94"/>
        <v>216.4587454288401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</v>
      </c>
      <c r="CT77" s="13">
        <f>IF('Données projet'!$A$140&gt;35,CT76+CS77-DB76,IF(A77&lt;'Données projet'!$A$140,$CQ$205^A77,IF(A77='Données projet'!$A$140,'Données projet'!$B$140,CT76+CS77-DB76)))</f>
        <v>192</v>
      </c>
      <c r="CU77" s="18">
        <f>CT77*VLOOKUP('Données projet'!$B$13,Paramètres!$A$1:$I$89,3,0)*VLOOKUP('Données projet'!$B$13,Paramètres!$A$1:$I$89,5,0)</f>
        <v>185.70239999999998</v>
      </c>
      <c r="CV77" s="14">
        <f t="shared" si="95"/>
        <v>46.588553069776829</v>
      </c>
      <c r="CW77" s="22">
        <f t="shared" si="67"/>
        <v>404.57340992986127</v>
      </c>
      <c r="CX77" s="60">
        <f t="shared" si="68"/>
        <v>672.79943903281219</v>
      </c>
      <c r="CY77" s="60">
        <f ca="1">AVERAGE(OFFSET($CX$3,0,0,'Données projet'!$E$13+1,1))-AVERAGE(OFFSET($H$3,0,0,'Données projet'!$E$13+1,1))</f>
        <v>385.5283976785621</v>
      </c>
      <c r="CZ77" s="60">
        <f t="shared" si="96"/>
        <v>173.19148969173838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266.7999999999999</v>
      </c>
      <c r="DP77" s="18">
        <f>DO77*VLOOKUP('Données projet'!$B$14,Paramètres!$A$1:$I$89,3,0)*VLOOKUP('Données projet'!$B$14,Paramètres!$A$1:$I$89,5,0)</f>
        <v>287.18351999999987</v>
      </c>
      <c r="DQ77" s="14">
        <f t="shared" si="97"/>
        <v>68.482847789276349</v>
      </c>
      <c r="DR77" s="22">
        <f t="shared" si="70"/>
        <v>619.45225723298938</v>
      </c>
      <c r="DS77" s="60">
        <f t="shared" si="71"/>
        <v>887.67828633594024</v>
      </c>
      <c r="DT77" s="60">
        <f ca="1">AVERAGE(OFFSET($DS$3,0,0,'Données projet'!$E$14+1,1))-AVERAGE(OFFSET($H$3,0,0,'Données projet'!$E$14+1,1))</f>
        <v>543.15812193567342</v>
      </c>
      <c r="DU77" s="60">
        <f t="shared" si="98"/>
        <v>286.40725588660575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3.3333333333333313</v>
      </c>
      <c r="EJ77" s="13">
        <f>IF('Données projet'!$A$192&gt;35,EJ76+EI77-ER76,IF(A77&lt;'Données projet'!$A$192,$EG$205^A77,IF(A77='Données projet'!$A$192,'Données projet'!$B$192,EJ76+EI77-ER76)))</f>
        <v>164.61538461538461</v>
      </c>
      <c r="EK77" s="18">
        <f>EJ77*VLOOKUP('Données projet'!$B$15,Paramètres!$A$1:$I$89,3,0)*VLOOKUP('Données projet'!$B$15,Paramètres!$A$1:$I$89,5,0)</f>
        <v>110.42399999999999</v>
      </c>
      <c r="EL77" s="14">
        <f t="shared" si="99"/>
        <v>29.430859901210518</v>
      </c>
      <c r="EM77" s="22">
        <f t="shared" si="73"/>
        <v>243.58054766127498</v>
      </c>
      <c r="EN77" s="60">
        <f t="shared" si="74"/>
        <v>511.80657676422584</v>
      </c>
      <c r="EO77" s="60">
        <f ca="1">AVERAGE(OFFSET($EN$3,0,0,'Données projet'!$E$15+1,1))-AVERAGE(OFFSET($H$3,0,0,'Données projet'!$E$15+1,1))</f>
        <v>239.52247785001794</v>
      </c>
      <c r="EP77" s="60">
        <f t="shared" si="100"/>
        <v>173.69760199651617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0.44454582455390712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0.44454582455390712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8">
        <f t="shared" si="56"/>
        <v>183.33333333333334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276.82199999999989</v>
      </c>
      <c r="P78" s="14">
        <f t="shared" si="87"/>
        <v>66.29496059864374</v>
      </c>
      <c r="Q78" s="22">
        <f t="shared" si="54"/>
        <v>597.59537304263756</v>
      </c>
      <c r="R78" s="60">
        <f t="shared" si="55"/>
        <v>866.25695774246242</v>
      </c>
      <c r="S78" s="60">
        <f ca="1">AVERAGE(OFFSET($R$3,0,0,'Données projet'!$E$9+1,1))-AVERAGE(OFFSET($H$3,0,0,'Données projet'!$E$9+1,1))</f>
        <v>516.54532596122067</v>
      </c>
      <c r="T78" s="60">
        <f t="shared" si="88"/>
        <v>273.35778700650792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166.66666666666666</v>
      </c>
      <c r="AG78" s="13">
        <f>VLOOKUP(A78,'Données projet'!$A$61:$I$81,9,0)</f>
        <v>3.4615384615384586</v>
      </c>
      <c r="AH78" s="13">
        <f t="array" ref="AH78">INDEX(AG:AG,MIN(IF(ISNUMBER(AG78:AG274),ROW(AG78:AG274),"")))</f>
        <v>3.4615384615384586</v>
      </c>
      <c r="AI78" s="14">
        <f>IF('Données projet'!$A$62&gt;35,AI77+AH78-AQ77,IF(A78&lt;'Données projet'!$A$62,$AF$205^A78,IF(A78='Données projet'!$A$62,'Données projet'!$B$62,AI77+AH78-AQ77)))</f>
        <v>166.66666666666677</v>
      </c>
      <c r="AJ78" s="14">
        <f>AI78*VLOOKUP('Données projet'!$B$10,Paramètres!$A$1:$I$89,3,0)*VLOOKUP('Données projet'!$B$10,Paramètres!$A$1:$I$89,5,0)</f>
        <v>158.60000000000011</v>
      </c>
      <c r="AK78" s="14">
        <f t="shared" si="89"/>
        <v>40.526580164911756</v>
      </c>
      <c r="AL78" s="22">
        <f t="shared" si="58"/>
        <v>346.81212712055481</v>
      </c>
      <c r="AM78" s="60">
        <f t="shared" si="59"/>
        <v>615.47371182037955</v>
      </c>
      <c r="AN78" s="60">
        <f ca="1">AVERAGE(OFFSET($AM$3,0,0,'Données projet'!$E$10+1,1))-AVERAGE(OFFSET($H$3,0,0,'Données projet'!$E$10+1,1))</f>
        <v>328.36544111680962</v>
      </c>
      <c r="AO78" s="60">
        <f t="shared" si="90"/>
        <v>226.85392900722772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214</v>
      </c>
      <c r="BB78" s="13">
        <f>VLOOKUP(A78,'Données projet'!$A$87:$I$107,9,0)</f>
        <v>2.6</v>
      </c>
      <c r="BC78" s="13">
        <f t="array" ref="BC78">INDEX(BB:BB,MIN(IF(ISNUMBER(BB78:BB274),ROW(BB78:BB274),"")))</f>
        <v>2.6</v>
      </c>
      <c r="BD78" s="13">
        <f>IF('Données projet'!$A$88&gt;35,BD77+BC78-BL77,IF(A78&lt;'Données projet'!$A$88,$BA$205^A78,IF(A78='Données projet'!$A$88,'Données projet'!$B$88,BD77+BC78-BL77)))</f>
        <v>213.99999999999986</v>
      </c>
      <c r="BE78" s="14">
        <f>BD78*VLOOKUP('Données projet'!$B$11,Paramètres!$A$1:$I$89,3,0)*VLOOKUP('Données projet'!$B$11,Paramètres!$A$1:$I$89,5,0)</f>
        <v>186.95039999999989</v>
      </c>
      <c r="BF78" s="14">
        <f t="shared" si="91"/>
        <v>46.86509597661761</v>
      </c>
      <c r="BG78" s="22">
        <f t="shared" si="61"/>
        <v>407.22865549260882</v>
      </c>
      <c r="BH78" s="60">
        <f t="shared" si="62"/>
        <v>675.89024019243357</v>
      </c>
      <c r="BI78" s="60">
        <f ca="1">AVERAGE(OFFSET($BH$3,0,0,'Données projet'!$E$11+1,1))-AVERAGE(OFFSET($H$3,0,0,'Données projet'!$E$11+1,1))</f>
        <v>296.01124173332352</v>
      </c>
      <c r="BJ78" s="60">
        <f t="shared" si="92"/>
        <v>315.50730924873733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161</v>
      </c>
      <c r="BW78" s="13">
        <f>VLOOKUP(A78,'Données projet'!$A$113:$I$133,9,0)</f>
        <v>3.8</v>
      </c>
      <c r="BX78" s="13">
        <f t="array" ref="BX78">INDEX(BW:BW,MIN(IF(ISNUMBER(BW78:BW274),ROW(BW78:BW274),"")))</f>
        <v>3.8</v>
      </c>
      <c r="BY78" s="13">
        <f>IF('Données projet'!$A$114&gt;35,BY77+BX78-CG77,IF(A78&lt;'Données projet'!$A$114,$BV$205^A78,IF(A78='Données projet'!$A$114,'Données projet'!$B$114,BY77+BX78-CG77)))</f>
        <v>161.00000000000003</v>
      </c>
      <c r="BZ78" s="14">
        <f>BY78*VLOOKUP('Données projet'!$B$12,Paramètres!$A$1:$I$89,3,0)*VLOOKUP('Données projet'!$B$12,Paramètres!$A$1:$I$89,5,0)</f>
        <v>105.48720000000002</v>
      </c>
      <c r="CA78" s="14">
        <f t="shared" si="93"/>
        <v>28.265155367923839</v>
      </c>
      <c r="CB78" s="22">
        <f t="shared" si="64"/>
        <v>232.95201893246738</v>
      </c>
      <c r="CC78" s="60">
        <f t="shared" si="65"/>
        <v>501.61360363229221</v>
      </c>
      <c r="CD78" s="60">
        <f ca="1">AVERAGE(OFFSET($CC$3,0,0,'Données projet'!$E$12+1,1))-AVERAGE(OFFSET($H$3,0,0,'Données projet'!$E$12+1,1))</f>
        <v>216.42026264996392</v>
      </c>
      <c r="CE78" s="60">
        <f t="shared" si="94"/>
        <v>216.4587454288401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197</v>
      </c>
      <c r="CR78" s="13">
        <f>VLOOKUP(A78,'Données projet'!$A$139:$I$159,9,0)</f>
        <v>5</v>
      </c>
      <c r="CS78" s="13">
        <f t="array" ref="CS78">INDEX(CR:CR,MIN(IF(ISNUMBER(CR78:CR274),ROW(CR78:CR274),"")))</f>
        <v>5</v>
      </c>
      <c r="CT78" s="13">
        <f>IF('Données projet'!$A$140&gt;35,CT77+CS78-DB77,IF(A78&lt;'Données projet'!$A$140,$CQ$205^A78,IF(A78='Données projet'!$A$140,'Données projet'!$B$140,CT77+CS78-DB77)))</f>
        <v>197</v>
      </c>
      <c r="CU78" s="18">
        <f>CT78*VLOOKUP('Données projet'!$B$13,Paramètres!$A$1:$I$89,3,0)*VLOOKUP('Données projet'!$B$13,Paramètres!$A$1:$I$89,5,0)</f>
        <v>190.5384</v>
      </c>
      <c r="CV78" s="14">
        <f t="shared" si="95"/>
        <v>47.658965836673829</v>
      </c>
      <c r="CW78" s="22">
        <f t="shared" si="67"/>
        <v>414.86041216554025</v>
      </c>
      <c r="CX78" s="60">
        <f t="shared" si="68"/>
        <v>683.52199686536505</v>
      </c>
      <c r="CY78" s="60">
        <f ca="1">AVERAGE(OFFSET($CX$3,0,0,'Données projet'!$E$13+1,1))-AVERAGE(OFFSET($H$3,0,0,'Données projet'!$E$13+1,1))</f>
        <v>385.5283976785621</v>
      </c>
      <c r="CZ78" s="60">
        <f t="shared" si="96"/>
        <v>173.19148969173838</v>
      </c>
      <c r="DA78" s="16">
        <f>IF(ISNA(VLOOKUP(A78,'Données projet'!$A$139:$I$159,3,0)),0,VLOOKUP(A78,'Données projet'!$A$139:$I$159,3,0))</f>
        <v>5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273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272.99999999999989</v>
      </c>
      <c r="DP78" s="18">
        <f>DO78*VLOOKUP('Données projet'!$B$14,Paramètres!$A$1:$I$89,3,0)*VLOOKUP('Données projet'!$B$14,Paramètres!$A$1:$I$89,5,0)</f>
        <v>293.85719999999986</v>
      </c>
      <c r="DQ78" s="14">
        <f t="shared" si="97"/>
        <v>69.887150190339781</v>
      </c>
      <c r="DR78" s="22">
        <f t="shared" si="70"/>
        <v>633.52140991484157</v>
      </c>
      <c r="DS78" s="60">
        <f t="shared" si="71"/>
        <v>902.18299461466631</v>
      </c>
      <c r="DT78" s="60">
        <f ca="1">AVERAGE(OFFSET($DS$3,0,0,'Données projet'!$E$14+1,1))-AVERAGE(OFFSET($H$3,0,0,'Données projet'!$E$14+1,1))</f>
        <v>543.15812193567342</v>
      </c>
      <c r="DU78" s="60">
        <f t="shared" si="98"/>
        <v>286.40725588660575</v>
      </c>
      <c r="DV78" s="16">
        <f>IF(ISNA(VLOOKUP(A78,'Données projet'!$A$165:$I$185,3,0)),0,VLOOKUP(A78,'Données projet'!$A$165:$I$185,3,0))</f>
        <v>6</v>
      </c>
      <c r="DW78" s="16">
        <f>IF(ISNA(VLOOKUP(A78,'Données projet'!$A$165:$I$185,4,0)),0,VLOOKUP(A78,'Données projet'!$A$165:$I$185,4,0))</f>
        <v>42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167.94871794871796</v>
      </c>
      <c r="EH78" s="13">
        <f>VLOOKUP(A78,'Données projet'!$A$191:$I$211,9,0)</f>
        <v>3.3333333333333313</v>
      </c>
      <c r="EI78" s="13">
        <f t="array" ref="EI78">INDEX(EH:EH,MIN(IF(ISNUMBER(EH78:EH274),ROW(EH78:EH274),"")))</f>
        <v>3.3333333333333313</v>
      </c>
      <c r="EJ78" s="13">
        <f>IF('Données projet'!$A$192&gt;35,EJ77+EI78-ER77,IF(A78&lt;'Données projet'!$A$192,$EG$205^A78,IF(A78='Données projet'!$A$192,'Données projet'!$B$192,EJ77+EI78-ER77)))</f>
        <v>167.94871794871796</v>
      </c>
      <c r="EK78" s="18">
        <f>EJ78*VLOOKUP('Données projet'!$B$15,Paramètres!$A$1:$I$89,3,0)*VLOOKUP('Données projet'!$B$15,Paramètres!$A$1:$I$89,5,0)</f>
        <v>112.66</v>
      </c>
      <c r="EL78" s="14">
        <f t="shared" si="99"/>
        <v>29.956827127251962</v>
      </c>
      <c r="EM78" s="22">
        <f t="shared" si="73"/>
        <v>248.39097391329713</v>
      </c>
      <c r="EN78" s="60">
        <f t="shared" si="74"/>
        <v>517.05255861312196</v>
      </c>
      <c r="EO78" s="60">
        <f ca="1">AVERAGE(OFFSET($EN$3,0,0,'Données projet'!$E$15+1,1))-AVERAGE(OFFSET($H$3,0,0,'Données projet'!$E$15+1,1))</f>
        <v>239.52247785001794</v>
      </c>
      <c r="EP78" s="60">
        <f t="shared" si="100"/>
        <v>173.69760199651617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0.43238969560383161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0.43238969560383161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8">
        <f t="shared" si="56"/>
        <v>183.33333333333334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236.89999999999986</v>
      </c>
      <c r="O79" s="14">
        <f>N79*VLOOKUP('Données projet'!$B$9,Paramètres!$A$1:$I$89,3,0)*VLOOKUP('Données projet'!$B$9,Paramètres!$A$1:$I$89,5,0)</f>
        <v>240.21659999999989</v>
      </c>
      <c r="P79" s="14">
        <f t="shared" si="87"/>
        <v>58.486130580357745</v>
      </c>
      <c r="Q79" s="22">
        <f t="shared" si="54"/>
        <v>520.24058909412281</v>
      </c>
      <c r="R79" s="60">
        <f t="shared" si="55"/>
        <v>789.3301734749723</v>
      </c>
      <c r="S79" s="60">
        <f ca="1">AVERAGE(OFFSET($R$3,0,0,'Données projet'!$E$9+1,1))-AVERAGE(OFFSET($H$3,0,0,'Données projet'!$E$9+1,1))</f>
        <v>516.54532596122067</v>
      </c>
      <c r="T79" s="60">
        <f t="shared" si="88"/>
        <v>273.35778700650792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3.3333333333333313</v>
      </c>
      <c r="AI79" s="14">
        <f>IF('Données projet'!$A$62&gt;35,AI78+AH79-AQ78,IF(A79&lt;'Données projet'!$A$62,$AF$205^A79,IF(A79='Données projet'!$A$62,'Données projet'!$B$62,AI78+AH79-AQ78)))</f>
        <v>170.00000000000011</v>
      </c>
      <c r="AJ79" s="14">
        <f>AI79*VLOOKUP('Données projet'!$B$10,Paramètres!$A$1:$I$89,3,0)*VLOOKUP('Données projet'!$B$10,Paramètres!$A$1:$I$89,5,0)</f>
        <v>161.77200000000013</v>
      </c>
      <c r="AK79" s="14">
        <f t="shared" si="89"/>
        <v>41.241938389059861</v>
      </c>
      <c r="AL79" s="22">
        <f t="shared" si="58"/>
        <v>353.58260936094621</v>
      </c>
      <c r="AM79" s="60">
        <f t="shared" si="59"/>
        <v>622.67219374179558</v>
      </c>
      <c r="AN79" s="60">
        <f ca="1">AVERAGE(OFFSET($AM$3,0,0,'Données projet'!$E$10+1,1))-AVERAGE(OFFSET($H$3,0,0,'Données projet'!$E$10+1,1))</f>
        <v>328.36544111680962</v>
      </c>
      <c r="AO79" s="60">
        <f t="shared" si="90"/>
        <v>226.85392900722772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2.4</v>
      </c>
      <c r="BD79" s="13">
        <f>IF('Données projet'!$A$88&gt;35,BD78+BC79-BL78,IF(A79&lt;'Données projet'!$A$88,$BA$205^A79,IF(A79='Données projet'!$A$88,'Données projet'!$B$88,BD78+BC79-BL78)))</f>
        <v>216.39999999999986</v>
      </c>
      <c r="BE79" s="14">
        <f>BD79*VLOOKUP('Données projet'!$B$11,Paramètres!$A$1:$I$89,3,0)*VLOOKUP('Données projet'!$B$11,Paramètres!$A$1:$I$89,5,0)</f>
        <v>189.04703999999992</v>
      </c>
      <c r="BF79" s="14">
        <f t="shared" si="91"/>
        <v>47.329205309831551</v>
      </c>
      <c r="BG79" s="22">
        <f t="shared" si="61"/>
        <v>411.68862724795645</v>
      </c>
      <c r="BH79" s="60">
        <f t="shared" si="62"/>
        <v>680.77821162880582</v>
      </c>
      <c r="BI79" s="60">
        <f ca="1">AVERAGE(OFFSET($BH$3,0,0,'Données projet'!$E$11+1,1))-AVERAGE(OFFSET($H$3,0,0,'Données projet'!$E$11+1,1))</f>
        <v>296.01124173332352</v>
      </c>
      <c r="BJ79" s="60">
        <f t="shared" si="92"/>
        <v>315.50730924873733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164.60000000000002</v>
      </c>
      <c r="BZ79" s="14">
        <f>BY79*VLOOKUP('Données projet'!$B$12,Paramètres!$A$1:$I$89,3,0)*VLOOKUP('Données projet'!$B$12,Paramètres!$A$1:$I$89,5,0)</f>
        <v>107.84592000000001</v>
      </c>
      <c r="CA79" s="14">
        <f t="shared" si="93"/>
        <v>28.822883843583611</v>
      </c>
      <c r="CB79" s="22">
        <f t="shared" si="64"/>
        <v>238.03150002757479</v>
      </c>
      <c r="CC79" s="60">
        <f t="shared" si="65"/>
        <v>507.12108440842422</v>
      </c>
      <c r="CD79" s="60">
        <f ca="1">AVERAGE(OFFSET($CC$3,0,0,'Données projet'!$E$12+1,1))-AVERAGE(OFFSET($H$3,0,0,'Données projet'!$E$12+1,1))</f>
        <v>216.42026264996392</v>
      </c>
      <c r="CE79" s="60">
        <f t="shared" si="94"/>
        <v>216.4587454288401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173.6</v>
      </c>
      <c r="CU79" s="18">
        <f>CT79*VLOOKUP('Données projet'!$B$13,Paramètres!$A$1:$I$89,3,0)*VLOOKUP('Données projet'!$B$13,Paramètres!$A$1:$I$89,5,0)</f>
        <v>167.90591999999998</v>
      </c>
      <c r="CV79" s="14">
        <f t="shared" si="95"/>
        <v>42.620681538886721</v>
      </c>
      <c r="CW79" s="22">
        <f t="shared" si="67"/>
        <v>366.66716434689437</v>
      </c>
      <c r="CX79" s="60">
        <f t="shared" si="68"/>
        <v>635.7567487277438</v>
      </c>
      <c r="CY79" s="60">
        <f ca="1">AVERAGE(OFFSET($CX$3,0,0,'Données projet'!$E$13+1,1))-AVERAGE(OFFSET($H$3,0,0,'Données projet'!$E$13+1,1))</f>
        <v>385.5283976785621</v>
      </c>
      <c r="CZ79" s="60">
        <f t="shared" si="96"/>
        <v>173.19148969173838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5.9</v>
      </c>
      <c r="DO79" s="13">
        <f>IF('Données projet'!$A$166&gt;35,DO78+DN79-DW78,IF(A79&lt;'Données projet'!$A$166,$DL$205^A79,IF(A79='Données projet'!$A$166,'Données projet'!$B$166,DO78+DN79-DW78)))</f>
        <v>236.89999999999986</v>
      </c>
      <c r="DP79" s="18">
        <f>DO79*VLOOKUP('Données projet'!$B$14,Paramètres!$A$1:$I$89,3,0)*VLOOKUP('Données projet'!$B$14,Paramètres!$A$1:$I$89,5,0)</f>
        <v>254.99915999999985</v>
      </c>
      <c r="DQ79" s="14">
        <f t="shared" si="97"/>
        <v>61.655199053016801</v>
      </c>
      <c r="DR79" s="22">
        <f t="shared" si="70"/>
        <v>551.50634201733726</v>
      </c>
      <c r="DS79" s="60">
        <f t="shared" si="71"/>
        <v>820.59592639818675</v>
      </c>
      <c r="DT79" s="60">
        <f ca="1">AVERAGE(OFFSET($DS$3,0,0,'Données projet'!$E$14+1,1))-AVERAGE(OFFSET($H$3,0,0,'Données projet'!$E$14+1,1))</f>
        <v>543.15812193567342</v>
      </c>
      <c r="DU79" s="60">
        <f t="shared" si="98"/>
        <v>286.40725588660575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3.2051282051282044</v>
      </c>
      <c r="EJ79" s="13">
        <f>IF('Données projet'!$A$192&gt;35,EJ78+EI79-ER78,IF(A79&lt;'Données projet'!$A$192,$EG$205^A79,IF(A79='Données projet'!$A$192,'Données projet'!$B$192,EJ78+EI79-ER78)))</f>
        <v>171.15384615384616</v>
      </c>
      <c r="EK79" s="18">
        <f>EJ79*VLOOKUP('Données projet'!$B$15,Paramètres!$A$1:$I$89,3,0)*VLOOKUP('Données projet'!$B$15,Paramètres!$A$1:$I$89,5,0)</f>
        <v>114.81000000000002</v>
      </c>
      <c r="EL79" s="14">
        <f t="shared" si="99"/>
        <v>30.46141986456006</v>
      </c>
      <c r="EM79" s="22">
        <f t="shared" si="73"/>
        <v>253.01438959744212</v>
      </c>
      <c r="EN79" s="60">
        <f t="shared" si="74"/>
        <v>522.10397397829161</v>
      </c>
      <c r="EO79" s="60">
        <f ca="1">AVERAGE(OFFSET($EN$3,0,0,'Données projet'!$E$15+1,1))-AVERAGE(OFFSET($H$3,0,0,'Données projet'!$E$15+1,1))</f>
        <v>239.52247785001794</v>
      </c>
      <c r="EP79" s="60">
        <f t="shared" si="100"/>
        <v>173.69760199651617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0.42056597663915901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0.42056597663915901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8">
        <f t="shared" si="56"/>
        <v>183.33333333333334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242.79999999999987</v>
      </c>
      <c r="O80" s="14">
        <f>N80*VLOOKUP('Données projet'!$B$9,Paramètres!$A$1:$I$89,3,0)*VLOOKUP('Données projet'!$B$9,Paramètres!$A$1:$I$89,5,0)</f>
        <v>246.19919999999988</v>
      </c>
      <c r="P80" s="14">
        <f t="shared" si="87"/>
        <v>59.77133248344078</v>
      </c>
      <c r="Q80" s="22">
        <f t="shared" si="54"/>
        <v>532.89867740865918</v>
      </c>
      <c r="R80" s="60">
        <f t="shared" si="55"/>
        <v>802.40883663293152</v>
      </c>
      <c r="S80" s="60">
        <f ca="1">AVERAGE(OFFSET($R$3,0,0,'Données projet'!$E$9+1,1))-AVERAGE(OFFSET($H$3,0,0,'Données projet'!$E$9+1,1))</f>
        <v>516.54532596122067</v>
      </c>
      <c r="T80" s="60">
        <f t="shared" si="88"/>
        <v>273.35778700650792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3.3333333333333313</v>
      </c>
      <c r="AI80" s="14">
        <f>IF('Données projet'!$A$62&gt;35,AI79+AH80-AQ79,IF(A80&lt;'Données projet'!$A$62,$AF$205^A80,IF(A80='Données projet'!$A$62,'Données projet'!$B$62,AI79+AH80-AQ79)))</f>
        <v>173.33333333333346</v>
      </c>
      <c r="AJ80" s="14">
        <f>AI80*VLOOKUP('Données projet'!$B$10,Paramètres!$A$1:$I$89,3,0)*VLOOKUP('Données projet'!$B$10,Paramètres!$A$1:$I$89,5,0)</f>
        <v>164.94400000000013</v>
      </c>
      <c r="AK80" s="14">
        <f t="shared" si="89"/>
        <v>41.955665664568855</v>
      </c>
      <c r="AL80" s="22">
        <f t="shared" si="58"/>
        <v>360.35025103245766</v>
      </c>
      <c r="AM80" s="60">
        <f t="shared" si="59"/>
        <v>629.86041025672989</v>
      </c>
      <c r="AN80" s="60">
        <f ca="1">AVERAGE(OFFSET($AM$3,0,0,'Données projet'!$E$10+1,1))-AVERAGE(OFFSET($H$3,0,0,'Données projet'!$E$10+1,1))</f>
        <v>328.36544111680962</v>
      </c>
      <c r="AO80" s="60">
        <f t="shared" si="90"/>
        <v>226.85392900722772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2.4</v>
      </c>
      <c r="BD80" s="13">
        <f>IF('Données projet'!$A$88&gt;35,BD79+BC80-BL79,IF(A80&lt;'Données projet'!$A$88,$BA$205^A80,IF(A80='Données projet'!$A$88,'Données projet'!$B$88,BD79+BC80-BL79)))</f>
        <v>218.79999999999987</v>
      </c>
      <c r="BE80" s="14">
        <f>BD80*VLOOKUP('Données projet'!$B$11,Paramètres!$A$1:$I$89,3,0)*VLOOKUP('Données projet'!$B$11,Paramètres!$A$1:$I$89,5,0)</f>
        <v>191.1436799999999</v>
      </c>
      <c r="BF80" s="14">
        <f t="shared" si="91"/>
        <v>47.792715878069544</v>
      </c>
      <c r="BG80" s="22">
        <f t="shared" si="61"/>
        <v>416.14755615430431</v>
      </c>
      <c r="BH80" s="60">
        <f t="shared" si="62"/>
        <v>685.65771537857654</v>
      </c>
      <c r="BI80" s="60">
        <f ca="1">AVERAGE(OFFSET($BH$3,0,0,'Données projet'!$E$11+1,1))-AVERAGE(OFFSET($H$3,0,0,'Données projet'!$E$11+1,1))</f>
        <v>296.01124173332352</v>
      </c>
      <c r="BJ80" s="60">
        <f t="shared" si="92"/>
        <v>315.50730924873733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168.20000000000002</v>
      </c>
      <c r="BZ80" s="14">
        <f>BY80*VLOOKUP('Données projet'!$B$12,Paramètres!$A$1:$I$89,3,0)*VLOOKUP('Données projet'!$B$12,Paramètres!$A$1:$I$89,5,0)</f>
        <v>110.20464000000001</v>
      </c>
      <c r="CA80" s="14">
        <f t="shared" si="93"/>
        <v>29.379194135935833</v>
      </c>
      <c r="CB80" s="22">
        <f t="shared" si="64"/>
        <v>243.10851112008822</v>
      </c>
      <c r="CC80" s="60">
        <f t="shared" si="65"/>
        <v>512.61867034436045</v>
      </c>
      <c r="CD80" s="60">
        <f ca="1">AVERAGE(OFFSET($CC$3,0,0,'Données projet'!$E$12+1,1))-AVERAGE(OFFSET($H$3,0,0,'Données projet'!$E$12+1,1))</f>
        <v>216.42026264996392</v>
      </c>
      <c r="CE80" s="60">
        <f t="shared" si="94"/>
        <v>216.4587454288401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178.2</v>
      </c>
      <c r="CU80" s="18">
        <f>CT80*VLOOKUP('Données projet'!$B$13,Paramètres!$A$1:$I$89,3,0)*VLOOKUP('Données projet'!$B$13,Paramètres!$A$1:$I$89,5,0)</f>
        <v>172.35504</v>
      </c>
      <c r="CV80" s="14">
        <f t="shared" si="95"/>
        <v>43.617051120131691</v>
      </c>
      <c r="CW80" s="22">
        <f t="shared" si="67"/>
        <v>376.15139203422933</v>
      </c>
      <c r="CX80" s="60">
        <f t="shared" si="68"/>
        <v>645.66155125850162</v>
      </c>
      <c r="CY80" s="60">
        <f ca="1">AVERAGE(OFFSET($CX$3,0,0,'Données projet'!$E$13+1,1))-AVERAGE(OFFSET($H$3,0,0,'Données projet'!$E$13+1,1))</f>
        <v>385.5283976785621</v>
      </c>
      <c r="CZ80" s="60">
        <f t="shared" si="96"/>
        <v>173.19148969173838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5.9</v>
      </c>
      <c r="DO80" s="13">
        <f>IF('Données projet'!$A$166&gt;35,DO79+DN80-DW79,IF(A80&lt;'Données projet'!$A$166,$DL$205^A80,IF(A80='Données projet'!$A$166,'Données projet'!$B$166,DO79+DN80-DW79)))</f>
        <v>242.79999999999987</v>
      </c>
      <c r="DP80" s="18">
        <f>DO80*VLOOKUP('Données projet'!$B$14,Paramètres!$A$1:$I$89,3,0)*VLOOKUP('Données projet'!$B$14,Paramètres!$A$1:$I$89,5,0)</f>
        <v>261.34991999999983</v>
      </c>
      <c r="DQ80" s="14">
        <f t="shared" si="97"/>
        <v>63.010039566000117</v>
      </c>
      <c r="DR80" s="22">
        <f t="shared" si="70"/>
        <v>564.92692957744987</v>
      </c>
      <c r="DS80" s="60">
        <f t="shared" si="71"/>
        <v>834.43708880172221</v>
      </c>
      <c r="DT80" s="60">
        <f ca="1">AVERAGE(OFFSET($DS$3,0,0,'Données projet'!$E$14+1,1))-AVERAGE(OFFSET($H$3,0,0,'Données projet'!$E$14+1,1))</f>
        <v>543.15812193567342</v>
      </c>
      <c r="DU80" s="60">
        <f t="shared" si="98"/>
        <v>286.40725588660575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3.2051282051282044</v>
      </c>
      <c r="EJ80" s="13">
        <f>IF('Données projet'!$A$192&gt;35,EJ79+EI80-ER79,IF(A80&lt;'Données projet'!$A$192,$EG$205^A80,IF(A80='Données projet'!$A$192,'Données projet'!$B$192,EJ79+EI80-ER79)))</f>
        <v>174.35897435897436</v>
      </c>
      <c r="EK80" s="18">
        <f>EJ80*VLOOKUP('Données projet'!$B$15,Paramètres!$A$1:$I$89,3,0)*VLOOKUP('Données projet'!$B$15,Paramètres!$A$1:$I$89,5,0)</f>
        <v>116.96000000000001</v>
      </c>
      <c r="EL80" s="14">
        <f t="shared" si="99"/>
        <v>30.964913833098269</v>
      </c>
      <c r="EM80" s="22">
        <f t="shared" si="73"/>
        <v>257.6358915926462</v>
      </c>
      <c r="EN80" s="60">
        <f t="shared" si="74"/>
        <v>527.14605081691843</v>
      </c>
      <c r="EO80" s="60">
        <f ca="1">AVERAGE(OFFSET($EN$3,0,0,'Données projet'!$E$15+1,1))-AVERAGE(OFFSET($H$3,0,0,'Données projet'!$E$15+1,1))</f>
        <v>239.52247785001794</v>
      </c>
      <c r="EP80" s="60">
        <f t="shared" si="100"/>
        <v>173.69760199651617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0.40906557789135772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0.40906557789135772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8">
        <f t="shared" si="56"/>
        <v>183.33333333333334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248.69999999999987</v>
      </c>
      <c r="O81" s="14">
        <f>N81*VLOOKUP('Données projet'!$B$9,Paramètres!$A$1:$I$89,3,0)*VLOOKUP('Données projet'!$B$9,Paramètres!$A$1:$I$89,5,0)</f>
        <v>252.18179999999987</v>
      </c>
      <c r="P81" s="14">
        <f t="shared" si="87"/>
        <v>61.052903950515969</v>
      </c>
      <c r="Q81" s="22">
        <f t="shared" si="54"/>
        <v>545.55044271381507</v>
      </c>
      <c r="R81" s="60">
        <f t="shared" si="55"/>
        <v>815.4738807482413</v>
      </c>
      <c r="S81" s="60">
        <f ca="1">AVERAGE(OFFSET($R$3,0,0,'Données projet'!$E$9+1,1))-AVERAGE(OFFSET($H$3,0,0,'Données projet'!$E$9+1,1))</f>
        <v>516.54532596122067</v>
      </c>
      <c r="T81" s="60">
        <f t="shared" si="88"/>
        <v>273.35778700650792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3.3333333333333313</v>
      </c>
      <c r="AI81" s="14">
        <f>IF('Données projet'!$A$62&gt;35,AI80+AH81-AQ80,IF(A81&lt;'Données projet'!$A$62,$AF$205^A81,IF(A81='Données projet'!$A$62,'Données projet'!$B$62,AI80+AH81-AQ80)))</f>
        <v>176.6666666666668</v>
      </c>
      <c r="AJ81" s="14">
        <f>AI81*VLOOKUP('Données projet'!$B$10,Paramètres!$A$1:$I$89,3,0)*VLOOKUP('Données projet'!$B$10,Paramètres!$A$1:$I$89,5,0)</f>
        <v>168.11600000000013</v>
      </c>
      <c r="AK81" s="14">
        <f t="shared" si="89"/>
        <v>42.667796971840566</v>
      </c>
      <c r="AL81" s="22">
        <f t="shared" si="58"/>
        <v>367.11511305928917</v>
      </c>
      <c r="AM81" s="60">
        <f t="shared" si="59"/>
        <v>637.03855109371534</v>
      </c>
      <c r="AN81" s="60">
        <f ca="1">AVERAGE(OFFSET($AM$3,0,0,'Données projet'!$E$10+1,1))-AVERAGE(OFFSET($H$3,0,0,'Données projet'!$E$10+1,1))</f>
        <v>328.36544111680962</v>
      </c>
      <c r="AO81" s="60">
        <f t="shared" si="90"/>
        <v>226.85392900722772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2.4</v>
      </c>
      <c r="BD81" s="13">
        <f>IF('Données projet'!$A$88&gt;35,BD80+BC81-BL80,IF(A81&lt;'Données projet'!$A$88,$BA$205^A81,IF(A81='Données projet'!$A$88,'Données projet'!$B$88,BD80+BC81-BL80)))</f>
        <v>221.19999999999987</v>
      </c>
      <c r="BE81" s="14">
        <f>BD81*VLOOKUP('Données projet'!$B$11,Paramètres!$A$1:$I$89,3,0)*VLOOKUP('Données projet'!$B$11,Paramètres!$A$1:$I$89,5,0)</f>
        <v>193.24031999999991</v>
      </c>
      <c r="BF81" s="14">
        <f t="shared" si="91"/>
        <v>48.255635009246745</v>
      </c>
      <c r="BG81" s="22">
        <f t="shared" si="61"/>
        <v>420.60545497443786</v>
      </c>
      <c r="BH81" s="60">
        <f t="shared" si="62"/>
        <v>690.52889300886409</v>
      </c>
      <c r="BI81" s="60">
        <f ca="1">AVERAGE(OFFSET($BH$3,0,0,'Données projet'!$E$11+1,1))-AVERAGE(OFFSET($H$3,0,0,'Données projet'!$E$11+1,1))</f>
        <v>296.01124173332352</v>
      </c>
      <c r="BJ81" s="60">
        <f t="shared" si="92"/>
        <v>315.50730924873733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171.8</v>
      </c>
      <c r="BZ81" s="14">
        <f>BY81*VLOOKUP('Données projet'!$B$12,Paramètres!$A$1:$I$89,3,0)*VLOOKUP('Données projet'!$B$12,Paramètres!$A$1:$I$89,5,0)</f>
        <v>112.56336000000002</v>
      </c>
      <c r="CA81" s="14">
        <f t="shared" si="93"/>
        <v>29.934120094679066</v>
      </c>
      <c r="CB81" s="22">
        <f t="shared" si="64"/>
        <v>248.1831111648994</v>
      </c>
      <c r="CC81" s="60">
        <f t="shared" si="65"/>
        <v>518.10654919932563</v>
      </c>
      <c r="CD81" s="60">
        <f ca="1">AVERAGE(OFFSET($CC$3,0,0,'Données projet'!$E$12+1,1))-AVERAGE(OFFSET($H$3,0,0,'Données projet'!$E$12+1,1))</f>
        <v>216.42026264996392</v>
      </c>
      <c r="CE81" s="60">
        <f t="shared" si="94"/>
        <v>216.4587454288401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182.79999999999998</v>
      </c>
      <c r="CU81" s="18">
        <f>CT81*VLOOKUP('Données projet'!$B$13,Paramètres!$A$1:$I$89,3,0)*VLOOKUP('Données projet'!$B$13,Paramètres!$A$1:$I$89,5,0)</f>
        <v>176.80415999999997</v>
      </c>
      <c r="CV81" s="14">
        <f t="shared" si="95"/>
        <v>44.610431038325757</v>
      </c>
      <c r="CW81" s="22">
        <f t="shared" si="67"/>
        <v>385.630412725084</v>
      </c>
      <c r="CX81" s="60">
        <f t="shared" si="68"/>
        <v>655.55385075951017</v>
      </c>
      <c r="CY81" s="60">
        <f ca="1">AVERAGE(OFFSET($CX$3,0,0,'Données projet'!$E$13+1,1))-AVERAGE(OFFSET($H$3,0,0,'Données projet'!$E$13+1,1))</f>
        <v>385.5283976785621</v>
      </c>
      <c r="CZ81" s="60">
        <f t="shared" si="96"/>
        <v>173.19148969173838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5.9</v>
      </c>
      <c r="DO81" s="13">
        <f>IF('Données projet'!$A$166&gt;35,DO80+DN81-DW80,IF(A81&lt;'Données projet'!$A$166,$DL$205^A81,IF(A81='Données projet'!$A$166,'Données projet'!$B$166,DO80+DN81-DW80)))</f>
        <v>248.69999999999987</v>
      </c>
      <c r="DP81" s="18">
        <f>DO81*VLOOKUP('Données projet'!$B$14,Paramètres!$A$1:$I$89,3,0)*VLOOKUP('Données projet'!$B$14,Paramètres!$A$1:$I$89,5,0)</f>
        <v>267.70067999999986</v>
      </c>
      <c r="DQ81" s="14">
        <f t="shared" si="97"/>
        <v>64.361052927956521</v>
      </c>
      <c r="DR81" s="22">
        <f t="shared" si="70"/>
        <v>578.34085151619058</v>
      </c>
      <c r="DS81" s="60">
        <f t="shared" si="71"/>
        <v>848.26428955061681</v>
      </c>
      <c r="DT81" s="60">
        <f ca="1">AVERAGE(OFFSET($DS$3,0,0,'Données projet'!$E$14+1,1))-AVERAGE(OFFSET($H$3,0,0,'Données projet'!$E$14+1,1))</f>
        <v>543.15812193567342</v>
      </c>
      <c r="DU81" s="60">
        <f t="shared" si="98"/>
        <v>286.40725588660575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3.2051282051282044</v>
      </c>
      <c r="EJ81" s="13">
        <f>IF('Données projet'!$A$192&gt;35,EJ80+EI81-ER80,IF(A81&lt;'Données projet'!$A$192,$EG$205^A81,IF(A81='Données projet'!$A$192,'Données projet'!$B$192,EJ80+EI81-ER80)))</f>
        <v>177.56410256410257</v>
      </c>
      <c r="EK81" s="18">
        <f>EJ81*VLOOKUP('Données projet'!$B$15,Paramètres!$A$1:$I$89,3,0)*VLOOKUP('Données projet'!$B$15,Paramètres!$A$1:$I$89,5,0)</f>
        <v>119.11</v>
      </c>
      <c r="EL81" s="14">
        <f t="shared" si="99"/>
        <v>31.467331560315703</v>
      </c>
      <c r="EM81" s="22">
        <f t="shared" si="73"/>
        <v>262.25551913421651</v>
      </c>
      <c r="EN81" s="60">
        <f t="shared" si="74"/>
        <v>532.17895716864268</v>
      </c>
      <c r="EO81" s="60">
        <f ca="1">AVERAGE(OFFSET($EN$3,0,0,'Données projet'!$E$15+1,1))-AVERAGE(OFFSET($H$3,0,0,'Données projet'!$E$15+1,1))</f>
        <v>239.52247785001794</v>
      </c>
      <c r="EP81" s="60">
        <f t="shared" si="100"/>
        <v>173.69760199651617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0.39787965815209475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0.39787965815209475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8">
        <f t="shared" si="56"/>
        <v>183.33333333333334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5.9</v>
      </c>
      <c r="N82" s="14">
        <f>IF('Données projet'!$A$36&gt;35,N81+M82-V81,IF(A82&lt;'Données projet'!$A$36,$K$205^A82,IF(A82='Données projet'!$A$36,'Données projet'!$B$36,N81+M82-V81)))</f>
        <v>254.59999999999988</v>
      </c>
      <c r="O82" s="14">
        <f>N82*VLOOKUP('Données projet'!$B$9,Paramètres!$A$1:$I$89,3,0)*VLOOKUP('Données projet'!$B$9,Paramètres!$A$1:$I$89,5,0)</f>
        <v>258.16439999999989</v>
      </c>
      <c r="P82" s="14">
        <f t="shared" si="87"/>
        <v>62.3309410183914</v>
      </c>
      <c r="Q82" s="22">
        <f t="shared" si="54"/>
        <v>558.19605227369811</v>
      </c>
      <c r="R82" s="60">
        <f t="shared" si="55"/>
        <v>828.52559965487512</v>
      </c>
      <c r="S82" s="60">
        <f ca="1">AVERAGE(OFFSET($R$3,0,0,'Données projet'!$E$9+1,1))-AVERAGE(OFFSET($H$3,0,0,'Données projet'!$E$9+1,1))</f>
        <v>516.54532596122067</v>
      </c>
      <c r="T82" s="60">
        <f t="shared" si="88"/>
        <v>273.35778700650792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3.3333333333333313</v>
      </c>
      <c r="AI82" s="14">
        <f>IF('Données projet'!$A$62&gt;35,AI81+AH82-AQ81,IF(A82&lt;'Données projet'!$A$62,$AF$205^A82,IF(A82='Données projet'!$A$62,'Données projet'!$B$62,AI81+AH82-AQ81)))</f>
        <v>180.00000000000014</v>
      </c>
      <c r="AJ82" s="14">
        <f>AI82*VLOOKUP('Données projet'!$B$10,Paramètres!$A$1:$I$89,3,0)*VLOOKUP('Données projet'!$B$10,Paramètres!$A$1:$I$89,5,0)</f>
        <v>171.28800000000012</v>
      </c>
      <c r="AK82" s="14">
        <f t="shared" si="89"/>
        <v>43.378365895721416</v>
      </c>
      <c r="AL82" s="22">
        <f t="shared" si="58"/>
        <v>373.87725393504837</v>
      </c>
      <c r="AM82" s="60">
        <f t="shared" si="59"/>
        <v>644.20680131622532</v>
      </c>
      <c r="AN82" s="60">
        <f ca="1">AVERAGE(OFFSET($AM$3,0,0,'Données projet'!$E$10+1,1))-AVERAGE(OFFSET($H$3,0,0,'Données projet'!$E$10+1,1))</f>
        <v>328.36544111680962</v>
      </c>
      <c r="AO82" s="60">
        <f t="shared" si="90"/>
        <v>226.85392900722772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2.4</v>
      </c>
      <c r="BD82" s="13">
        <f>IF('Données projet'!$A$88&gt;35,BD81+BC82-BL81,IF(A82&lt;'Données projet'!$A$88,$BA$205^A82,IF(A82='Données projet'!$A$88,'Données projet'!$B$88,BD81+BC82-BL81)))</f>
        <v>223.59999999999988</v>
      </c>
      <c r="BE82" s="14">
        <f>BD82*VLOOKUP('Données projet'!$B$11,Paramètres!$A$1:$I$89,3,0)*VLOOKUP('Données projet'!$B$11,Paramètres!$A$1:$I$89,5,0)</f>
        <v>195.33695999999992</v>
      </c>
      <c r="BF82" s="14">
        <f t="shared" si="91"/>
        <v>48.717969863105445</v>
      </c>
      <c r="BG82" s="22">
        <f t="shared" si="61"/>
        <v>425.06233617824182</v>
      </c>
      <c r="BH82" s="60">
        <f t="shared" si="62"/>
        <v>695.39188355941883</v>
      </c>
      <c r="BI82" s="60">
        <f ca="1">AVERAGE(OFFSET($BH$3,0,0,'Données projet'!$E$11+1,1))-AVERAGE(OFFSET($H$3,0,0,'Données projet'!$E$11+1,1))</f>
        <v>296.01124173332352</v>
      </c>
      <c r="BJ82" s="60">
        <f t="shared" si="92"/>
        <v>315.50730924873733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175.4</v>
      </c>
      <c r="BZ82" s="14">
        <f>BY82*VLOOKUP('Données projet'!$B$12,Paramètres!$A$1:$I$89,3,0)*VLOOKUP('Données projet'!$B$12,Paramètres!$A$1:$I$89,5,0)</f>
        <v>114.92208000000001</v>
      </c>
      <c r="CA82" s="14">
        <f t="shared" si="93"/>
        <v>30.487694069834628</v>
      </c>
      <c r="CB82" s="22">
        <f t="shared" si="64"/>
        <v>253.25535650496201</v>
      </c>
      <c r="CC82" s="60">
        <f t="shared" si="65"/>
        <v>523.58490388613893</v>
      </c>
      <c r="CD82" s="60">
        <f ca="1">AVERAGE(OFFSET($CC$3,0,0,'Données projet'!$E$12+1,1))-AVERAGE(OFFSET($H$3,0,0,'Données projet'!$E$12+1,1))</f>
        <v>216.42026264996392</v>
      </c>
      <c r="CE82" s="60">
        <f t="shared" si="94"/>
        <v>216.4587454288401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187.39999999999998</v>
      </c>
      <c r="CU82" s="18">
        <f>CT82*VLOOKUP('Données projet'!$B$13,Paramètres!$A$1:$I$89,3,0)*VLOOKUP('Données projet'!$B$13,Paramètres!$A$1:$I$89,5,0)</f>
        <v>181.25327999999999</v>
      </c>
      <c r="CV82" s="14">
        <f t="shared" si="95"/>
        <v>45.600905177745403</v>
      </c>
      <c r="CW82" s="22">
        <f t="shared" si="67"/>
        <v>395.10437251790654</v>
      </c>
      <c r="CX82" s="60">
        <f t="shared" si="68"/>
        <v>665.43391989908355</v>
      </c>
      <c r="CY82" s="60">
        <f ca="1">AVERAGE(OFFSET($CX$3,0,0,'Données projet'!$E$13+1,1))-AVERAGE(OFFSET($H$3,0,0,'Données projet'!$E$13+1,1))</f>
        <v>385.5283976785621</v>
      </c>
      <c r="CZ82" s="60">
        <f t="shared" si="96"/>
        <v>173.19148969173838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5.9</v>
      </c>
      <c r="DO82" s="13">
        <f>IF('Données projet'!$A$166&gt;35,DO81+DN82-DW81,IF(A82&lt;'Données projet'!$A$166,$DL$205^A82,IF(A82='Données projet'!$A$166,'Données projet'!$B$166,DO81+DN82-DW81)))</f>
        <v>254.59999999999988</v>
      </c>
      <c r="DP82" s="18">
        <f>DO82*VLOOKUP('Données projet'!$B$14,Paramètres!$A$1:$I$89,3,0)*VLOOKUP('Données projet'!$B$14,Paramètres!$A$1:$I$89,5,0)</f>
        <v>274.05143999999984</v>
      </c>
      <c r="DQ82" s="14">
        <f t="shared" si="97"/>
        <v>65.70834037944428</v>
      </c>
      <c r="DR82" s="22">
        <f t="shared" si="70"/>
        <v>591.74828416086518</v>
      </c>
      <c r="DS82" s="60">
        <f t="shared" si="71"/>
        <v>862.07783154204208</v>
      </c>
      <c r="DT82" s="60">
        <f ca="1">AVERAGE(OFFSET($DS$3,0,0,'Données projet'!$E$14+1,1))-AVERAGE(OFFSET($H$3,0,0,'Données projet'!$E$14+1,1))</f>
        <v>543.15812193567342</v>
      </c>
      <c r="DU82" s="60">
        <f t="shared" si="98"/>
        <v>286.40725588660575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3.2051282051282044</v>
      </c>
      <c r="EJ82" s="13">
        <f>IF('Données projet'!$A$192&gt;35,EJ81+EI82-ER81,IF(A82&lt;'Données projet'!$A$192,$EG$205^A82,IF(A82='Données projet'!$A$192,'Données projet'!$B$192,EJ81+EI82-ER81)))</f>
        <v>180.76923076923077</v>
      </c>
      <c r="EK82" s="18">
        <f>EJ82*VLOOKUP('Données projet'!$B$15,Paramètres!$A$1:$I$89,3,0)*VLOOKUP('Données projet'!$B$15,Paramètres!$A$1:$I$89,5,0)</f>
        <v>121.25999999999999</v>
      </c>
      <c r="EL82" s="14">
        <f t="shared" si="99"/>
        <v>31.968694713827716</v>
      </c>
      <c r="EM82" s="22">
        <f t="shared" si="73"/>
        <v>266.87330995991658</v>
      </c>
      <c r="EN82" s="60">
        <f t="shared" si="74"/>
        <v>537.20285734109348</v>
      </c>
      <c r="EO82" s="60">
        <f ca="1">AVERAGE(OFFSET($EN$3,0,0,'Données projet'!$E$15+1,1))-AVERAGE(OFFSET($H$3,0,0,'Données projet'!$E$15+1,1))</f>
        <v>239.52247785001794</v>
      </c>
      <c r="EP82" s="60">
        <f t="shared" si="100"/>
        <v>173.69760199651617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0.38699961797634386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0.38699961797634386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8">
        <f t="shared" si="56"/>
        <v>183.33333333333334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5.9</v>
      </c>
      <c r="N83" s="14">
        <f>IF('Données projet'!$A$36&gt;35,N82+M83-V82,IF(A83&lt;'Données projet'!$A$36,$K$205^A83,IF(A83='Données projet'!$A$36,'Données projet'!$B$36,N82+M83-V82)))</f>
        <v>260.49999999999989</v>
      </c>
      <c r="O83" s="14">
        <f>N83*VLOOKUP('Données projet'!$B$9,Paramètres!$A$1:$I$89,3,0)*VLOOKUP('Données projet'!$B$9,Paramètres!$A$1:$I$89,5,0)</f>
        <v>264.14699999999988</v>
      </c>
      <c r="P83" s="14">
        <f t="shared" si="87"/>
        <v>63.605535018865886</v>
      </c>
      <c r="Q83" s="22">
        <f t="shared" si="54"/>
        <v>570.83566515785787</v>
      </c>
      <c r="R83" s="60">
        <f t="shared" si="55"/>
        <v>841.56427679654394</v>
      </c>
      <c r="S83" s="60">
        <f ca="1">AVERAGE(OFFSET($R$3,0,0,'Données projet'!$E$9+1,1))-AVERAGE(OFFSET($H$3,0,0,'Données projet'!$E$9+1,1))</f>
        <v>516.54532596122067</v>
      </c>
      <c r="T83" s="60">
        <f t="shared" si="88"/>
        <v>273.35778700650792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183.33333333333331</v>
      </c>
      <c r="AG83" s="13">
        <f>VLOOKUP(A83,'Données projet'!$A$61:$I$81,9,0)</f>
        <v>3.3333333333333313</v>
      </c>
      <c r="AH83" s="13">
        <f t="array" ref="AH83">INDEX(AG:AG,MIN(IF(ISNUMBER(AG83:AG279),ROW(AG83:AG279),"")))</f>
        <v>3.3333333333333313</v>
      </c>
      <c r="AI83" s="14">
        <f>IF('Données projet'!$A$62&gt;35,AI82+AH83-AQ82,IF(A83&lt;'Données projet'!$A$62,$AF$205^A83,IF(A83='Données projet'!$A$62,'Données projet'!$B$62,AI82+AH83-AQ82)))</f>
        <v>183.33333333333348</v>
      </c>
      <c r="AJ83" s="14">
        <f>AI83*VLOOKUP('Données projet'!$B$10,Paramètres!$A$1:$I$89,3,0)*VLOOKUP('Données projet'!$B$10,Paramètres!$A$1:$I$89,5,0)</f>
        <v>174.46000000000015</v>
      </c>
      <c r="AK83" s="14">
        <f t="shared" si="89"/>
        <v>44.087404705973107</v>
      </c>
      <c r="AL83" s="22">
        <f t="shared" si="58"/>
        <v>380.63672986290339</v>
      </c>
      <c r="AM83" s="60">
        <f t="shared" si="59"/>
        <v>651.36534150158946</v>
      </c>
      <c r="AN83" s="60">
        <f ca="1">AVERAGE(OFFSET($AM$3,0,0,'Données projet'!$E$10+1,1))-AVERAGE(OFFSET($H$3,0,0,'Données projet'!$E$10+1,1))</f>
        <v>328.36544111680962</v>
      </c>
      <c r="AO83" s="60">
        <f t="shared" si="90"/>
        <v>226.85392900722772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21.794871794871796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226</v>
      </c>
      <c r="BB83" s="13">
        <f>VLOOKUP(A83,'Données projet'!$A$87:$I$107,9,0)</f>
        <v>2.4</v>
      </c>
      <c r="BC83" s="13">
        <f t="array" ref="BC83">INDEX(BB:BB,MIN(IF(ISNUMBER(BB83:BB279),ROW(BB83:BB279),"")))</f>
        <v>2.4</v>
      </c>
      <c r="BD83" s="13">
        <f>IF('Données projet'!$A$88&gt;35,BD82+BC83-BL82,IF(A83&lt;'Données projet'!$A$88,$BA$205^A83,IF(A83='Données projet'!$A$88,'Données projet'!$B$88,BD82+BC83-BL82)))</f>
        <v>225.99999999999989</v>
      </c>
      <c r="BE83" s="14">
        <f>BD83*VLOOKUP('Données projet'!$B$11,Paramètres!$A$1:$I$89,3,0)*VLOOKUP('Données projet'!$B$11,Paramètres!$A$1:$I$89,5,0)</f>
        <v>197.43359999999993</v>
      </c>
      <c r="BF83" s="14">
        <f t="shared" si="91"/>
        <v>49.179727436837609</v>
      </c>
      <c r="BG83" s="22">
        <f t="shared" si="61"/>
        <v>429.51821195249204</v>
      </c>
      <c r="BH83" s="60">
        <f t="shared" si="62"/>
        <v>700.2468235911781</v>
      </c>
      <c r="BI83" s="60">
        <f ca="1">AVERAGE(OFFSET($BH$3,0,0,'Données projet'!$E$11+1,1))-AVERAGE(OFFSET($H$3,0,0,'Données projet'!$E$11+1,1))</f>
        <v>296.01124173332352</v>
      </c>
      <c r="BJ83" s="60">
        <f t="shared" si="92"/>
        <v>315.50730924873733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226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179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179</v>
      </c>
      <c r="BZ83" s="14">
        <f>BY83*VLOOKUP('Données projet'!$B$12,Paramètres!$A$1:$I$89,3,0)*VLOOKUP('Données projet'!$B$12,Paramètres!$A$1:$I$89,5,0)</f>
        <v>117.2808</v>
      </c>
      <c r="CA83" s="14">
        <f t="shared" si="93"/>
        <v>31.039947007582366</v>
      </c>
      <c r="CB83" s="22">
        <f t="shared" si="64"/>
        <v>258.32530103820591</v>
      </c>
      <c r="CC83" s="60">
        <f t="shared" si="65"/>
        <v>529.05391267689197</v>
      </c>
      <c r="CD83" s="60">
        <f ca="1">AVERAGE(OFFSET($CC$3,0,0,'Données projet'!$E$12+1,1))-AVERAGE(OFFSET($H$3,0,0,'Données projet'!$E$12+1,1))</f>
        <v>216.42026264996392</v>
      </c>
      <c r="CE83" s="60">
        <f t="shared" si="94"/>
        <v>216.4587454288401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27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192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191.99999999999997</v>
      </c>
      <c r="CU83" s="18">
        <f>CT83*VLOOKUP('Données projet'!$B$13,Paramètres!$A$1:$I$89,3,0)*VLOOKUP('Données projet'!$B$13,Paramètres!$A$1:$I$89,5,0)</f>
        <v>185.70239999999998</v>
      </c>
      <c r="CV83" s="14">
        <f t="shared" si="95"/>
        <v>46.588553069776829</v>
      </c>
      <c r="CW83" s="22">
        <f t="shared" si="67"/>
        <v>404.57340992986127</v>
      </c>
      <c r="CX83" s="60">
        <f t="shared" si="68"/>
        <v>675.30202156854739</v>
      </c>
      <c r="CY83" s="60">
        <f ca="1">AVERAGE(OFFSET($CX$3,0,0,'Données projet'!$E$13+1,1))-AVERAGE(OFFSET($H$3,0,0,'Données projet'!$E$13+1,1))</f>
        <v>385.5283976785621</v>
      </c>
      <c r="CZ83" s="60">
        <f t="shared" si="96"/>
        <v>173.19148969173838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5.9</v>
      </c>
      <c r="DO83" s="13">
        <f>IF('Données projet'!$A$166&gt;35,DO82+DN83-DW82,IF(A83&lt;'Données projet'!$A$166,$DL$205^A83,IF(A83='Données projet'!$A$166,'Données projet'!$B$166,DO82+DN83-DW82)))</f>
        <v>260.49999999999989</v>
      </c>
      <c r="DP83" s="18">
        <f>DO83*VLOOKUP('Données projet'!$B$14,Paramètres!$A$1:$I$89,3,0)*VLOOKUP('Données projet'!$B$14,Paramètres!$A$1:$I$89,5,0)</f>
        <v>280.40219999999988</v>
      </c>
      <c r="DQ83" s="14">
        <f t="shared" si="97"/>
        <v>67.051998201071953</v>
      </c>
      <c r="DR83" s="22">
        <f t="shared" si="70"/>
        <v>605.14939520020005</v>
      </c>
      <c r="DS83" s="60">
        <f t="shared" si="71"/>
        <v>875.87800683888622</v>
      </c>
      <c r="DT83" s="60">
        <f ca="1">AVERAGE(OFFSET($DS$3,0,0,'Données projet'!$E$14+1,1))-AVERAGE(OFFSET($H$3,0,0,'Données projet'!$E$14+1,1))</f>
        <v>543.15812193567342</v>
      </c>
      <c r="DU83" s="60">
        <f t="shared" si="98"/>
        <v>286.40725588660575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183.97435897435898</v>
      </c>
      <c r="EH83" s="13">
        <f>VLOOKUP(A83,'Données projet'!$A$191:$I$211,9,0)</f>
        <v>3.2051282051282044</v>
      </c>
      <c r="EI83" s="13">
        <f t="array" ref="EI83">INDEX(EH:EH,MIN(IF(ISNUMBER(EH83:EH279),ROW(EH83:EH279),"")))</f>
        <v>3.2051282051282044</v>
      </c>
      <c r="EJ83" s="13">
        <f>IF('Données projet'!$A$192&gt;35,EJ82+EI83-ER82,IF(A83&lt;'Données projet'!$A$192,$EG$205^A83,IF(A83='Données projet'!$A$192,'Données projet'!$B$192,EJ82+EI83-ER82)))</f>
        <v>183.97435897435898</v>
      </c>
      <c r="EK83" s="18">
        <f>EJ83*VLOOKUP('Données projet'!$B$15,Paramètres!$A$1:$I$89,3,0)*VLOOKUP('Données projet'!$B$15,Paramètres!$A$1:$I$89,5,0)</f>
        <v>123.41000000000001</v>
      </c>
      <c r="EL83" s="14">
        <f t="shared" si="99"/>
        <v>32.469024148887371</v>
      </c>
      <c r="EM83" s="22">
        <f t="shared" si="73"/>
        <v>271.48930039264548</v>
      </c>
      <c r="EN83" s="60">
        <f t="shared" si="74"/>
        <v>542.21791203133159</v>
      </c>
      <c r="EO83" s="60">
        <f ca="1">AVERAGE(OFFSET($EN$3,0,0,'Données projet'!$E$15+1,1))-AVERAGE(OFFSET($H$3,0,0,'Données projet'!$E$15+1,1))</f>
        <v>239.52247785001794</v>
      </c>
      <c r="EP83" s="60">
        <f t="shared" si="100"/>
        <v>173.69760199651617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18.589743589743588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0.37641709307135535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0.37641709307135535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8">
        <f t="shared" si="56"/>
        <v>183.33333333333334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5.9</v>
      </c>
      <c r="N84" s="14">
        <f>IF('Données projet'!$A$36&gt;35,N83+M84-V83,IF(A84&lt;'Données projet'!$A$36,$K$205^A84,IF(A84='Données projet'!$A$36,'Données projet'!$B$36,N83+M84-V83)))</f>
        <v>266.39999999999986</v>
      </c>
      <c r="O84" s="14">
        <f>N84*VLOOKUP('Données projet'!$B$9,Paramètres!$A$1:$I$89,3,0)*VLOOKUP('Données projet'!$B$9,Paramètres!$A$1:$I$89,5,0)</f>
        <v>270.12959999999987</v>
      </c>
      <c r="P84" s="14">
        <f t="shared" si="87"/>
        <v>64.876772910497735</v>
      </c>
      <c r="Q84" s="22">
        <f t="shared" si="54"/>
        <v>583.46943281911661</v>
      </c>
      <c r="R84" s="60">
        <f t="shared" si="55"/>
        <v>854.59018584261798</v>
      </c>
      <c r="S84" s="60">
        <f ca="1">AVERAGE(OFFSET($R$3,0,0,'Données projet'!$E$9+1,1))-AVERAGE(OFFSET($H$3,0,0,'Données projet'!$E$9+1,1))</f>
        <v>516.54532596122067</v>
      </c>
      <c r="T84" s="60">
        <f t="shared" si="88"/>
        <v>273.35778700650792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3.333333333333337</v>
      </c>
      <c r="AI84" s="14">
        <f>IF('Données projet'!$A$62&gt;35,AI83+AH84-AQ83,IF(A84&lt;'Données projet'!$A$62,$AF$205^A84,IF(A84='Données projet'!$A$62,'Données projet'!$B$62,AI83+AH84-AQ83)))</f>
        <v>164.87179487179503</v>
      </c>
      <c r="AJ84" s="14">
        <f>AI84*VLOOKUP('Données projet'!$B$10,Paramètres!$A$1:$I$89,3,0)*VLOOKUP('Données projet'!$B$10,Paramètres!$A$1:$I$89,5,0)</f>
        <v>156.89200000000014</v>
      </c>
      <c r="AK84" s="14">
        <f t="shared" si="89"/>
        <v>40.140699017237509</v>
      </c>
      <c r="AL84" s="22">
        <f t="shared" si="58"/>
        <v>343.1652841216889</v>
      </c>
      <c r="AM84" s="60">
        <f t="shared" si="59"/>
        <v>614.28603714519033</v>
      </c>
      <c r="AN84" s="60">
        <f ca="1">AVERAGE(OFFSET($AM$3,0,0,'Données projet'!$E$10+1,1))-AVERAGE(OFFSET($H$3,0,0,'Données projet'!$E$10+1,1))</f>
        <v>328.36544111680962</v>
      </c>
      <c r="AO84" s="60">
        <f t="shared" si="90"/>
        <v>226.85392900722772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-9.9316821433603781E-14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296.01124173332352</v>
      </c>
      <c r="BJ84" s="60">
        <f t="shared" si="92"/>
        <v>315.50730924873733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3.2</v>
      </c>
      <c r="BY84" s="13">
        <f>IF('Données projet'!$A$114&gt;35,BY83+BX84-CG83,IF(A84&lt;'Données projet'!$A$114,$BV$205^A84,IF(A84='Données projet'!$A$114,'Données projet'!$B$114,BY83+BX84-CG83)))</f>
        <v>155.19999999999999</v>
      </c>
      <c r="BZ84" s="14">
        <f>BY84*VLOOKUP('Données projet'!$B$12,Paramètres!$A$1:$I$89,3,0)*VLOOKUP('Données projet'!$B$12,Paramètres!$A$1:$I$89,5,0)</f>
        <v>101.68704</v>
      </c>
      <c r="CA84" s="14">
        <f t="shared" si="93"/>
        <v>27.363519398004541</v>
      </c>
      <c r="CB84" s="22">
        <f t="shared" si="64"/>
        <v>224.76305761819125</v>
      </c>
      <c r="CC84" s="60">
        <f t="shared" si="65"/>
        <v>495.88381064169266</v>
      </c>
      <c r="CD84" s="60">
        <f ca="1">AVERAGE(OFFSET($CC$3,0,0,'Données projet'!$E$12+1,1))-AVERAGE(OFFSET($H$3,0,0,'Données projet'!$E$12+1,1))</f>
        <v>216.42026264996392</v>
      </c>
      <c r="CE84" s="60">
        <f t="shared" si="94"/>
        <v>216.4587454288401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4.4000000000000004</v>
      </c>
      <c r="CT84" s="13">
        <f>IF('Données projet'!$A$140&gt;35,CT83+CS84-DB83,IF(A84&lt;'Données projet'!$A$140,$CQ$205^A84,IF(A84='Données projet'!$A$140,'Données projet'!$B$140,CT83+CS84-DB83)))</f>
        <v>196.39999999999998</v>
      </c>
      <c r="CU84" s="18">
        <f>CT84*VLOOKUP('Données projet'!$B$13,Paramètres!$A$1:$I$89,3,0)*VLOOKUP('Données projet'!$B$13,Paramètres!$A$1:$I$89,5,0)</f>
        <v>189.95808</v>
      </c>
      <c r="CV84" s="14">
        <f t="shared" si="95"/>
        <v>47.530684815400313</v>
      </c>
      <c r="CW84" s="22">
        <f t="shared" si="67"/>
        <v>413.62626538682224</v>
      </c>
      <c r="CX84" s="60">
        <f t="shared" si="68"/>
        <v>684.74701841032368</v>
      </c>
      <c r="CY84" s="60">
        <f ca="1">AVERAGE(OFFSET($CX$3,0,0,'Données projet'!$E$13+1,1))-AVERAGE(OFFSET($H$3,0,0,'Données projet'!$E$13+1,1))</f>
        <v>385.5283976785621</v>
      </c>
      <c r="CZ84" s="60">
        <f t="shared" si="96"/>
        <v>173.19148969173838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5.9</v>
      </c>
      <c r="DO84" s="13">
        <f>IF('Données projet'!$A$166&gt;35,DO83+DN84-DW83,IF(A84&lt;'Données projet'!$A$166,$DL$205^A84,IF(A84='Données projet'!$A$166,'Données projet'!$B$166,DO83+DN84-DW83)))</f>
        <v>266.39999999999986</v>
      </c>
      <c r="DP84" s="18">
        <f>DO84*VLOOKUP('Données projet'!$B$14,Paramètres!$A$1:$I$89,3,0)*VLOOKUP('Données projet'!$B$14,Paramètres!$A$1:$I$89,5,0)</f>
        <v>286.75295999999986</v>
      </c>
      <c r="DQ84" s="14">
        <f t="shared" si="97"/>
        <v>68.392118063243558</v>
      </c>
      <c r="DR84" s="22">
        <f t="shared" si="70"/>
        <v>618.54434429348237</v>
      </c>
      <c r="DS84" s="60">
        <f t="shared" si="71"/>
        <v>889.66509731698375</v>
      </c>
      <c r="DT84" s="60">
        <f ca="1">AVERAGE(OFFSET($DS$3,0,0,'Données projet'!$E$14+1,1))-AVERAGE(OFFSET($H$3,0,0,'Données projet'!$E$14+1,1))</f>
        <v>543.15812193567342</v>
      </c>
      <c r="DU84" s="60">
        <f t="shared" si="98"/>
        <v>286.40725588660575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2.9487179487179445</v>
      </c>
      <c r="EJ84" s="13">
        <f>IF('Données projet'!$A$192&gt;35,EJ83+EI84-ER83,IF(A84&lt;'Données projet'!$A$192,$EG$205^A84,IF(A84='Données projet'!$A$192,'Données projet'!$B$192,EJ83+EI84-ER83)))</f>
        <v>168.33333333333334</v>
      </c>
      <c r="EK84" s="18">
        <f>EJ84*VLOOKUP('Données projet'!$B$15,Paramètres!$A$1:$I$89,3,0)*VLOOKUP('Données projet'!$B$15,Paramètres!$A$1:$I$89,5,0)</f>
        <v>112.91800000000002</v>
      </c>
      <c r="EL84" s="14">
        <f t="shared" si="99"/>
        <v>30.017437037525255</v>
      </c>
      <c r="EM84" s="22">
        <f t="shared" si="73"/>
        <v>248.94588617368981</v>
      </c>
      <c r="EN84" s="60">
        <f t="shared" si="74"/>
        <v>520.06663919719131</v>
      </c>
      <c r="EO84" s="60">
        <f ca="1">AVERAGE(OFFSET($EN$3,0,0,'Données projet'!$E$15+1,1))-AVERAGE(OFFSET($H$3,0,0,'Données projet'!$E$15+1,1))</f>
        <v>239.52247785001794</v>
      </c>
      <c r="EP84" s="60">
        <f t="shared" si="100"/>
        <v>173.69760199651617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0.36612394786640451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0.36612394786640451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8">
        <f t="shared" si="56"/>
        <v>183.33333333333334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5.9</v>
      </c>
      <c r="N85" s="14">
        <f>IF('Données projet'!$A$36&gt;35,N84+M85-V84,IF(A85&lt;'Données projet'!$A$36,$K$205^A85,IF(A85='Données projet'!$A$36,'Données projet'!$B$36,N84+M85-V84)))</f>
        <v>272.29999999999984</v>
      </c>
      <c r="O85" s="14">
        <f>N85*VLOOKUP('Données projet'!$B$9,Paramètres!$A$1:$I$89,3,0)*VLOOKUP('Données projet'!$B$9,Paramètres!$A$1:$I$89,5,0)</f>
        <v>276.11219999999986</v>
      </c>
      <c r="P85" s="14">
        <f t="shared" si="87"/>
        <v>66.144737580152963</v>
      </c>
      <c r="Q85" s="22">
        <f t="shared" si="54"/>
        <v>596.09749961876616</v>
      </c>
      <c r="R85" s="60">
        <f t="shared" si="55"/>
        <v>867.6035912507532</v>
      </c>
      <c r="S85" s="60">
        <f ca="1">AVERAGE(OFFSET($R$3,0,0,'Données projet'!$E$9+1,1))-AVERAGE(OFFSET($H$3,0,0,'Données projet'!$E$9+1,1))</f>
        <v>516.54532596122067</v>
      </c>
      <c r="T85" s="60">
        <f t="shared" si="88"/>
        <v>273.35778700650792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3.333333333333337</v>
      </c>
      <c r="AI85" s="14">
        <f>IF('Données projet'!$A$62&gt;35,AI84+AH85-AQ84,IF(A85&lt;'Données projet'!$A$62,$AF$205^A85,IF(A85='Données projet'!$A$62,'Données projet'!$B$62,AI84+AH85-AQ84)))</f>
        <v>168.20512820512837</v>
      </c>
      <c r="AJ85" s="14">
        <f>AI85*VLOOKUP('Données projet'!$B$10,Paramètres!$A$1:$I$89,3,0)*VLOOKUP('Données projet'!$B$10,Paramètres!$A$1:$I$89,5,0)</f>
        <v>160.06400000000016</v>
      </c>
      <c r="AK85" s="14">
        <f t="shared" si="89"/>
        <v>40.856950449335592</v>
      </c>
      <c r="AL85" s="22">
        <f t="shared" si="58"/>
        <v>349.93732203259304</v>
      </c>
      <c r="AM85" s="60">
        <f t="shared" si="59"/>
        <v>621.44341366458002</v>
      </c>
      <c r="AN85" s="60">
        <f ca="1">AVERAGE(OFFSET($AM$3,0,0,'Données projet'!$E$10+1,1))-AVERAGE(OFFSET($H$3,0,0,'Données projet'!$E$10+1,1))</f>
        <v>328.36544111680962</v>
      </c>
      <c r="AO85" s="60">
        <f t="shared" si="90"/>
        <v>226.85392900722772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-9.9316821433603781E-14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296.01124173332352</v>
      </c>
      <c r="BJ85" s="60">
        <f t="shared" si="92"/>
        <v>315.50730924873733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3.2</v>
      </c>
      <c r="BY85" s="13">
        <f>IF('Données projet'!$A$114&gt;35,BY84+BX85-CG84,IF(A85&lt;'Données projet'!$A$114,$BV$205^A85,IF(A85='Données projet'!$A$114,'Données projet'!$B$114,BY84+BX85-CG84)))</f>
        <v>158.39999999999998</v>
      </c>
      <c r="BZ85" s="14">
        <f>BY85*VLOOKUP('Données projet'!$B$12,Paramètres!$A$1:$I$89,3,0)*VLOOKUP('Données projet'!$B$12,Paramètres!$A$1:$I$89,5,0)</f>
        <v>103.78367999999999</v>
      </c>
      <c r="CA85" s="14">
        <f t="shared" si="93"/>
        <v>27.861449539780477</v>
      </c>
      <c r="CB85" s="22">
        <f t="shared" si="64"/>
        <v>229.28193394845096</v>
      </c>
      <c r="CC85" s="60">
        <f t="shared" si="65"/>
        <v>500.78802558043799</v>
      </c>
      <c r="CD85" s="60">
        <f ca="1">AVERAGE(OFFSET($CC$3,0,0,'Données projet'!$E$12+1,1))-AVERAGE(OFFSET($H$3,0,0,'Données projet'!$E$12+1,1))</f>
        <v>216.42026264996392</v>
      </c>
      <c r="CE85" s="60">
        <f t="shared" si="94"/>
        <v>216.4587454288401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4.4000000000000004</v>
      </c>
      <c r="CT85" s="13">
        <f>IF('Données projet'!$A$140&gt;35,CT84+CS85-DB84,IF(A85&lt;'Données projet'!$A$140,$CQ$205^A85,IF(A85='Données projet'!$A$140,'Données projet'!$B$140,CT84+CS85-DB84)))</f>
        <v>200.79999999999998</v>
      </c>
      <c r="CU85" s="18">
        <f>CT85*VLOOKUP('Données projet'!$B$13,Paramètres!$A$1:$I$89,3,0)*VLOOKUP('Données projet'!$B$13,Paramètres!$A$1:$I$89,5,0)</f>
        <v>194.21376000000001</v>
      </c>
      <c r="CV85" s="14">
        <f t="shared" si="95"/>
        <v>48.470362710689521</v>
      </c>
      <c r="CW85" s="22">
        <f t="shared" si="67"/>
        <v>422.67484705445094</v>
      </c>
      <c r="CX85" s="60">
        <f t="shared" si="68"/>
        <v>694.18093868643791</v>
      </c>
      <c r="CY85" s="60">
        <f ca="1">AVERAGE(OFFSET($CX$3,0,0,'Données projet'!$E$13+1,1))-AVERAGE(OFFSET($H$3,0,0,'Données projet'!$E$13+1,1))</f>
        <v>385.5283976785621</v>
      </c>
      <c r="CZ85" s="60">
        <f t="shared" si="96"/>
        <v>173.19148969173838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5.9</v>
      </c>
      <c r="DO85" s="13">
        <f>IF('Données projet'!$A$166&gt;35,DO84+DN85-DW84,IF(A85&lt;'Données projet'!$A$166,$DL$205^A85,IF(A85='Données projet'!$A$166,'Données projet'!$B$166,DO84+DN85-DW84)))</f>
        <v>272.29999999999984</v>
      </c>
      <c r="DP85" s="18">
        <f>DO85*VLOOKUP('Données projet'!$B$14,Paramètres!$A$1:$I$89,3,0)*VLOOKUP('Données projet'!$B$14,Paramètres!$A$1:$I$89,5,0)</f>
        <v>293.10371999999984</v>
      </c>
      <c r="DQ85" s="14">
        <f t="shared" si="97"/>
        <v>69.728787344046424</v>
      </c>
      <c r="DR85" s="22">
        <f t="shared" si="70"/>
        <v>631.9332836242138</v>
      </c>
      <c r="DS85" s="60">
        <f t="shared" si="71"/>
        <v>903.43937525620083</v>
      </c>
      <c r="DT85" s="60">
        <f ca="1">AVERAGE(OFFSET($DS$3,0,0,'Données projet'!$E$14+1,1))-AVERAGE(OFFSET($H$3,0,0,'Données projet'!$E$14+1,1))</f>
        <v>543.15812193567342</v>
      </c>
      <c r="DU85" s="60">
        <f t="shared" si="98"/>
        <v>286.40725588660575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2.9487179487179445</v>
      </c>
      <c r="EJ85" s="13">
        <f>IF('Données projet'!$A$192&gt;35,EJ84+EI85-ER84,IF(A85&lt;'Données projet'!$A$192,$EG$205^A85,IF(A85='Données projet'!$A$192,'Données projet'!$B$192,EJ84+EI85-ER84)))</f>
        <v>171.2820512820513</v>
      </c>
      <c r="EK85" s="18">
        <f>EJ85*VLOOKUP('Données projet'!$B$15,Paramètres!$A$1:$I$89,3,0)*VLOOKUP('Données projet'!$B$15,Paramètres!$A$1:$I$89,5,0)</f>
        <v>114.896</v>
      </c>
      <c r="EL85" s="14">
        <f t="shared" si="99"/>
        <v>30.481580566818689</v>
      </c>
      <c r="EM85" s="22">
        <f t="shared" si="73"/>
        <v>253.19928615387587</v>
      </c>
      <c r="EN85" s="60">
        <f t="shared" si="74"/>
        <v>524.70537778586288</v>
      </c>
      <c r="EO85" s="60">
        <f ca="1">AVERAGE(OFFSET($EN$3,0,0,'Données projet'!$E$15+1,1))-AVERAGE(OFFSET($H$3,0,0,'Données projet'!$E$15+1,1))</f>
        <v>239.52247785001794</v>
      </c>
      <c r="EP85" s="60">
        <f t="shared" si="100"/>
        <v>173.69760199651617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0.35611226925837602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0.35611226925837602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8">
        <f t="shared" si="56"/>
        <v>183.33333333333334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5.9</v>
      </c>
      <c r="N86" s="14">
        <f>IF('Données projet'!$A$36&gt;35,N85+M86-V85,IF(A86&lt;'Données projet'!$A$36,$K$205^A86,IF(A86='Données projet'!$A$36,'Données projet'!$B$36,N85+M86-V85)))</f>
        <v>278.19999999999982</v>
      </c>
      <c r="O86" s="14">
        <f>N86*VLOOKUP('Données projet'!$B$9,Paramètres!$A$1:$I$89,3,0)*VLOOKUP('Données projet'!$B$9,Paramètres!$A$1:$I$89,5,0)</f>
        <v>282.09479999999985</v>
      </c>
      <c r="P86" s="14">
        <f t="shared" si="87"/>
        <v>67.409508117681739</v>
      </c>
      <c r="Q86" s="22">
        <f t="shared" si="54"/>
        <v>608.72000330496201</v>
      </c>
      <c r="R86" s="60">
        <f t="shared" si="55"/>
        <v>880.60474878206549</v>
      </c>
      <c r="S86" s="60">
        <f ca="1">AVERAGE(OFFSET($R$3,0,0,'Données projet'!$E$9+1,1))-AVERAGE(OFFSET($H$3,0,0,'Données projet'!$E$9+1,1))</f>
        <v>516.54532596122067</v>
      </c>
      <c r="T86" s="60">
        <f t="shared" si="88"/>
        <v>273.35778700650792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3.333333333333337</v>
      </c>
      <c r="AI86" s="14">
        <f>IF('Données projet'!$A$62&gt;35,AI85+AH86-AQ85,IF(A86&lt;'Données projet'!$A$62,$AF$205^A86,IF(A86='Données projet'!$A$62,'Données projet'!$B$62,AI85+AH86-AQ85)))</f>
        <v>171.53846153846172</v>
      </c>
      <c r="AJ86" s="14">
        <f>AI86*VLOOKUP('Données projet'!$B$10,Paramètres!$A$1:$I$89,3,0)*VLOOKUP('Données projet'!$B$10,Paramètres!$A$1:$I$89,5,0)</f>
        <v>163.23600000000016</v>
      </c>
      <c r="AK86" s="14">
        <f t="shared" si="89"/>
        <v>41.571551488912007</v>
      </c>
      <c r="AL86" s="22">
        <f t="shared" si="58"/>
        <v>356.70648550985533</v>
      </c>
      <c r="AM86" s="60">
        <f t="shared" si="59"/>
        <v>628.59123098695886</v>
      </c>
      <c r="AN86" s="60">
        <f ca="1">AVERAGE(OFFSET($AM$3,0,0,'Données projet'!$E$10+1,1))-AVERAGE(OFFSET($H$3,0,0,'Données projet'!$E$10+1,1))</f>
        <v>328.36544111680962</v>
      </c>
      <c r="AO86" s="60">
        <f t="shared" si="90"/>
        <v>226.85392900722772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-9.9316821433603781E-14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296.01124173332352</v>
      </c>
      <c r="BJ86" s="60">
        <f t="shared" si="92"/>
        <v>315.50730924873733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3.2</v>
      </c>
      <c r="BY86" s="13">
        <f>IF('Données projet'!$A$114&gt;35,BY85+BX86-CG85,IF(A86&lt;'Données projet'!$A$114,$BV$205^A86,IF(A86='Données projet'!$A$114,'Données projet'!$B$114,BY85+BX86-CG85)))</f>
        <v>161.59999999999997</v>
      </c>
      <c r="BZ86" s="14">
        <f>BY86*VLOOKUP('Données projet'!$B$12,Paramètres!$A$1:$I$89,3,0)*VLOOKUP('Données projet'!$B$12,Paramètres!$A$1:$I$89,5,0)</f>
        <v>105.88031999999998</v>
      </c>
      <c r="CA86" s="14">
        <f t="shared" si="93"/>
        <v>28.358210082792318</v>
      </c>
      <c r="CB86" s="22">
        <f t="shared" si="64"/>
        <v>233.79877322752989</v>
      </c>
      <c r="CC86" s="60">
        <f t="shared" si="65"/>
        <v>505.68351870463334</v>
      </c>
      <c r="CD86" s="60">
        <f ca="1">AVERAGE(OFFSET($CC$3,0,0,'Données projet'!$E$12+1,1))-AVERAGE(OFFSET($H$3,0,0,'Données projet'!$E$12+1,1))</f>
        <v>216.42026264996392</v>
      </c>
      <c r="CE86" s="60">
        <f t="shared" si="94"/>
        <v>216.4587454288401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4.4000000000000004</v>
      </c>
      <c r="CT86" s="13">
        <f>IF('Données projet'!$A$140&gt;35,CT85+CS86-DB85,IF(A86&lt;'Données projet'!$A$140,$CQ$205^A86,IF(A86='Données projet'!$A$140,'Données projet'!$B$140,CT85+CS86-DB85)))</f>
        <v>205.2</v>
      </c>
      <c r="CU86" s="18">
        <f>CT86*VLOOKUP('Données projet'!$B$13,Paramètres!$A$1:$I$89,3,0)*VLOOKUP('Données projet'!$B$13,Paramètres!$A$1:$I$89,5,0)</f>
        <v>198.46943999999999</v>
      </c>
      <c r="CV86" s="14">
        <f t="shared" si="95"/>
        <v>49.407646717262175</v>
      </c>
      <c r="CW86" s="22">
        <f t="shared" si="67"/>
        <v>431.71925936589827</v>
      </c>
      <c r="CX86" s="60">
        <f t="shared" si="68"/>
        <v>703.6040048430018</v>
      </c>
      <c r="CY86" s="60">
        <f ca="1">AVERAGE(OFFSET($CX$3,0,0,'Données projet'!$E$13+1,1))-AVERAGE(OFFSET($H$3,0,0,'Données projet'!$E$13+1,1))</f>
        <v>385.5283976785621</v>
      </c>
      <c r="CZ86" s="60">
        <f t="shared" si="96"/>
        <v>173.19148969173838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5.9</v>
      </c>
      <c r="DO86" s="13">
        <f>IF('Données projet'!$A$166&gt;35,DO85+DN86-DW85,IF(A86&lt;'Données projet'!$A$166,$DL$205^A86,IF(A86='Données projet'!$A$166,'Données projet'!$B$166,DO85+DN86-DW85)))</f>
        <v>278.19999999999982</v>
      </c>
      <c r="DP86" s="18">
        <f>DO86*VLOOKUP('Données projet'!$B$14,Paramètres!$A$1:$I$89,3,0)*VLOOKUP('Données projet'!$B$14,Paramètres!$A$1:$I$89,5,0)</f>
        <v>299.45447999999976</v>
      </c>
      <c r="DQ86" s="14">
        <f t="shared" si="97"/>
        <v>71.062089418810686</v>
      </c>
      <c r="DR86" s="22">
        <f t="shared" si="70"/>
        <v>645.31635840442812</v>
      </c>
      <c r="DS86" s="60">
        <f t="shared" si="71"/>
        <v>917.20110388153159</v>
      </c>
      <c r="DT86" s="60">
        <f ca="1">AVERAGE(OFFSET($DS$3,0,0,'Données projet'!$E$14+1,1))-AVERAGE(OFFSET($H$3,0,0,'Données projet'!$E$14+1,1))</f>
        <v>543.15812193567342</v>
      </c>
      <c r="DU86" s="60">
        <f t="shared" si="98"/>
        <v>286.40725588660575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2.9487179487179445</v>
      </c>
      <c r="EJ86" s="13">
        <f>IF('Données projet'!$A$192&gt;35,EJ85+EI86-ER85,IF(A86&lt;'Données projet'!$A$192,$EG$205^A86,IF(A86='Données projet'!$A$192,'Données projet'!$B$192,EJ85+EI86-ER85)))</f>
        <v>174.23076923076925</v>
      </c>
      <c r="EK86" s="18">
        <f>EJ86*VLOOKUP('Données projet'!$B$15,Paramètres!$A$1:$I$89,3,0)*VLOOKUP('Données projet'!$B$15,Paramètres!$A$1:$I$89,5,0)</f>
        <v>116.87400000000002</v>
      </c>
      <c r="EL86" s="14">
        <f t="shared" si="99"/>
        <v>30.94479488526294</v>
      </c>
      <c r="EM86" s="22">
        <f t="shared" si="73"/>
        <v>257.45106775849962</v>
      </c>
      <c r="EN86" s="60">
        <f t="shared" si="74"/>
        <v>529.33581323560315</v>
      </c>
      <c r="EO86" s="60">
        <f ca="1">AVERAGE(OFFSET($EN$3,0,0,'Données projet'!$E$15+1,1))-AVERAGE(OFFSET($H$3,0,0,'Données projet'!$E$15+1,1))</f>
        <v>239.52247785001794</v>
      </c>
      <c r="EP86" s="60">
        <f t="shared" si="100"/>
        <v>173.69760199651617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0.34637436052837539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0.34637436052837539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8">
        <f t="shared" si="56"/>
        <v>183.33333333333334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5.9</v>
      </c>
      <c r="N87" s="14">
        <f>IF('Données projet'!$A$36&gt;35,N86+M87-V86,IF(A87&lt;'Données projet'!$A$36,$K$205^A87,IF(A87='Données projet'!$A$36,'Données projet'!$B$36,N86+M87-V86)))</f>
        <v>284.0999999999998</v>
      </c>
      <c r="O87" s="14">
        <f>N87*VLOOKUP('Données projet'!$B$9,Paramètres!$A$1:$I$89,3,0)*VLOOKUP('Données projet'!$B$9,Paramètres!$A$1:$I$89,5,0)</f>
        <v>288.07739999999984</v>
      </c>
      <c r="P87" s="14">
        <f t="shared" si="87"/>
        <v>68.671160066636261</v>
      </c>
      <c r="Q87" s="22">
        <f t="shared" si="54"/>
        <v>621.33707544939125</v>
      </c>
      <c r="R87" s="60">
        <f t="shared" si="55"/>
        <v>893.59390597394156</v>
      </c>
      <c r="S87" s="60">
        <f ca="1">AVERAGE(OFFSET($R$3,0,0,'Données projet'!$E$9+1,1))-AVERAGE(OFFSET($H$3,0,0,'Données projet'!$E$9+1,1))</f>
        <v>516.54532596122067</v>
      </c>
      <c r="T87" s="60">
        <f t="shared" si="88"/>
        <v>273.35778700650792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3.333333333333337</v>
      </c>
      <c r="AI87" s="14">
        <f>IF('Données projet'!$A$62&gt;35,AI86+AH87-AQ86,IF(A87&lt;'Données projet'!$A$62,$AF$205^A87,IF(A87='Données projet'!$A$62,'Données projet'!$B$62,AI86+AH87-AQ86)))</f>
        <v>174.87179487179506</v>
      </c>
      <c r="AJ87" s="14">
        <f>AI87*VLOOKUP('Données projet'!$B$10,Paramètres!$A$1:$I$89,3,0)*VLOOKUP('Données projet'!$B$10,Paramètres!$A$1:$I$89,5,0)</f>
        <v>166.40800000000019</v>
      </c>
      <c r="AK87" s="14">
        <f t="shared" si="89"/>
        <v>42.28453790345074</v>
      </c>
      <c r="AL87" s="22">
        <f t="shared" si="58"/>
        <v>363.47283684851033</v>
      </c>
      <c r="AM87" s="60">
        <f t="shared" si="59"/>
        <v>635.72966737306069</v>
      </c>
      <c r="AN87" s="60">
        <f ca="1">AVERAGE(OFFSET($AM$3,0,0,'Données projet'!$E$10+1,1))-AVERAGE(OFFSET($H$3,0,0,'Données projet'!$E$10+1,1))</f>
        <v>328.36544111680962</v>
      </c>
      <c r="AO87" s="60">
        <f t="shared" si="90"/>
        <v>226.85392900722772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-9.9316821433603781E-14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296.01124173332352</v>
      </c>
      <c r="BJ87" s="60">
        <f t="shared" si="92"/>
        <v>315.50730924873733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3.2</v>
      </c>
      <c r="BY87" s="13">
        <f>IF('Données projet'!$A$114&gt;35,BY86+BX87-CG86,IF(A87&lt;'Données projet'!$A$114,$BV$205^A87,IF(A87='Données projet'!$A$114,'Données projet'!$B$114,BY86+BX87-CG86)))</f>
        <v>164.79999999999995</v>
      </c>
      <c r="BZ87" s="14">
        <f>BY87*VLOOKUP('Données projet'!$B$12,Paramètres!$A$1:$I$89,3,0)*VLOOKUP('Données projet'!$B$12,Paramètres!$A$1:$I$89,5,0)</f>
        <v>107.97695999999998</v>
      </c>
      <c r="CA87" s="14">
        <f t="shared" si="93"/>
        <v>28.853826856909674</v>
      </c>
      <c r="CB87" s="22">
        <f t="shared" si="64"/>
        <v>238.31362044245091</v>
      </c>
      <c r="CC87" s="60">
        <f t="shared" si="65"/>
        <v>510.57045096700119</v>
      </c>
      <c r="CD87" s="60">
        <f ca="1">AVERAGE(OFFSET($CC$3,0,0,'Données projet'!$E$12+1,1))-AVERAGE(OFFSET($H$3,0,0,'Données projet'!$E$12+1,1))</f>
        <v>216.42026264996392</v>
      </c>
      <c r="CE87" s="60">
        <f t="shared" si="94"/>
        <v>216.4587454288401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4.4000000000000004</v>
      </c>
      <c r="CT87" s="13">
        <f>IF('Données projet'!$A$140&gt;35,CT86+CS87-DB86,IF(A87&lt;'Données projet'!$A$140,$CQ$205^A87,IF(A87='Données projet'!$A$140,'Données projet'!$B$140,CT86+CS87-DB86)))</f>
        <v>209.6</v>
      </c>
      <c r="CU87" s="18">
        <f>CT87*VLOOKUP('Données projet'!$B$13,Paramètres!$A$1:$I$89,3,0)*VLOOKUP('Données projet'!$B$13,Paramètres!$A$1:$I$89,5,0)</f>
        <v>202.72512</v>
      </c>
      <c r="CV87" s="14">
        <f t="shared" si="95"/>
        <v>50.342594078391187</v>
      </c>
      <c r="CW87" s="22">
        <f t="shared" si="67"/>
        <v>440.75960201986459</v>
      </c>
      <c r="CX87" s="60">
        <f t="shared" si="68"/>
        <v>713.0164325444149</v>
      </c>
      <c r="CY87" s="60">
        <f ca="1">AVERAGE(OFFSET($CX$3,0,0,'Données projet'!$E$13+1,1))-AVERAGE(OFFSET($H$3,0,0,'Données projet'!$E$13+1,1))</f>
        <v>385.5283976785621</v>
      </c>
      <c r="CZ87" s="60">
        <f t="shared" si="96"/>
        <v>173.19148969173838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5.9</v>
      </c>
      <c r="DO87" s="13">
        <f>IF('Données projet'!$A$166&gt;35,DO86+DN87-DW86,IF(A87&lt;'Données projet'!$A$166,$DL$205^A87,IF(A87='Données projet'!$A$166,'Données projet'!$B$166,DO86+DN87-DW86)))</f>
        <v>284.0999999999998</v>
      </c>
      <c r="DP87" s="18">
        <f>DO87*VLOOKUP('Données projet'!$B$14,Paramètres!$A$1:$I$89,3,0)*VLOOKUP('Données projet'!$B$14,Paramètres!$A$1:$I$89,5,0)</f>
        <v>305.8052399999998</v>
      </c>
      <c r="DQ87" s="14">
        <f t="shared" si="97"/>
        <v>72.392103924412837</v>
      </c>
      <c r="DR87" s="22">
        <f t="shared" si="70"/>
        <v>658.69370733501853</v>
      </c>
      <c r="DS87" s="60">
        <f t="shared" si="71"/>
        <v>930.95053785956884</v>
      </c>
      <c r="DT87" s="60">
        <f ca="1">AVERAGE(OFFSET($DS$3,0,0,'Données projet'!$E$14+1,1))-AVERAGE(OFFSET($H$3,0,0,'Données projet'!$E$14+1,1))</f>
        <v>543.15812193567342</v>
      </c>
      <c r="DU87" s="60">
        <f t="shared" si="98"/>
        <v>286.40725588660575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2.9487179487179445</v>
      </c>
      <c r="EJ87" s="13">
        <f>IF('Données projet'!$A$192&gt;35,EJ86+EI87-ER86,IF(A87&lt;'Données projet'!$A$192,$EG$205^A87,IF(A87='Données projet'!$A$192,'Données projet'!$B$192,EJ86+EI87-ER86)))</f>
        <v>177.17948717948721</v>
      </c>
      <c r="EK87" s="18">
        <f>EJ87*VLOOKUP('Données projet'!$B$15,Paramètres!$A$1:$I$89,3,0)*VLOOKUP('Données projet'!$B$15,Paramètres!$A$1:$I$89,5,0)</f>
        <v>118.85200000000003</v>
      </c>
      <c r="EL87" s="14">
        <f t="shared" si="99"/>
        <v>31.407097533947248</v>
      </c>
      <c r="EM87" s="22">
        <f t="shared" si="73"/>
        <v>261.70126153829153</v>
      </c>
      <c r="EN87" s="60">
        <f t="shared" si="74"/>
        <v>533.95809206284184</v>
      </c>
      <c r="EO87" s="60">
        <f ca="1">AVERAGE(OFFSET($EN$3,0,0,'Données projet'!$E$15+1,1))-AVERAGE(OFFSET($H$3,0,0,'Données projet'!$E$15+1,1))</f>
        <v>239.52247785001794</v>
      </c>
      <c r="EP87" s="60">
        <f t="shared" si="100"/>
        <v>173.69760199651617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0.33690273542469101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0.33690273542469101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8">
        <f t="shared" si="56"/>
        <v>183.33333333333334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5.9</v>
      </c>
      <c r="M88" s="13">
        <f t="array" ref="M88">INDEX(L:L,MIN(IF(ISNUMBER(L88:L284),ROW(L88:L284),"")))</f>
        <v>5.9</v>
      </c>
      <c r="N88" s="14">
        <f>IF('Données projet'!$A$36&gt;35,N87+M88-V87,IF(A88&lt;'Données projet'!$A$36,$K$205^A88,IF(A88='Données projet'!$A$36,'Données projet'!$B$36,N87+M88-V87)))</f>
        <v>289.99999999999977</v>
      </c>
      <c r="O88" s="14">
        <f>N88*VLOOKUP('Données projet'!$B$9,Paramètres!$A$1:$I$89,3,0)*VLOOKUP('Données projet'!$B$9,Paramètres!$A$1:$I$89,5,0)</f>
        <v>294.05999999999977</v>
      </c>
      <c r="P88" s="14">
        <f t="shared" si="87"/>
        <v>69.929765653573313</v>
      </c>
      <c r="Q88" s="22">
        <f t="shared" si="54"/>
        <v>633.94884184663977</v>
      </c>
      <c r="R88" s="60">
        <f t="shared" si="55"/>
        <v>906.57130257492122</v>
      </c>
      <c r="S88" s="60">
        <f ca="1">AVERAGE(OFFSET($R$3,0,0,'Données projet'!$E$9+1,1))-AVERAGE(OFFSET($H$3,0,0,'Données projet'!$E$9+1,1))</f>
        <v>516.54532596122067</v>
      </c>
      <c r="T88" s="60">
        <f t="shared" si="88"/>
        <v>273.35778700650792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178.2051282051282</v>
      </c>
      <c r="AG88" s="13">
        <f>VLOOKUP(A88,'Données projet'!$A$61:$I$81,9,0)</f>
        <v>3.333333333333337</v>
      </c>
      <c r="AH88" s="13">
        <f t="array" ref="AH88">INDEX(AG:AG,MIN(IF(ISNUMBER(AG88:AG284),ROW(AG88:AG284),"")))</f>
        <v>3.333333333333337</v>
      </c>
      <c r="AI88" s="14">
        <f>IF('Données projet'!$A$62&gt;35,AI87+AH88-AQ87,IF(A88&lt;'Données projet'!$A$62,$AF$205^A88,IF(A88='Données projet'!$A$62,'Données projet'!$B$62,AI87+AH88-AQ87)))</f>
        <v>178.2051282051284</v>
      </c>
      <c r="AJ88" s="14">
        <f>AI88*VLOOKUP('Données projet'!$B$10,Paramètres!$A$1:$I$89,3,0)*VLOOKUP('Données projet'!$B$10,Paramètres!$A$1:$I$89,5,0)</f>
        <v>169.58000000000018</v>
      </c>
      <c r="AK88" s="14">
        <f t="shared" si="89"/>
        <v>42.995944018844192</v>
      </c>
      <c r="AL88" s="22">
        <f t="shared" si="58"/>
        <v>370.23643583282063</v>
      </c>
      <c r="AM88" s="60">
        <f t="shared" si="59"/>
        <v>642.85889656110214</v>
      </c>
      <c r="AN88" s="60">
        <f ca="1">AVERAGE(OFFSET($AM$3,0,0,'Données projet'!$E$10+1,1))-AVERAGE(OFFSET($H$3,0,0,'Données projet'!$E$10+1,1))</f>
        <v>328.36544111680962</v>
      </c>
      <c r="AO88" s="60">
        <f t="shared" si="90"/>
        <v>226.85392900722772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-9.9316821433603781E-14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296.01124173332352</v>
      </c>
      <c r="BJ88" s="60">
        <f t="shared" si="92"/>
        <v>315.50730924873733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168</v>
      </c>
      <c r="BW88" s="13">
        <f>VLOOKUP(A88,'Données projet'!$A$113:$I$133,9,0)</f>
        <v>3.2</v>
      </c>
      <c r="BX88" s="13">
        <f t="array" ref="BX88">INDEX(BW:BW,MIN(IF(ISNUMBER(BW88:BW284),ROW(BW88:BW284),"")))</f>
        <v>3.2</v>
      </c>
      <c r="BY88" s="13">
        <f>IF('Données projet'!$A$114&gt;35,BY87+BX88-CG87,IF(A88&lt;'Données projet'!$A$114,$BV$205^A88,IF(A88='Données projet'!$A$114,'Données projet'!$B$114,BY87+BX88-CG87)))</f>
        <v>167.99999999999994</v>
      </c>
      <c r="BZ88" s="14">
        <f>BY88*VLOOKUP('Données projet'!$B$12,Paramètres!$A$1:$I$89,3,0)*VLOOKUP('Données projet'!$B$12,Paramètres!$A$1:$I$89,5,0)</f>
        <v>110.07359999999996</v>
      </c>
      <c r="CA88" s="14">
        <f t="shared" si="93"/>
        <v>29.348324631518803</v>
      </c>
      <c r="CB88" s="22">
        <f t="shared" si="64"/>
        <v>242.82651873322845</v>
      </c>
      <c r="CC88" s="60">
        <f t="shared" si="65"/>
        <v>515.44897946150991</v>
      </c>
      <c r="CD88" s="60">
        <f ca="1">AVERAGE(OFFSET($CC$3,0,0,'Données projet'!$E$12+1,1))-AVERAGE(OFFSET($H$3,0,0,'Données projet'!$E$12+1,1))</f>
        <v>216.42026264996392</v>
      </c>
      <c r="CE88" s="60">
        <f t="shared" si="94"/>
        <v>216.4587454288401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214</v>
      </c>
      <c r="CR88" s="13">
        <f>VLOOKUP(A88,'Données projet'!$A$139:$I$159,9,0)</f>
        <v>4.4000000000000004</v>
      </c>
      <c r="CS88" s="13">
        <f t="array" ref="CS88">INDEX(CR:CR,MIN(IF(ISNUMBER(CR88:CR284),ROW(CR88:CR284),"")))</f>
        <v>4.4000000000000004</v>
      </c>
      <c r="CT88" s="13">
        <f>IF('Données projet'!$A$140&gt;35,CT87+CS88-DB87,IF(A88&lt;'Données projet'!$A$140,$CQ$205^A88,IF(A88='Données projet'!$A$140,'Données projet'!$B$140,CT87+CS88-DB87)))</f>
        <v>214</v>
      </c>
      <c r="CU88" s="18">
        <f>CT88*VLOOKUP('Données projet'!$B$13,Paramètres!$A$1:$I$89,3,0)*VLOOKUP('Données projet'!$B$13,Paramètres!$A$1:$I$89,5,0)</f>
        <v>206.98080000000002</v>
      </c>
      <c r="CV88" s="14">
        <f t="shared" si="95"/>
        <v>51.275259496675787</v>
      </c>
      <c r="CW88" s="22">
        <f t="shared" si="67"/>
        <v>449.79597029004367</v>
      </c>
      <c r="CX88" s="60">
        <f t="shared" si="68"/>
        <v>722.41843101832524</v>
      </c>
      <c r="CY88" s="60">
        <f ca="1">AVERAGE(OFFSET($CX$3,0,0,'Données projet'!$E$13+1,1))-AVERAGE(OFFSET($H$3,0,0,'Données projet'!$E$13+1,1))</f>
        <v>385.5283976785621</v>
      </c>
      <c r="CZ88" s="60">
        <f t="shared" si="96"/>
        <v>173.19148969173838</v>
      </c>
      <c r="DA88" s="16">
        <f>IF(ISNA(VLOOKUP(A88,'Données projet'!$A$139:$I$159,3,0)),0,VLOOKUP(A88,'Données projet'!$A$139:$I$159,3,0))</f>
        <v>6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290</v>
      </c>
      <c r="DM88" s="13">
        <f>VLOOKUP(A88,'Données projet'!$A$165:$I$185,9,0)</f>
        <v>5.9</v>
      </c>
      <c r="DN88" s="13">
        <f t="array" ref="DN88">INDEX(DM:DM,MIN(IF(ISNUMBER(DM88:DM284),ROW(DM88:DM284),"")))</f>
        <v>5.9</v>
      </c>
      <c r="DO88" s="13">
        <f>IF('Données projet'!$A$166&gt;35,DO87+DN88-DW87,IF(A88&lt;'Données projet'!$A$166,$DL$205^A88,IF(A88='Données projet'!$A$166,'Données projet'!$B$166,DO87+DN88-DW87)))</f>
        <v>289.99999999999977</v>
      </c>
      <c r="DP88" s="18">
        <f>DO88*VLOOKUP('Données projet'!$B$14,Paramètres!$A$1:$I$89,3,0)*VLOOKUP('Données projet'!$B$14,Paramètres!$A$1:$I$89,5,0)</f>
        <v>312.15599999999972</v>
      </c>
      <c r="DQ88" s="14">
        <f t="shared" si="97"/>
        <v>73.718907001002492</v>
      </c>
      <c r="DR88" s="22">
        <f t="shared" si="70"/>
        <v>672.06546302674553</v>
      </c>
      <c r="DS88" s="60">
        <f t="shared" si="71"/>
        <v>944.68792375502699</v>
      </c>
      <c r="DT88" s="60">
        <f ca="1">AVERAGE(OFFSET($DS$3,0,0,'Données projet'!$E$14+1,1))-AVERAGE(OFFSET($H$3,0,0,'Données projet'!$E$14+1,1))</f>
        <v>543.15812193567342</v>
      </c>
      <c r="DU88" s="60">
        <f t="shared" si="98"/>
        <v>286.40725588660575</v>
      </c>
      <c r="DV88" s="16">
        <f>IF(ISNA(VLOOKUP(A88,'Données projet'!$A$165:$I$185,3,0)),0,VLOOKUP(A88,'Données projet'!$A$165:$I$185,3,0))</f>
        <v>7</v>
      </c>
      <c r="DW88" s="16">
        <f>IF(ISNA(VLOOKUP(A88,'Données projet'!$A$165:$I$185,4,0)),0,VLOOKUP(A88,'Données projet'!$A$165:$I$185,4,0))</f>
        <v>42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180.12820512820511</v>
      </c>
      <c r="EH88" s="13">
        <f>VLOOKUP(A88,'Données projet'!$A$191:$I$211,9,0)</f>
        <v>2.9487179487179445</v>
      </c>
      <c r="EI88" s="13">
        <f t="array" ref="EI88">INDEX(EH:EH,MIN(IF(ISNUMBER(EH88:EH284),ROW(EH88:EH284),"")))</f>
        <v>2.9487179487179445</v>
      </c>
      <c r="EJ88" s="13">
        <f>IF('Données projet'!$A$192&gt;35,EJ87+EI88-ER87,IF(A88&lt;'Données projet'!$A$192,$EG$205^A88,IF(A88='Données projet'!$A$192,'Données projet'!$B$192,EJ87+EI88-ER87)))</f>
        <v>180.12820512820517</v>
      </c>
      <c r="EK88" s="18">
        <f>EJ88*VLOOKUP('Données projet'!$B$15,Paramètres!$A$1:$I$89,3,0)*VLOOKUP('Données projet'!$B$15,Paramètres!$A$1:$I$89,5,0)</f>
        <v>120.83000000000003</v>
      </c>
      <c r="EL88" s="14">
        <f t="shared" si="99"/>
        <v>31.868505436636539</v>
      </c>
      <c r="EM88" s="22">
        <f t="shared" si="73"/>
        <v>265.94989696880867</v>
      </c>
      <c r="EN88" s="60">
        <f t="shared" si="74"/>
        <v>538.57235769709018</v>
      </c>
      <c r="EO88" s="60">
        <f ca="1">AVERAGE(OFFSET($EN$3,0,0,'Données projet'!$E$15+1,1))-AVERAGE(OFFSET($H$3,0,0,'Données projet'!$E$15+1,1))</f>
        <v>239.52247785001794</v>
      </c>
      <c r="EP88" s="60">
        <f t="shared" si="100"/>
        <v>173.69760199651617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0.32769011240755797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0.32769011240755797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8">
        <f t="shared" si="56"/>
        <v>183.33333333333334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253.19999999999976</v>
      </c>
      <c r="O89" s="14">
        <f>N89*VLOOKUP('Données projet'!$B$9,Paramètres!$A$1:$I$89,3,0)*VLOOKUP('Données projet'!$B$9,Paramètres!$A$1:$I$89,5,0)</f>
        <v>256.74479999999977</v>
      </c>
      <c r="P89" s="14">
        <f t="shared" si="87"/>
        <v>62.027992887126103</v>
      </c>
      <c r="Q89" s="22">
        <f t="shared" si="54"/>
        <v>555.19594761174415</v>
      </c>
      <c r="R89" s="60">
        <f t="shared" si="55"/>
        <v>828.1776956771489</v>
      </c>
      <c r="S89" s="60">
        <f ca="1">AVERAGE(OFFSET($R$3,0,0,'Données projet'!$E$9+1,1))-AVERAGE(OFFSET($H$3,0,0,'Données projet'!$E$9+1,1))</f>
        <v>516.54532596122067</v>
      </c>
      <c r="T89" s="60">
        <f t="shared" si="88"/>
        <v>273.35778700650792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2.9487179487179502</v>
      </c>
      <c r="AI89" s="14">
        <f>IF('Données projet'!$A$62&gt;35,AI88+AH89-AQ88,IF(A89&lt;'Données projet'!$A$62,$AF$205^A89,IF(A89='Données projet'!$A$62,'Données projet'!$B$62,AI88+AH89-AQ88)))</f>
        <v>181.15384615384636</v>
      </c>
      <c r="AJ89" s="14">
        <f>AI89*VLOOKUP('Données projet'!$B$10,Paramètres!$A$1:$I$89,3,0)*VLOOKUP('Données projet'!$B$10,Paramètres!$A$1:$I$89,5,0)</f>
        <v>172.38600000000019</v>
      </c>
      <c r="AK89" s="14">
        <f t="shared" si="89"/>
        <v>43.623973962324435</v>
      </c>
      <c r="AL89" s="22">
        <f t="shared" si="58"/>
        <v>376.21737131771539</v>
      </c>
      <c r="AM89" s="60">
        <f t="shared" si="59"/>
        <v>649.19911938312009</v>
      </c>
      <c r="AN89" s="60">
        <f ca="1">AVERAGE(OFFSET($AM$3,0,0,'Données projet'!$E$10+1,1))-AVERAGE(OFFSET($H$3,0,0,'Données projet'!$E$10+1,1))</f>
        <v>328.36544111680962</v>
      </c>
      <c r="AO89" s="60">
        <f t="shared" si="90"/>
        <v>226.85392900722772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-9.9316821433603781E-14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296.01124173332352</v>
      </c>
      <c r="BJ89" s="60">
        <f t="shared" si="92"/>
        <v>315.50730924873733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3</v>
      </c>
      <c r="BY89" s="13">
        <f>IF('Données projet'!$A$114&gt;35,BY88+BX89-CG88,IF(A89&lt;'Données projet'!$A$114,$BV$205^A89,IF(A89='Données projet'!$A$114,'Données projet'!$B$114,BY88+BX89-CG88)))</f>
        <v>170.99999999999994</v>
      </c>
      <c r="BZ89" s="14">
        <f>BY89*VLOOKUP('Données projet'!$B$12,Paramètres!$A$1:$I$89,3,0)*VLOOKUP('Données projet'!$B$12,Paramètres!$A$1:$I$89,5,0)</f>
        <v>112.03919999999997</v>
      </c>
      <c r="CA89" s="14">
        <f t="shared" si="93"/>
        <v>29.810921169420173</v>
      </c>
      <c r="CB89" s="22">
        <f t="shared" si="64"/>
        <v>247.05562770340671</v>
      </c>
      <c r="CC89" s="60">
        <f t="shared" si="65"/>
        <v>520.03737576881144</v>
      </c>
      <c r="CD89" s="60">
        <f ca="1">AVERAGE(OFFSET($CC$3,0,0,'Données projet'!$E$12+1,1))-AVERAGE(OFFSET($H$3,0,0,'Données projet'!$E$12+1,1))</f>
        <v>216.42026264996392</v>
      </c>
      <c r="CE89" s="60">
        <f t="shared" si="94"/>
        <v>216.4587454288401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</v>
      </c>
      <c r="CT89" s="13">
        <f>IF('Données projet'!$A$140&gt;35,CT88+CS89-DB88,IF(A89&lt;'Données projet'!$A$140,$CQ$205^A89,IF(A89='Données projet'!$A$140,'Données projet'!$B$140,CT88+CS89-DB88)))</f>
        <v>190</v>
      </c>
      <c r="CU89" s="18">
        <f>CT89*VLOOKUP('Données projet'!$B$13,Paramètres!$A$1:$I$89,3,0)*VLOOKUP('Données projet'!$B$13,Paramètres!$A$1:$I$89,5,0)</f>
        <v>183.768</v>
      </c>
      <c r="CV89" s="14">
        <f t="shared" si="95"/>
        <v>46.159483283907285</v>
      </c>
      <c r="CW89" s="22">
        <f t="shared" si="67"/>
        <v>400.45703338613856</v>
      </c>
      <c r="CX89" s="60">
        <f t="shared" si="68"/>
        <v>673.43878145154326</v>
      </c>
      <c r="CY89" s="60">
        <f ca="1">AVERAGE(OFFSET($CX$3,0,0,'Données projet'!$E$13+1,1))-AVERAGE(OFFSET($H$3,0,0,'Données projet'!$E$13+1,1))</f>
        <v>385.5283976785621</v>
      </c>
      <c r="CZ89" s="60">
        <f t="shared" si="96"/>
        <v>173.19148969173838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5.2</v>
      </c>
      <c r="DO89" s="13">
        <f>IF('Données projet'!$A$166&gt;35,DO88+DN89-DW88,IF(A89&lt;'Données projet'!$A$166,$DL$205^A89,IF(A89='Données projet'!$A$166,'Données projet'!$B$166,DO88+DN89-DW88)))</f>
        <v>253.19999999999976</v>
      </c>
      <c r="DP89" s="18">
        <f>DO89*VLOOKUP('Données projet'!$B$14,Paramètres!$A$1:$I$89,3,0)*VLOOKUP('Données projet'!$B$14,Paramètres!$A$1:$I$89,5,0)</f>
        <v>272.54447999999974</v>
      </c>
      <c r="DQ89" s="14">
        <f t="shared" si="97"/>
        <v>65.388977016702441</v>
      </c>
      <c r="DR89" s="22">
        <f t="shared" si="70"/>
        <v>588.56743763742293</v>
      </c>
      <c r="DS89" s="60">
        <f t="shared" si="71"/>
        <v>861.54918570282757</v>
      </c>
      <c r="DT89" s="60">
        <f ca="1">AVERAGE(OFFSET($DS$3,0,0,'Données projet'!$E$14+1,1))-AVERAGE(OFFSET($H$3,0,0,'Données projet'!$E$14+1,1))</f>
        <v>543.15812193567342</v>
      </c>
      <c r="DU89" s="60">
        <f t="shared" si="98"/>
        <v>286.40725588660575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2.8205128205128234</v>
      </c>
      <c r="EJ89" s="13">
        <f>IF('Données projet'!$A$192&gt;35,EJ88+EI89-ER88,IF(A89&lt;'Données projet'!$A$192,$EG$205^A89,IF(A89='Données projet'!$A$192,'Données projet'!$B$192,EJ88+EI89-ER88)))</f>
        <v>182.94871794871798</v>
      </c>
      <c r="EK89" s="18">
        <f>EJ89*VLOOKUP('Données projet'!$B$15,Paramètres!$A$1:$I$89,3,0)*VLOOKUP('Données projet'!$B$15,Paramètres!$A$1:$I$89,5,0)</f>
        <v>122.72200000000002</v>
      </c>
      <c r="EL89" s="14">
        <f t="shared" si="99"/>
        <v>32.309029959383906</v>
      </c>
      <c r="EM89" s="22">
        <f t="shared" si="73"/>
        <v>270.01237717926034</v>
      </c>
      <c r="EN89" s="60">
        <f t="shared" si="74"/>
        <v>542.99412524466504</v>
      </c>
      <c r="EO89" s="60">
        <f ca="1">AVERAGE(OFFSET($EN$3,0,0,'Données projet'!$E$15+1,1))-AVERAGE(OFFSET($H$3,0,0,'Données projet'!$E$15+1,1))</f>
        <v>239.52247785001794</v>
      </c>
      <c r="EP89" s="60">
        <f t="shared" si="100"/>
        <v>173.69760199651617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0.31872940905129921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0.31872940905129921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8">
        <f t="shared" si="56"/>
        <v>183.33333333333334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258.39999999999975</v>
      </c>
      <c r="O90" s="14">
        <f>N90*VLOOKUP('Données projet'!$B$9,Paramètres!$A$1:$I$89,3,0)*VLOOKUP('Données projet'!$B$9,Paramètres!$A$1:$I$89,5,0)</f>
        <v>262.01759999999973</v>
      </c>
      <c r="P90" s="14">
        <f t="shared" si="87"/>
        <v>63.152255067978103</v>
      </c>
      <c r="Q90" s="22">
        <f t="shared" si="54"/>
        <v>566.33749757672797</v>
      </c>
      <c r="R90" s="60">
        <f t="shared" si="55"/>
        <v>839.6723001472028</v>
      </c>
      <c r="S90" s="60">
        <f ca="1">AVERAGE(OFFSET($R$3,0,0,'Données projet'!$E$9+1,1))-AVERAGE(OFFSET($H$3,0,0,'Données projet'!$E$9+1,1))</f>
        <v>516.54532596122067</v>
      </c>
      <c r="T90" s="60">
        <f t="shared" si="88"/>
        <v>273.35778700650792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2.9487179487179502</v>
      </c>
      <c r="AI90" s="14">
        <f>IF('Données projet'!$A$62&gt;35,AI89+AH90-AQ89,IF(A90&lt;'Données projet'!$A$62,$AF$205^A90,IF(A90='Données projet'!$A$62,'Données projet'!$B$62,AI89+AH90-AQ89)))</f>
        <v>184.10256410256432</v>
      </c>
      <c r="AJ90" s="14">
        <f>AI90*VLOOKUP('Données projet'!$B$10,Paramètres!$A$1:$I$89,3,0)*VLOOKUP('Données projet'!$B$10,Paramètres!$A$1:$I$89,5,0)</f>
        <v>175.19200000000021</v>
      </c>
      <c r="AK90" s="14">
        <f t="shared" si="89"/>
        <v>44.250815053456975</v>
      </c>
      <c r="AL90" s="22">
        <f t="shared" si="58"/>
        <v>382.19623621810462</v>
      </c>
      <c r="AM90" s="60">
        <f t="shared" si="59"/>
        <v>655.53103878857951</v>
      </c>
      <c r="AN90" s="60">
        <f ca="1">AVERAGE(OFFSET($AM$3,0,0,'Données projet'!$E$10+1,1))-AVERAGE(OFFSET($H$3,0,0,'Données projet'!$E$10+1,1))</f>
        <v>328.36544111680962</v>
      </c>
      <c r="AO90" s="60">
        <f t="shared" si="90"/>
        <v>226.85392900722772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-9.9316821433603781E-14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296.01124173332352</v>
      </c>
      <c r="BJ90" s="60">
        <f t="shared" si="92"/>
        <v>315.50730924873733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3</v>
      </c>
      <c r="BY90" s="13">
        <f>IF('Données projet'!$A$114&gt;35,BY89+BX90-CG89,IF(A90&lt;'Données projet'!$A$114,$BV$205^A90,IF(A90='Données projet'!$A$114,'Données projet'!$B$114,BY89+BX90-CG89)))</f>
        <v>173.99999999999994</v>
      </c>
      <c r="BZ90" s="14">
        <f>BY90*VLOOKUP('Données projet'!$B$12,Paramètres!$A$1:$I$89,3,0)*VLOOKUP('Données projet'!$B$12,Paramètres!$A$1:$I$89,5,0)</f>
        <v>114.00479999999996</v>
      </c>
      <c r="CA90" s="14">
        <f t="shared" si="93"/>
        <v>30.272573949217303</v>
      </c>
      <c r="CB90" s="22">
        <f t="shared" si="64"/>
        <v>251.28309296155339</v>
      </c>
      <c r="CC90" s="60">
        <f t="shared" si="65"/>
        <v>524.61789553202823</v>
      </c>
      <c r="CD90" s="60">
        <f ca="1">AVERAGE(OFFSET($CC$3,0,0,'Données projet'!$E$12+1,1))-AVERAGE(OFFSET($H$3,0,0,'Données projet'!$E$12+1,1))</f>
        <v>216.42026264996392</v>
      </c>
      <c r="CE90" s="60">
        <f t="shared" si="94"/>
        <v>216.4587454288401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</v>
      </c>
      <c r="CT90" s="13">
        <f>IF('Données projet'!$A$140&gt;35,CT89+CS90-DB89,IF(A90&lt;'Données projet'!$A$140,$CQ$205^A90,IF(A90='Données projet'!$A$140,'Données projet'!$B$140,CT89+CS90-DB89)))</f>
        <v>194</v>
      </c>
      <c r="CU90" s="18">
        <f>CT90*VLOOKUP('Données projet'!$B$13,Paramètres!$A$1:$I$89,3,0)*VLOOKUP('Données projet'!$B$13,Paramètres!$A$1:$I$89,5,0)</f>
        <v>187.63680000000002</v>
      </c>
      <c r="CV90" s="14">
        <f t="shared" si="95"/>
        <v>47.01710291385907</v>
      </c>
      <c r="CW90" s="22">
        <f t="shared" si="67"/>
        <v>408.68888090830461</v>
      </c>
      <c r="CX90" s="60">
        <f t="shared" si="68"/>
        <v>682.0236834787795</v>
      </c>
      <c r="CY90" s="60">
        <f ca="1">AVERAGE(OFFSET($CX$3,0,0,'Données projet'!$E$13+1,1))-AVERAGE(OFFSET($H$3,0,0,'Données projet'!$E$13+1,1))</f>
        <v>385.5283976785621</v>
      </c>
      <c r="CZ90" s="60">
        <f t="shared" si="96"/>
        <v>173.19148969173838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5.2</v>
      </c>
      <c r="DO90" s="13">
        <f>IF('Données projet'!$A$166&gt;35,DO89+DN90-DW89,IF(A90&lt;'Données projet'!$A$166,$DL$205^A90,IF(A90='Données projet'!$A$166,'Données projet'!$B$166,DO89+DN90-DW89)))</f>
        <v>258.39999999999975</v>
      </c>
      <c r="DP90" s="18">
        <f>DO90*VLOOKUP('Données projet'!$B$14,Paramètres!$A$1:$I$89,3,0)*VLOOKUP('Données projet'!$B$14,Paramètres!$A$1:$I$89,5,0)</f>
        <v>278.14175999999975</v>
      </c>
      <c r="DQ90" s="14">
        <f t="shared" si="97"/>
        <v>66.574157295520351</v>
      </c>
      <c r="DR90" s="22">
        <f t="shared" si="70"/>
        <v>600.38022262303082</v>
      </c>
      <c r="DS90" s="60">
        <f t="shared" si="71"/>
        <v>873.71502519350565</v>
      </c>
      <c r="DT90" s="60">
        <f ca="1">AVERAGE(OFFSET($DS$3,0,0,'Données projet'!$E$14+1,1))-AVERAGE(OFFSET($H$3,0,0,'Données projet'!$E$14+1,1))</f>
        <v>543.15812193567342</v>
      </c>
      <c r="DU90" s="60">
        <f t="shared" si="98"/>
        <v>286.40725588660575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2.8205128205128234</v>
      </c>
      <c r="EJ90" s="13">
        <f>IF('Données projet'!$A$192&gt;35,EJ89+EI90-ER89,IF(A90&lt;'Données projet'!$A$192,$EG$205^A90,IF(A90='Données projet'!$A$192,'Données projet'!$B$192,EJ89+EI90-ER89)))</f>
        <v>185.7692307692308</v>
      </c>
      <c r="EK90" s="18">
        <f>EJ90*VLOOKUP('Données projet'!$B$15,Paramètres!$A$1:$I$89,3,0)*VLOOKUP('Données projet'!$B$15,Paramètres!$A$1:$I$89,5,0)</f>
        <v>124.61400000000003</v>
      </c>
      <c r="EL90" s="14">
        <f t="shared" si="99"/>
        <v>32.74876462171833</v>
      </c>
      <c r="EM90" s="22">
        <f t="shared" si="73"/>
        <v>274.07348171615945</v>
      </c>
      <c r="EN90" s="60">
        <f t="shared" si="74"/>
        <v>547.40828428663428</v>
      </c>
      <c r="EO90" s="60">
        <f ca="1">AVERAGE(OFFSET($EN$3,0,0,'Données projet'!$E$15+1,1))-AVERAGE(OFFSET($H$3,0,0,'Données projet'!$E$15+1,1))</f>
        <v>239.52247785001794</v>
      </c>
      <c r="EP90" s="60">
        <f t="shared" si="100"/>
        <v>173.69760199651617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0.31001373659954029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0.31001373659954029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8">
        <f t="shared" si="56"/>
        <v>183.33333333333334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263.59999999999974</v>
      </c>
      <c r="O91" s="14">
        <f>N91*VLOOKUP('Données projet'!$B$9,Paramètres!$A$1:$I$89,3,0)*VLOOKUP('Données projet'!$B$9,Paramètres!$A$1:$I$89,5,0)</f>
        <v>267.29039999999975</v>
      </c>
      <c r="P91" s="14">
        <f t="shared" si="87"/>
        <v>64.273886654661325</v>
      </c>
      <c r="Q91" s="22">
        <f t="shared" si="54"/>
        <v>577.47446592353469</v>
      </c>
      <c r="R91" s="60">
        <f t="shared" si="55"/>
        <v>851.15619829272839</v>
      </c>
      <c r="S91" s="60">
        <f ca="1">AVERAGE(OFFSET($R$3,0,0,'Données projet'!$E$9+1,1))-AVERAGE(OFFSET($H$3,0,0,'Données projet'!$E$9+1,1))</f>
        <v>516.54532596122067</v>
      </c>
      <c r="T91" s="60">
        <f t="shared" si="88"/>
        <v>273.35778700650792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2.9487179487179502</v>
      </c>
      <c r="AI91" s="14">
        <f>IF('Données projet'!$A$62&gt;35,AI90+AH91-AQ90,IF(A91&lt;'Données projet'!$A$62,$AF$205^A91,IF(A91='Données projet'!$A$62,'Données projet'!$B$62,AI90+AH91-AQ90)))</f>
        <v>187.05128205128227</v>
      </c>
      <c r="AJ91" s="14">
        <f>AI91*VLOOKUP('Données projet'!$B$10,Paramètres!$A$1:$I$89,3,0)*VLOOKUP('Données projet'!$B$10,Paramètres!$A$1:$I$89,5,0)</f>
        <v>177.99800000000022</v>
      </c>
      <c r="AK91" s="14">
        <f t="shared" si="89"/>
        <v>44.876488532205848</v>
      </c>
      <c r="AL91" s="22">
        <f t="shared" si="58"/>
        <v>388.17306752692554</v>
      </c>
      <c r="AM91" s="60">
        <f t="shared" si="59"/>
        <v>661.85479989611918</v>
      </c>
      <c r="AN91" s="60">
        <f ca="1">AVERAGE(OFFSET($AM$3,0,0,'Données projet'!$E$10+1,1))-AVERAGE(OFFSET($H$3,0,0,'Données projet'!$E$10+1,1))</f>
        <v>328.36544111680962</v>
      </c>
      <c r="AO91" s="60">
        <f t="shared" si="90"/>
        <v>226.85392900722772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-9.9316821433603781E-14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296.01124173332352</v>
      </c>
      <c r="BJ91" s="60">
        <f t="shared" si="92"/>
        <v>315.50730924873733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3</v>
      </c>
      <c r="BY91" s="13">
        <f>IF('Données projet'!$A$114&gt;35,BY90+BX91-CG90,IF(A91&lt;'Données projet'!$A$114,$BV$205^A91,IF(A91='Données projet'!$A$114,'Données projet'!$B$114,BY90+BX91-CG90)))</f>
        <v>176.99999999999994</v>
      </c>
      <c r="BZ91" s="14">
        <f>BY91*VLOOKUP('Données projet'!$B$12,Paramètres!$A$1:$I$89,3,0)*VLOOKUP('Données projet'!$B$12,Paramètres!$A$1:$I$89,5,0)</f>
        <v>115.97039999999997</v>
      </c>
      <c r="CA91" s="14">
        <f t="shared" si="93"/>
        <v>30.733301120222766</v>
      </c>
      <c r="CB91" s="22">
        <f t="shared" si="64"/>
        <v>255.50894611772128</v>
      </c>
      <c r="CC91" s="60">
        <f t="shared" si="65"/>
        <v>529.19067848691498</v>
      </c>
      <c r="CD91" s="60">
        <f ca="1">AVERAGE(OFFSET($CC$3,0,0,'Données projet'!$E$12+1,1))-AVERAGE(OFFSET($H$3,0,0,'Données projet'!$E$12+1,1))</f>
        <v>216.42026264996392</v>
      </c>
      <c r="CE91" s="60">
        <f t="shared" si="94"/>
        <v>216.4587454288401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</v>
      </c>
      <c r="CT91" s="13">
        <f>IF('Données projet'!$A$140&gt;35,CT90+CS91-DB90,IF(A91&lt;'Données projet'!$A$140,$CQ$205^A91,IF(A91='Données projet'!$A$140,'Données projet'!$B$140,CT90+CS91-DB90)))</f>
        <v>198</v>
      </c>
      <c r="CU91" s="18">
        <f>CT91*VLOOKUP('Données projet'!$B$13,Paramètres!$A$1:$I$89,3,0)*VLOOKUP('Données projet'!$B$13,Paramètres!$A$1:$I$89,5,0)</f>
        <v>191.50560000000002</v>
      </c>
      <c r="CV91" s="14">
        <f t="shared" si="95"/>
        <v>47.872666570685276</v>
      </c>
      <c r="CW91" s="22">
        <f t="shared" si="67"/>
        <v>416.91714761061024</v>
      </c>
      <c r="CX91" s="60">
        <f t="shared" si="68"/>
        <v>690.598879979804</v>
      </c>
      <c r="CY91" s="60">
        <f ca="1">AVERAGE(OFFSET($CX$3,0,0,'Données projet'!$E$13+1,1))-AVERAGE(OFFSET($H$3,0,0,'Données projet'!$E$13+1,1))</f>
        <v>385.5283976785621</v>
      </c>
      <c r="CZ91" s="60">
        <f t="shared" si="96"/>
        <v>173.19148969173838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5.2</v>
      </c>
      <c r="DO91" s="13">
        <f>IF('Données projet'!$A$166&gt;35,DO90+DN91-DW90,IF(A91&lt;'Données projet'!$A$166,$DL$205^A91,IF(A91='Données projet'!$A$166,'Données projet'!$B$166,DO90+DN91-DW90)))</f>
        <v>263.59999999999974</v>
      </c>
      <c r="DP91" s="18">
        <f>DO91*VLOOKUP('Données projet'!$B$14,Paramètres!$A$1:$I$89,3,0)*VLOOKUP('Données projet'!$B$14,Paramètres!$A$1:$I$89,5,0)</f>
        <v>283.7390399999997</v>
      </c>
      <c r="DQ91" s="14">
        <f t="shared" si="97"/>
        <v>67.756564441537463</v>
      </c>
      <c r="DR91" s="22">
        <f t="shared" si="70"/>
        <v>612.18817773567719</v>
      </c>
      <c r="DS91" s="60">
        <f t="shared" si="71"/>
        <v>885.86991010487088</v>
      </c>
      <c r="DT91" s="60">
        <f ca="1">AVERAGE(OFFSET($DS$3,0,0,'Données projet'!$E$14+1,1))-AVERAGE(OFFSET($H$3,0,0,'Données projet'!$E$14+1,1))</f>
        <v>543.15812193567342</v>
      </c>
      <c r="DU91" s="60">
        <f t="shared" si="98"/>
        <v>286.40725588660575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2.8205128205128234</v>
      </c>
      <c r="EJ91" s="13">
        <f>IF('Données projet'!$A$192&gt;35,EJ90+EI91-ER90,IF(A91&lt;'Données projet'!$A$192,$EG$205^A91,IF(A91='Données projet'!$A$192,'Données projet'!$B$192,EJ90+EI91-ER90)))</f>
        <v>188.58974358974362</v>
      </c>
      <c r="EK91" s="18">
        <f>EJ91*VLOOKUP('Données projet'!$B$15,Paramètres!$A$1:$I$89,3,0)*VLOOKUP('Données projet'!$B$15,Paramètres!$A$1:$I$89,5,0)</f>
        <v>126.50600000000003</v>
      </c>
      <c r="EL91" s="14">
        <f t="shared" si="99"/>
        <v>33.187722801121495</v>
      </c>
      <c r="EM91" s="22">
        <f t="shared" si="73"/>
        <v>278.13323387861993</v>
      </c>
      <c r="EN91" s="60">
        <f t="shared" si="74"/>
        <v>551.81496624781357</v>
      </c>
      <c r="EO91" s="60">
        <f ca="1">AVERAGE(OFFSET($EN$3,0,0,'Données projet'!$E$15+1,1))-AVERAGE(OFFSET($H$3,0,0,'Données projet'!$E$15+1,1))</f>
        <v>239.52247785001794</v>
      </c>
      <c r="EP91" s="60">
        <f t="shared" si="100"/>
        <v>173.69760199651617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0.30153639466931198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0.30153639466931198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8">
        <f t="shared" si="56"/>
        <v>183.33333333333334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268.79999999999973</v>
      </c>
      <c r="O92" s="14">
        <f>N92*VLOOKUP('Données projet'!$B$9,Paramètres!$A$1:$I$89,3,0)*VLOOKUP('Données projet'!$B$9,Paramètres!$A$1:$I$89,5,0)</f>
        <v>272.56319999999977</v>
      </c>
      <c r="P92" s="14">
        <f t="shared" si="87"/>
        <v>65.392945522034552</v>
      </c>
      <c r="Q92" s="22">
        <f t="shared" si="54"/>
        <v>588.6069534508764</v>
      </c>
      <c r="R92" s="60">
        <f t="shared" si="55"/>
        <v>862.62959716239993</v>
      </c>
      <c r="S92" s="60">
        <f ca="1">AVERAGE(OFFSET($R$3,0,0,'Données projet'!$E$9+1,1))-AVERAGE(OFFSET($H$3,0,0,'Données projet'!$E$9+1,1))</f>
        <v>516.54532596122067</v>
      </c>
      <c r="T92" s="60">
        <f t="shared" si="88"/>
        <v>273.35778700650792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2.9487179487179502</v>
      </c>
      <c r="AI92" s="14">
        <f>IF('Données projet'!$A$62&gt;35,AI91+AH92-AQ91,IF(A92&lt;'Données projet'!$A$62,$AF$205^A92,IF(A92='Données projet'!$A$62,'Données projet'!$B$62,AI91+AH92-AQ91)))</f>
        <v>190.00000000000023</v>
      </c>
      <c r="AJ92" s="14">
        <f>AI92*VLOOKUP('Données projet'!$B$10,Paramètres!$A$1:$I$89,3,0)*VLOOKUP('Données projet'!$B$10,Paramètres!$A$1:$I$89,5,0)</f>
        <v>180.8040000000002</v>
      </c>
      <c r="AK92" s="14">
        <f t="shared" si="89"/>
        <v>45.501014930459938</v>
      </c>
      <c r="AL92" s="22">
        <f t="shared" si="58"/>
        <v>394.14790100388473</v>
      </c>
      <c r="AM92" s="60">
        <f t="shared" si="59"/>
        <v>668.17054471540837</v>
      </c>
      <c r="AN92" s="60">
        <f ca="1">AVERAGE(OFFSET($AM$3,0,0,'Données projet'!$E$10+1,1))-AVERAGE(OFFSET($H$3,0,0,'Données projet'!$E$10+1,1))</f>
        <v>328.36544111680962</v>
      </c>
      <c r="AO92" s="60">
        <f t="shared" si="90"/>
        <v>226.85392900722772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-9.9316821433603781E-14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296.01124173332352</v>
      </c>
      <c r="BJ92" s="60">
        <f t="shared" si="92"/>
        <v>315.50730924873733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3</v>
      </c>
      <c r="BY92" s="13">
        <f>IF('Données projet'!$A$114&gt;35,BY91+BX92-CG91,IF(A92&lt;'Données projet'!$A$114,$BV$205^A92,IF(A92='Données projet'!$A$114,'Données projet'!$B$114,BY91+BX92-CG91)))</f>
        <v>179.99999999999994</v>
      </c>
      <c r="BZ92" s="14">
        <f>BY92*VLOOKUP('Données projet'!$B$12,Paramètres!$A$1:$I$89,3,0)*VLOOKUP('Données projet'!$B$12,Paramètres!$A$1:$I$89,5,0)</f>
        <v>117.93599999999998</v>
      </c>
      <c r="CA92" s="14">
        <f t="shared" si="93"/>
        <v>31.1931201812605</v>
      </c>
      <c r="CB92" s="22">
        <f t="shared" si="64"/>
        <v>259.73321764902863</v>
      </c>
      <c r="CC92" s="60">
        <f t="shared" si="65"/>
        <v>533.75586136055222</v>
      </c>
      <c r="CD92" s="60">
        <f ca="1">AVERAGE(OFFSET($CC$3,0,0,'Données projet'!$E$12+1,1))-AVERAGE(OFFSET($H$3,0,0,'Données projet'!$E$12+1,1))</f>
        <v>216.42026264996392</v>
      </c>
      <c r="CE92" s="60">
        <f t="shared" si="94"/>
        <v>216.4587454288401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</v>
      </c>
      <c r="CT92" s="13">
        <f>IF('Données projet'!$A$140&gt;35,CT91+CS92-DB91,IF(A92&lt;'Données projet'!$A$140,$CQ$205^A92,IF(A92='Données projet'!$A$140,'Données projet'!$B$140,CT91+CS92-DB91)))</f>
        <v>202</v>
      </c>
      <c r="CU92" s="18">
        <f>CT92*VLOOKUP('Données projet'!$B$13,Paramètres!$A$1:$I$89,3,0)*VLOOKUP('Données projet'!$B$13,Paramètres!$A$1:$I$89,5,0)</f>
        <v>195.37440000000001</v>
      </c>
      <c r="CV92" s="14">
        <f t="shared" si="95"/>
        <v>48.726220575731652</v>
      </c>
      <c r="CW92" s="22">
        <f t="shared" si="67"/>
        <v>425.14191416939929</v>
      </c>
      <c r="CX92" s="60">
        <f t="shared" si="68"/>
        <v>699.16455788092287</v>
      </c>
      <c r="CY92" s="60">
        <f ca="1">AVERAGE(OFFSET($CX$3,0,0,'Données projet'!$E$13+1,1))-AVERAGE(OFFSET($H$3,0,0,'Données projet'!$E$13+1,1))</f>
        <v>385.5283976785621</v>
      </c>
      <c r="CZ92" s="60">
        <f t="shared" si="96"/>
        <v>173.19148969173838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5.2</v>
      </c>
      <c r="DO92" s="13">
        <f>IF('Données projet'!$A$166&gt;35,DO91+DN92-DW91,IF(A92&lt;'Données projet'!$A$166,$DL$205^A92,IF(A92='Données projet'!$A$166,'Données projet'!$B$166,DO91+DN92-DW91)))</f>
        <v>268.79999999999973</v>
      </c>
      <c r="DP92" s="18">
        <f>DO92*VLOOKUP('Données projet'!$B$14,Paramètres!$A$1:$I$89,3,0)*VLOOKUP('Données projet'!$B$14,Paramètres!$A$1:$I$89,5,0)</f>
        <v>289.33631999999972</v>
      </c>
      <c r="DQ92" s="14">
        <f t="shared" si="97"/>
        <v>68.936259465559303</v>
      </c>
      <c r="DR92" s="22">
        <f t="shared" si="70"/>
        <v>623.99140923584866</v>
      </c>
      <c r="DS92" s="60">
        <f t="shared" si="71"/>
        <v>898.01405294737219</v>
      </c>
      <c r="DT92" s="60">
        <f ca="1">AVERAGE(OFFSET($DS$3,0,0,'Données projet'!$E$14+1,1))-AVERAGE(OFFSET($H$3,0,0,'Données projet'!$E$14+1,1))</f>
        <v>543.15812193567342</v>
      </c>
      <c r="DU92" s="60">
        <f t="shared" si="98"/>
        <v>286.40725588660575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2.8205128205128234</v>
      </c>
      <c r="EJ92" s="13">
        <f>IF('Données projet'!$A$192&gt;35,EJ91+EI92-ER91,IF(A92&lt;'Données projet'!$A$192,$EG$205^A92,IF(A92='Données projet'!$A$192,'Données projet'!$B$192,EJ91+EI92-ER91)))</f>
        <v>191.41025641025644</v>
      </c>
      <c r="EK92" s="18">
        <f>EJ92*VLOOKUP('Données projet'!$B$15,Paramètres!$A$1:$I$89,3,0)*VLOOKUP('Données projet'!$B$15,Paramètres!$A$1:$I$89,5,0)</f>
        <v>128.398</v>
      </c>
      <c r="EL92" s="14">
        <f t="shared" si="99"/>
        <v>33.625917451965975</v>
      </c>
      <c r="EM92" s="22">
        <f t="shared" si="73"/>
        <v>282.19165622884071</v>
      </c>
      <c r="EN92" s="60">
        <f t="shared" si="74"/>
        <v>556.2142999403643</v>
      </c>
      <c r="EO92" s="60">
        <f ca="1">AVERAGE(OFFSET($EN$3,0,0,'Données projet'!$E$15+1,1))-AVERAGE(OFFSET($H$3,0,0,'Données projet'!$E$15+1,1))</f>
        <v>239.52247785001794</v>
      </c>
      <c r="EP92" s="60">
        <f t="shared" si="100"/>
        <v>173.69760199651617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0.29329086609996979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0.29329086609996979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8">
        <f t="shared" si="56"/>
        <v>183.33333333333334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273.99999999999972</v>
      </c>
      <c r="O93" s="14">
        <f>N93*VLOOKUP('Données projet'!$B$9,Paramètres!$A$1:$I$89,3,0)*VLOOKUP('Données projet'!$B$9,Paramètres!$A$1:$I$89,5,0)</f>
        <v>277.83599999999973</v>
      </c>
      <c r="P93" s="14">
        <f t="shared" si="87"/>
        <v>66.509487177652261</v>
      </c>
      <c r="Q93" s="22">
        <f t="shared" si="54"/>
        <v>599.73505683441056</v>
      </c>
      <c r="R93" s="60">
        <f t="shared" si="55"/>
        <v>874.09269783863829</v>
      </c>
      <c r="S93" s="60">
        <f ca="1">AVERAGE(OFFSET($R$3,0,0,'Données projet'!$E$9+1,1))-AVERAGE(OFFSET($H$3,0,0,'Données projet'!$E$9+1,1))</f>
        <v>516.54532596122067</v>
      </c>
      <c r="T93" s="60">
        <f t="shared" si="88"/>
        <v>273.35778700650792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192.94871794871796</v>
      </c>
      <c r="AG93" s="13">
        <f>VLOOKUP(A93,'Données projet'!$A$61:$I$81,9,0)</f>
        <v>2.9487179487179502</v>
      </c>
      <c r="AH93" s="13">
        <f t="array" ref="AH93">INDEX(AG:AG,MIN(IF(ISNUMBER(AG93:AG289),ROW(AG93:AG289),"")))</f>
        <v>2.9487179487179502</v>
      </c>
      <c r="AI93" s="14">
        <f>IF('Données projet'!$A$62&gt;35,AI92+AH93-AQ92,IF(A93&lt;'Données projet'!$A$62,$AF$205^A93,IF(A93='Données projet'!$A$62,'Données projet'!$B$62,AI92+AH93-AQ92)))</f>
        <v>192.94871794871818</v>
      </c>
      <c r="AJ93" s="14">
        <f>AI93*VLOOKUP('Données projet'!$B$10,Paramètres!$A$1:$I$89,3,0)*VLOOKUP('Données projet'!$B$10,Paramètres!$A$1:$I$89,5,0)</f>
        <v>183.61000000000021</v>
      </c>
      <c r="AK93" s="14">
        <f t="shared" si="89"/>
        <v>46.124414106253433</v>
      </c>
      <c r="AL93" s="22">
        <f t="shared" si="58"/>
        <v>400.12077123505838</v>
      </c>
      <c r="AM93" s="60">
        <f t="shared" si="59"/>
        <v>674.47841223928606</v>
      </c>
      <c r="AN93" s="60">
        <f ca="1">AVERAGE(OFFSET($AM$3,0,0,'Données projet'!$E$10+1,1))-AVERAGE(OFFSET($H$3,0,0,'Données projet'!$E$10+1,1))</f>
        <v>328.36544111680962</v>
      </c>
      <c r="AO93" s="60">
        <f t="shared" si="90"/>
        <v>226.85392900722772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20.512820512820511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-9.9316821433603781E-14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296.01124173332352</v>
      </c>
      <c r="BJ93" s="60">
        <f t="shared" si="92"/>
        <v>315.50730924873733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183</v>
      </c>
      <c r="BW93" s="13">
        <f>VLOOKUP(A93,'Données projet'!$A$113:$I$133,9,0)</f>
        <v>3</v>
      </c>
      <c r="BX93" s="13">
        <f t="array" ref="BX93">INDEX(BW:BW,MIN(IF(ISNUMBER(BW93:BW289),ROW(BW93:BW289),"")))</f>
        <v>3</v>
      </c>
      <c r="BY93" s="13">
        <f>IF('Données projet'!$A$114&gt;35,BY92+BX93-CG92,IF(A93&lt;'Données projet'!$A$114,$BV$205^A93,IF(A93='Données projet'!$A$114,'Données projet'!$B$114,BY92+BX93-CG92)))</f>
        <v>182.99999999999994</v>
      </c>
      <c r="BZ93" s="14">
        <f>BY93*VLOOKUP('Données projet'!$B$12,Paramètres!$A$1:$I$89,3,0)*VLOOKUP('Données projet'!$B$12,Paramètres!$A$1:$I$89,5,0)</f>
        <v>119.90159999999996</v>
      </c>
      <c r="CA93" s="14">
        <f t="shared" si="93"/>
        <v>31.652048014425507</v>
      </c>
      <c r="CB93" s="22">
        <f t="shared" si="64"/>
        <v>263.9559369584577</v>
      </c>
      <c r="CC93" s="60">
        <f t="shared" si="65"/>
        <v>538.31357796268537</v>
      </c>
      <c r="CD93" s="60">
        <f ca="1">AVERAGE(OFFSET($CC$3,0,0,'Données projet'!$E$12+1,1))-AVERAGE(OFFSET($H$3,0,0,'Données projet'!$E$12+1,1))</f>
        <v>216.42026264996392</v>
      </c>
      <c r="CE93" s="60">
        <f t="shared" si="94"/>
        <v>216.4587454288401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183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4</v>
      </c>
      <c r="CT93" s="13">
        <f>IF('Données projet'!$A$140&gt;35,CT92+CS93-DB92,IF(A93&lt;'Données projet'!$A$140,$CQ$205^A93,IF(A93='Données projet'!$A$140,'Données projet'!$B$140,CT92+CS93-DB92)))</f>
        <v>206</v>
      </c>
      <c r="CU93" s="18">
        <f>CT93*VLOOKUP('Données projet'!$B$13,Paramètres!$A$1:$I$89,3,0)*VLOOKUP('Données projet'!$B$13,Paramètres!$A$1:$I$89,5,0)</f>
        <v>199.2432</v>
      </c>
      <c r="CV93" s="14">
        <f t="shared" si="95"/>
        <v>49.577809310922277</v>
      </c>
      <c r="CW93" s="22">
        <f t="shared" si="67"/>
        <v>433.36325788318965</v>
      </c>
      <c r="CX93" s="60">
        <f t="shared" si="68"/>
        <v>707.72089888741732</v>
      </c>
      <c r="CY93" s="60">
        <f ca="1">AVERAGE(OFFSET($CX$3,0,0,'Données projet'!$E$13+1,1))-AVERAGE(OFFSET($H$3,0,0,'Données projet'!$E$13+1,1))</f>
        <v>385.5283976785621</v>
      </c>
      <c r="CZ93" s="60">
        <f t="shared" si="96"/>
        <v>173.19148969173838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5.2</v>
      </c>
      <c r="DO93" s="13">
        <f>IF('Données projet'!$A$166&gt;35,DO92+DN93-DW92,IF(A93&lt;'Données projet'!$A$166,$DL$205^A93,IF(A93='Données projet'!$A$166,'Données projet'!$B$166,DO92+DN93-DW92)))</f>
        <v>273.99999999999972</v>
      </c>
      <c r="DP93" s="18">
        <f>DO93*VLOOKUP('Données projet'!$B$14,Paramètres!$A$1:$I$89,3,0)*VLOOKUP('Données projet'!$B$14,Paramètres!$A$1:$I$89,5,0)</f>
        <v>294.93359999999973</v>
      </c>
      <c r="DQ93" s="14">
        <f t="shared" si="97"/>
        <v>70.113300882814812</v>
      </c>
      <c r="DR93" s="22">
        <f t="shared" si="70"/>
        <v>635.79001903756864</v>
      </c>
      <c r="DS93" s="60">
        <f t="shared" si="71"/>
        <v>910.14766004179637</v>
      </c>
      <c r="DT93" s="60">
        <f ca="1">AVERAGE(OFFSET($DS$3,0,0,'Données projet'!$E$14+1,1))-AVERAGE(OFFSET($H$3,0,0,'Données projet'!$E$14+1,1))</f>
        <v>543.15812193567342</v>
      </c>
      <c r="DU93" s="60">
        <f t="shared" si="98"/>
        <v>286.40725588660575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194.23076923076923</v>
      </c>
      <c r="EH93" s="13">
        <f>VLOOKUP(A93,'Données projet'!$A$191:$I$211,9,0)</f>
        <v>2.8205128205128234</v>
      </c>
      <c r="EI93" s="13">
        <f t="array" ref="EI93">INDEX(EH:EH,MIN(IF(ISNUMBER(EH93:EH289),ROW(EH93:EH289),"")))</f>
        <v>2.8205128205128234</v>
      </c>
      <c r="EJ93" s="13">
        <f>IF('Données projet'!$A$192&gt;35,EJ92+EI93-ER92,IF(A93&lt;'Données projet'!$A$192,$EG$205^A93,IF(A93='Données projet'!$A$192,'Données projet'!$B$192,EJ92+EI93-ER92)))</f>
        <v>194.23076923076925</v>
      </c>
      <c r="EK93" s="18">
        <f>EJ93*VLOOKUP('Données projet'!$B$15,Paramètres!$A$1:$I$89,3,0)*VLOOKUP('Données projet'!$B$15,Paramètres!$A$1:$I$89,5,0)</f>
        <v>130.29000000000002</v>
      </c>
      <c r="EL93" s="14">
        <f t="shared" si="99"/>
        <v>34.063361124931106</v>
      </c>
      <c r="EM93" s="22">
        <f t="shared" si="73"/>
        <v>286.24877062592168</v>
      </c>
      <c r="EN93" s="60">
        <f t="shared" si="74"/>
        <v>560.6064116301493</v>
      </c>
      <c r="EO93" s="60">
        <f ca="1">AVERAGE(OFFSET($EN$3,0,0,'Données projet'!$E$15+1,1))-AVERAGE(OFFSET($H$3,0,0,'Données projet'!$E$15+1,1))</f>
        <v>239.52247785001794</v>
      </c>
      <c r="EP93" s="60">
        <f t="shared" si="100"/>
        <v>173.69760199651617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17.307692307692307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0.28527081194296977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0.28527081194296977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8">
        <f t="shared" si="56"/>
        <v>183.33333333333334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279.1999999999997</v>
      </c>
      <c r="O94" s="14">
        <f>N94*VLOOKUP('Données projet'!$B$9,Paramètres!$A$1:$I$89,3,0)*VLOOKUP('Données projet'!$B$9,Paramètres!$A$1:$I$89,5,0)</f>
        <v>283.10879999999975</v>
      </c>
      <c r="P94" s="14">
        <f t="shared" si="87"/>
        <v>67.623564901653808</v>
      </c>
      <c r="Q94" s="22">
        <f t="shared" si="54"/>
        <v>610.85886887037998</v>
      </c>
      <c r="R94" s="60">
        <f t="shared" si="55"/>
        <v>885.54569571322509</v>
      </c>
      <c r="S94" s="60">
        <f ca="1">AVERAGE(OFFSET($R$3,0,0,'Données projet'!$E$9+1,1))-AVERAGE(OFFSET($H$3,0,0,'Données projet'!$E$9+1,1))</f>
        <v>516.54532596122067</v>
      </c>
      <c r="T94" s="60">
        <f t="shared" si="88"/>
        <v>273.35778700650792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2.9487179487179445</v>
      </c>
      <c r="AI94" s="14">
        <f>IF('Données projet'!$A$62&gt;35,AI93+AH94-AQ93,IF(A94&lt;'Données projet'!$A$62,$AF$205^A94,IF(A94='Données projet'!$A$62,'Données projet'!$B$62,AI93+AH94-AQ93)))</f>
        <v>175.38461538461564</v>
      </c>
      <c r="AJ94" s="14">
        <f>AI94*VLOOKUP('Données projet'!$B$10,Paramètres!$A$1:$I$89,3,0)*VLOOKUP('Données projet'!$B$10,Paramètres!$A$1:$I$89,5,0)</f>
        <v>166.89600000000024</v>
      </c>
      <c r="AK94" s="14">
        <f t="shared" si="89"/>
        <v>42.394087017216648</v>
      </c>
      <c r="AL94" s="22">
        <f t="shared" si="58"/>
        <v>364.51356822165263</v>
      </c>
      <c r="AM94" s="60">
        <f t="shared" si="59"/>
        <v>639.20039506449768</v>
      </c>
      <c r="AN94" s="60">
        <f ca="1">AVERAGE(OFFSET($AM$3,0,0,'Données projet'!$E$10+1,1))-AVERAGE(OFFSET($H$3,0,0,'Données projet'!$E$10+1,1))</f>
        <v>328.36544111680962</v>
      </c>
      <c r="AO94" s="60">
        <f t="shared" si="90"/>
        <v>226.85392900722772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-9.9316821433603781E-14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296.01124173332352</v>
      </c>
      <c r="BJ94" s="60">
        <f t="shared" si="92"/>
        <v>315.50730924873733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-3.7243808037601412E-14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216.42026264996392</v>
      </c>
      <c r="CE94" s="60">
        <f t="shared" si="94"/>
        <v>216.4587454288401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</v>
      </c>
      <c r="CT94" s="13">
        <f>IF('Données projet'!$A$140&gt;35,CT93+CS94-DB93,IF(A94&lt;'Données projet'!$A$140,$CQ$205^A94,IF(A94='Données projet'!$A$140,'Données projet'!$B$140,CT93+CS94-DB93)))</f>
        <v>210</v>
      </c>
      <c r="CU94" s="18">
        <f>CT94*VLOOKUP('Données projet'!$B$13,Paramètres!$A$1:$I$89,3,0)*VLOOKUP('Données projet'!$B$13,Paramètres!$A$1:$I$89,5,0)</f>
        <v>203.11199999999999</v>
      </c>
      <c r="CV94" s="14">
        <f t="shared" si="95"/>
        <v>50.427475336015782</v>
      </c>
      <c r="CW94" s="22">
        <f t="shared" si="67"/>
        <v>441.5812528768941</v>
      </c>
      <c r="CX94" s="60">
        <f t="shared" si="68"/>
        <v>716.26807971973915</v>
      </c>
      <c r="CY94" s="60">
        <f ca="1">AVERAGE(OFFSET($CX$3,0,0,'Données projet'!$E$13+1,1))-AVERAGE(OFFSET($H$3,0,0,'Données projet'!$E$13+1,1))</f>
        <v>385.5283976785621</v>
      </c>
      <c r="CZ94" s="60">
        <f t="shared" si="96"/>
        <v>173.19148969173838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5.2</v>
      </c>
      <c r="DO94" s="13">
        <f>IF('Données projet'!$A$166&gt;35,DO93+DN94-DW93,IF(A94&lt;'Données projet'!$A$166,$DL$205^A94,IF(A94='Données projet'!$A$166,'Données projet'!$B$166,DO93+DN94-DW93)))</f>
        <v>279.1999999999997</v>
      </c>
      <c r="DP94" s="18">
        <f>DO94*VLOOKUP('Données projet'!$B$14,Paramètres!$A$1:$I$89,3,0)*VLOOKUP('Données projet'!$B$14,Paramètres!$A$1:$I$89,5,0)</f>
        <v>300.53087999999963</v>
      </c>
      <c r="DQ94" s="14">
        <f t="shared" si="97"/>
        <v>71.287744860425335</v>
      </c>
      <c r="DR94" s="22">
        <f t="shared" si="70"/>
        <v>647.58410496524004</v>
      </c>
      <c r="DS94" s="60">
        <f t="shared" si="71"/>
        <v>922.27093180808515</v>
      </c>
      <c r="DT94" s="60">
        <f ca="1">AVERAGE(OFFSET($DS$3,0,0,'Données projet'!$E$14+1,1))-AVERAGE(OFFSET($H$3,0,0,'Données projet'!$E$14+1,1))</f>
        <v>543.15812193567342</v>
      </c>
      <c r="DU94" s="60">
        <f t="shared" si="98"/>
        <v>286.40725588660575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2.6923076923076961</v>
      </c>
      <c r="EJ94" s="13">
        <f>IF('Données projet'!$A$192&gt;35,EJ93+EI94-ER93,IF(A94&lt;'Données projet'!$A$192,$EG$205^A94,IF(A94='Données projet'!$A$192,'Données projet'!$B$192,EJ93+EI94-ER93)))</f>
        <v>179.61538461538464</v>
      </c>
      <c r="EK94" s="18">
        <f>EJ94*VLOOKUP('Données projet'!$B$15,Paramètres!$A$1:$I$89,3,0)*VLOOKUP('Données projet'!$B$15,Paramètres!$A$1:$I$89,5,0)</f>
        <v>120.48600000000002</v>
      </c>
      <c r="EL94" s="14">
        <f t="shared" si="99"/>
        <v>31.788324135192319</v>
      </c>
      <c r="EM94" s="22">
        <f t="shared" si="73"/>
        <v>265.21111453545996</v>
      </c>
      <c r="EN94" s="60">
        <f t="shared" si="74"/>
        <v>539.89794137830495</v>
      </c>
      <c r="EO94" s="60">
        <f ca="1">AVERAGE(OFFSET($EN$3,0,0,'Données projet'!$E$15+1,1))-AVERAGE(OFFSET($H$3,0,0,'Données projet'!$E$15+1,1))</f>
        <v>239.52247785001794</v>
      </c>
      <c r="EP94" s="60">
        <f t="shared" si="100"/>
        <v>173.69760199651617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0.27747006658864926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0.27747006658864926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8">
        <f t="shared" si="56"/>
        <v>183.33333333333334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284.39999999999969</v>
      </c>
      <c r="O95" s="14">
        <f>N95*VLOOKUP('Données projet'!$B$9,Paramètres!$A$1:$I$89,3,0)*VLOOKUP('Données projet'!$B$9,Paramètres!$A$1:$I$89,5,0)</f>
        <v>288.38159999999971</v>
      </c>
      <c r="P95" s="14">
        <f t="shared" si="87"/>
        <v>68.735229875936554</v>
      </c>
      <c r="Q95" s="22">
        <f t="shared" si="54"/>
        <v>621.97847870058888</v>
      </c>
      <c r="R95" s="60">
        <f t="shared" si="55"/>
        <v>896.98878074370054</v>
      </c>
      <c r="S95" s="60">
        <f ca="1">AVERAGE(OFFSET($R$3,0,0,'Données projet'!$E$9+1,1))-AVERAGE(OFFSET($H$3,0,0,'Données projet'!$E$9+1,1))</f>
        <v>516.54532596122067</v>
      </c>
      <c r="T95" s="60">
        <f t="shared" si="88"/>
        <v>273.35778700650792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2.9487179487179445</v>
      </c>
      <c r="AI95" s="14">
        <f>IF('Données projet'!$A$62&gt;35,AI94+AH95-AQ94,IF(A95&lt;'Données projet'!$A$62,$AF$205^A95,IF(A95='Données projet'!$A$62,'Données projet'!$B$62,AI94+AH95-AQ94)))</f>
        <v>178.3333333333336</v>
      </c>
      <c r="AJ95" s="14">
        <f>AI95*VLOOKUP('Données projet'!$B$10,Paramètres!$A$1:$I$89,3,0)*VLOOKUP('Données projet'!$B$10,Paramètres!$A$1:$I$89,5,0)</f>
        <v>169.70200000000025</v>
      </c>
      <c r="AK95" s="14">
        <f t="shared" si="89"/>
        <v>43.023274684922917</v>
      </c>
      <c r="AL95" s="22">
        <f t="shared" si="58"/>
        <v>370.4965200762411</v>
      </c>
      <c r="AM95" s="60">
        <f t="shared" si="59"/>
        <v>645.50682211935282</v>
      </c>
      <c r="AN95" s="60">
        <f ca="1">AVERAGE(OFFSET($AM$3,0,0,'Données projet'!$E$10+1,1))-AVERAGE(OFFSET($H$3,0,0,'Données projet'!$E$10+1,1))</f>
        <v>328.36544111680962</v>
      </c>
      <c r="AO95" s="60">
        <f t="shared" si="90"/>
        <v>226.85392900722772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-9.9316821433603781E-14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296.01124173332352</v>
      </c>
      <c r="BJ95" s="60">
        <f t="shared" si="92"/>
        <v>315.50730924873733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-3.7243808037601412E-14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216.42026264996392</v>
      </c>
      <c r="CE95" s="60">
        <f t="shared" si="94"/>
        <v>216.4587454288401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</v>
      </c>
      <c r="CT95" s="13">
        <f>IF('Données projet'!$A$140&gt;35,CT94+CS95-DB94,IF(A95&lt;'Données projet'!$A$140,$CQ$205^A95,IF(A95='Données projet'!$A$140,'Données projet'!$B$140,CT94+CS95-DB94)))</f>
        <v>214</v>
      </c>
      <c r="CU95" s="18">
        <f>CT95*VLOOKUP('Données projet'!$B$13,Paramètres!$A$1:$I$89,3,0)*VLOOKUP('Données projet'!$B$13,Paramètres!$A$1:$I$89,5,0)</f>
        <v>206.98080000000002</v>
      </c>
      <c r="CV95" s="14">
        <f t="shared" si="95"/>
        <v>51.275259496675787</v>
      </c>
      <c r="CW95" s="22">
        <f t="shared" si="67"/>
        <v>449.79597029004367</v>
      </c>
      <c r="CX95" s="60">
        <f t="shared" si="68"/>
        <v>724.80627233315545</v>
      </c>
      <c r="CY95" s="60">
        <f ca="1">AVERAGE(OFFSET($CX$3,0,0,'Données projet'!$E$13+1,1))-AVERAGE(OFFSET($H$3,0,0,'Données projet'!$E$13+1,1))</f>
        <v>385.5283976785621</v>
      </c>
      <c r="CZ95" s="60">
        <f t="shared" si="96"/>
        <v>173.19148969173838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5.2</v>
      </c>
      <c r="DO95" s="13">
        <f>IF('Données projet'!$A$166&gt;35,DO94+DN95-DW94,IF(A95&lt;'Données projet'!$A$166,$DL$205^A95,IF(A95='Données projet'!$A$166,'Données projet'!$B$166,DO94+DN95-DW94)))</f>
        <v>284.39999999999969</v>
      </c>
      <c r="DP95" s="18">
        <f>DO95*VLOOKUP('Données projet'!$B$14,Paramètres!$A$1:$I$89,3,0)*VLOOKUP('Données projet'!$B$14,Paramètres!$A$1:$I$89,5,0)</f>
        <v>306.12815999999964</v>
      </c>
      <c r="DQ95" s="14">
        <f t="shared" si="97"/>
        <v>72.459645353577386</v>
      </c>
      <c r="DR95" s="22">
        <f t="shared" si="70"/>
        <v>659.37376099081337</v>
      </c>
      <c r="DS95" s="60">
        <f t="shared" si="71"/>
        <v>934.38406303392503</v>
      </c>
      <c r="DT95" s="60">
        <f ca="1">AVERAGE(OFFSET($DS$3,0,0,'Données projet'!$E$14+1,1))-AVERAGE(OFFSET($H$3,0,0,'Données projet'!$E$14+1,1))</f>
        <v>543.15812193567342</v>
      </c>
      <c r="DU95" s="60">
        <f t="shared" si="98"/>
        <v>286.40725588660575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2.6923076923076961</v>
      </c>
      <c r="EJ95" s="13">
        <f>IF('Données projet'!$A$192&gt;35,EJ94+EI95-ER94,IF(A95&lt;'Données projet'!$A$192,$EG$205^A95,IF(A95='Données projet'!$A$192,'Données projet'!$B$192,EJ94+EI95-ER94)))</f>
        <v>182.30769230769235</v>
      </c>
      <c r="EK95" s="18">
        <f>EJ95*VLOOKUP('Données projet'!$B$15,Paramètres!$A$1:$I$89,3,0)*VLOOKUP('Données projet'!$B$15,Paramètres!$A$1:$I$89,5,0)</f>
        <v>122.29200000000003</v>
      </c>
      <c r="EL95" s="14">
        <f t="shared" si="99"/>
        <v>32.208980596520234</v>
      </c>
      <c r="EM95" s="22">
        <f t="shared" si="73"/>
        <v>269.08920787227277</v>
      </c>
      <c r="EN95" s="60">
        <f t="shared" si="74"/>
        <v>544.09950991538449</v>
      </c>
      <c r="EO95" s="60">
        <f ca="1">AVERAGE(OFFSET($EN$3,0,0,'Données projet'!$E$15+1,1))-AVERAGE(OFFSET($H$3,0,0,'Données projet'!$E$15+1,1))</f>
        <v>239.52247785001794</v>
      </c>
      <c r="EP95" s="60">
        <f t="shared" si="100"/>
        <v>173.69760199651617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0.26988263302626603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0.26988263302626603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8">
        <f t="shared" si="56"/>
        <v>183.33333333333334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289.59999999999968</v>
      </c>
      <c r="O96" s="14">
        <f>N96*VLOOKUP('Données projet'!$B$9,Paramètres!$A$1:$I$89,3,0)*VLOOKUP('Données projet'!$B$9,Paramètres!$A$1:$I$89,5,0)</f>
        <v>293.65439999999973</v>
      </c>
      <c r="P96" s="14">
        <f t="shared" si="87"/>
        <v>69.844531303614474</v>
      </c>
      <c r="Q96" s="22">
        <f t="shared" si="54"/>
        <v>633.09397202046136</v>
      </c>
      <c r="R96" s="60">
        <f t="shared" si="55"/>
        <v>908.42213769229738</v>
      </c>
      <c r="S96" s="60">
        <f ca="1">AVERAGE(OFFSET($R$3,0,0,'Données projet'!$E$9+1,1))-AVERAGE(OFFSET($H$3,0,0,'Données projet'!$E$9+1,1))</f>
        <v>516.54532596122067</v>
      </c>
      <c r="T96" s="60">
        <f t="shared" si="88"/>
        <v>273.35778700650792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2.9487179487179445</v>
      </c>
      <c r="AI96" s="14">
        <f>IF('Données projet'!$A$62&gt;35,AI95+AH96-AQ95,IF(A96&lt;'Données projet'!$A$62,$AF$205^A96,IF(A96='Données projet'!$A$62,'Données projet'!$B$62,AI95+AH96-AQ95)))</f>
        <v>181.28205128205155</v>
      </c>
      <c r="AJ96" s="14">
        <f>AI96*VLOOKUP('Données projet'!$B$10,Paramètres!$A$1:$I$89,3,0)*VLOOKUP('Données projet'!$B$10,Paramètres!$A$1:$I$89,5,0)</f>
        <v>172.50800000000027</v>
      </c>
      <c r="AK96" s="14">
        <f t="shared" si="89"/>
        <v>43.651252487544241</v>
      </c>
      <c r="AL96" s="22">
        <f t="shared" si="58"/>
        <v>376.47736474914001</v>
      </c>
      <c r="AM96" s="60">
        <f t="shared" si="59"/>
        <v>651.80553042097597</v>
      </c>
      <c r="AN96" s="60">
        <f ca="1">AVERAGE(OFFSET($AM$3,0,0,'Données projet'!$E$10+1,1))-AVERAGE(OFFSET($H$3,0,0,'Données projet'!$E$10+1,1))</f>
        <v>328.36544111680962</v>
      </c>
      <c r="AO96" s="60">
        <f t="shared" si="90"/>
        <v>226.85392900722772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-9.9316821433603781E-14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296.01124173332352</v>
      </c>
      <c r="BJ96" s="60">
        <f t="shared" si="92"/>
        <v>315.50730924873733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-3.7243808037601412E-14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216.42026264996392</v>
      </c>
      <c r="CE96" s="60">
        <f t="shared" si="94"/>
        <v>216.4587454288401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</v>
      </c>
      <c r="CT96" s="13">
        <f>IF('Données projet'!$A$140&gt;35,CT95+CS96-DB95,IF(A96&lt;'Données projet'!$A$140,$CQ$205^A96,IF(A96='Données projet'!$A$140,'Données projet'!$B$140,CT95+CS96-DB95)))</f>
        <v>218</v>
      </c>
      <c r="CU96" s="18">
        <f>CT96*VLOOKUP('Données projet'!$B$13,Paramètres!$A$1:$I$89,3,0)*VLOOKUP('Données projet'!$B$13,Paramètres!$A$1:$I$89,5,0)</f>
        <v>210.84960000000001</v>
      </c>
      <c r="CV96" s="14">
        <f t="shared" si="95"/>
        <v>52.121201024231922</v>
      </c>
      <c r="CW96" s="22">
        <f t="shared" si="67"/>
        <v>458.00747845053729</v>
      </c>
      <c r="CX96" s="60">
        <f t="shared" si="68"/>
        <v>733.3356441223732</v>
      </c>
      <c r="CY96" s="60">
        <f ca="1">AVERAGE(OFFSET($CX$3,0,0,'Données projet'!$E$13+1,1))-AVERAGE(OFFSET($H$3,0,0,'Données projet'!$E$13+1,1))</f>
        <v>385.5283976785621</v>
      </c>
      <c r="CZ96" s="60">
        <f t="shared" si="96"/>
        <v>173.19148969173838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5.2</v>
      </c>
      <c r="DO96" s="13">
        <f>IF('Données projet'!$A$166&gt;35,DO95+DN96-DW95,IF(A96&lt;'Données projet'!$A$166,$DL$205^A96,IF(A96='Données projet'!$A$166,'Données projet'!$B$166,DO95+DN96-DW95)))</f>
        <v>289.59999999999968</v>
      </c>
      <c r="DP96" s="18">
        <f>DO96*VLOOKUP('Données projet'!$B$14,Paramètres!$A$1:$I$89,3,0)*VLOOKUP('Données projet'!$B$14,Paramètres!$A$1:$I$89,5,0)</f>
        <v>311.72543999999965</v>
      </c>
      <c r="DQ96" s="14">
        <f t="shared" si="97"/>
        <v>73.629054231453196</v>
      </c>
      <c r="DR96" s="22">
        <f t="shared" si="70"/>
        <v>671.1590774531137</v>
      </c>
      <c r="DS96" s="60">
        <f t="shared" si="71"/>
        <v>946.4872431249496</v>
      </c>
      <c r="DT96" s="60">
        <f ca="1">AVERAGE(OFFSET($DS$3,0,0,'Données projet'!$E$14+1,1))-AVERAGE(OFFSET($H$3,0,0,'Données projet'!$E$14+1,1))</f>
        <v>543.15812193567342</v>
      </c>
      <c r="DU96" s="60">
        <f t="shared" si="98"/>
        <v>286.40725588660575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2.6923076923076961</v>
      </c>
      <c r="EJ96" s="13">
        <f>IF('Données projet'!$A$192&gt;35,EJ95+EI96-ER95,IF(A96&lt;'Données projet'!$A$192,$EG$205^A96,IF(A96='Données projet'!$A$192,'Données projet'!$B$192,EJ95+EI96-ER95)))</f>
        <v>185.00000000000006</v>
      </c>
      <c r="EK96" s="18">
        <f>EJ96*VLOOKUP('Données projet'!$B$15,Paramètres!$A$1:$I$89,3,0)*VLOOKUP('Données projet'!$B$15,Paramètres!$A$1:$I$89,5,0)</f>
        <v>124.09800000000004</v>
      </c>
      <c r="EL96" s="14">
        <f t="shared" si="99"/>
        <v>32.62891454809418</v>
      </c>
      <c r="EM96" s="22">
        <f t="shared" si="73"/>
        <v>272.96604283793073</v>
      </c>
      <c r="EN96" s="60">
        <f t="shared" si="74"/>
        <v>548.29420850976669</v>
      </c>
      <c r="EO96" s="60">
        <f ca="1">AVERAGE(OFFSET($EN$3,0,0,'Données projet'!$E$15+1,1))-AVERAGE(OFFSET($H$3,0,0,'Données projet'!$E$15+1,1))</f>
        <v>239.52247785001794</v>
      </c>
      <c r="EP96" s="60">
        <f t="shared" si="100"/>
        <v>173.69760199651617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0.26250267823365192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0.26250267823365192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8">
        <f t="shared" si="56"/>
        <v>183.33333333333334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294.79999999999967</v>
      </c>
      <c r="O97" s="14">
        <f>N97*VLOOKUP('Données projet'!$B$9,Paramètres!$A$1:$I$89,3,0)*VLOOKUP('Données projet'!$B$9,Paramètres!$A$1:$I$89,5,0)</f>
        <v>298.92719999999969</v>
      </c>
      <c r="P97" s="14">
        <f t="shared" si="87"/>
        <v>70.951516519653524</v>
      </c>
      <c r="Q97" s="22">
        <f t="shared" si="54"/>
        <v>644.20543127172925</v>
      </c>
      <c r="R97" s="60">
        <f t="shared" si="55"/>
        <v>919.8459463489678</v>
      </c>
      <c r="S97" s="60">
        <f ca="1">AVERAGE(OFFSET($R$3,0,0,'Données projet'!$E$9+1,1))-AVERAGE(OFFSET($H$3,0,0,'Données projet'!$E$9+1,1))</f>
        <v>516.54532596122067</v>
      </c>
      <c r="T97" s="60">
        <f t="shared" si="88"/>
        <v>273.35778700650792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2.9487179487179445</v>
      </c>
      <c r="AI97" s="14">
        <f>IF('Données projet'!$A$62&gt;35,AI96+AH97-AQ96,IF(A97&lt;'Données projet'!$A$62,$AF$205^A97,IF(A97='Données projet'!$A$62,'Données projet'!$B$62,AI96+AH97-AQ96)))</f>
        <v>184.23076923076951</v>
      </c>
      <c r="AJ97" s="14">
        <f>AI97*VLOOKUP('Données projet'!$B$10,Paramètres!$A$1:$I$89,3,0)*VLOOKUP('Données projet'!$B$10,Paramètres!$A$1:$I$89,5,0)</f>
        <v>175.31400000000028</v>
      </c>
      <c r="AK97" s="14">
        <f t="shared" si="89"/>
        <v>44.27804237650529</v>
      </c>
      <c r="AL97" s="22">
        <f t="shared" si="58"/>
        <v>382.45614047241384</v>
      </c>
      <c r="AM97" s="60">
        <f t="shared" si="59"/>
        <v>658.09665554965227</v>
      </c>
      <c r="AN97" s="60">
        <f ca="1">AVERAGE(OFFSET($AM$3,0,0,'Données projet'!$E$10+1,1))-AVERAGE(OFFSET($H$3,0,0,'Données projet'!$E$10+1,1))</f>
        <v>328.36544111680962</v>
      </c>
      <c r="AO97" s="60">
        <f t="shared" si="90"/>
        <v>226.85392900722772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-9.9316821433603781E-14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296.01124173332352</v>
      </c>
      <c r="BJ97" s="60">
        <f t="shared" si="92"/>
        <v>315.50730924873733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-3.7243808037601412E-14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216.42026264996392</v>
      </c>
      <c r="CE97" s="60">
        <f t="shared" si="94"/>
        <v>216.4587454288401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</v>
      </c>
      <c r="CT97" s="13">
        <f>IF('Données projet'!$A$140&gt;35,CT96+CS97-DB96,IF(A97&lt;'Données projet'!$A$140,$CQ$205^A97,IF(A97='Données projet'!$A$140,'Données projet'!$B$140,CT96+CS97-DB96)))</f>
        <v>222</v>
      </c>
      <c r="CU97" s="18">
        <f>CT97*VLOOKUP('Données projet'!$B$13,Paramètres!$A$1:$I$89,3,0)*VLOOKUP('Données projet'!$B$13,Paramètres!$A$1:$I$89,5,0)</f>
        <v>214.71839999999997</v>
      </c>
      <c r="CV97" s="14">
        <f t="shared" si="95"/>
        <v>52.965337627912746</v>
      </c>
      <c r="CW97" s="22">
        <f t="shared" si="67"/>
        <v>466.2158430352813</v>
      </c>
      <c r="CX97" s="60">
        <f t="shared" si="68"/>
        <v>741.85635811251973</v>
      </c>
      <c r="CY97" s="60">
        <f ca="1">AVERAGE(OFFSET($CX$3,0,0,'Données projet'!$E$13+1,1))-AVERAGE(OFFSET($H$3,0,0,'Données projet'!$E$13+1,1))</f>
        <v>385.5283976785621</v>
      </c>
      <c r="CZ97" s="60">
        <f t="shared" si="96"/>
        <v>173.19148969173838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5.2</v>
      </c>
      <c r="DO97" s="13">
        <f>IF('Données projet'!$A$166&gt;35,DO96+DN97-DW96,IF(A97&lt;'Données projet'!$A$166,$DL$205^A97,IF(A97='Données projet'!$A$166,'Données projet'!$B$166,DO96+DN97-DW96)))</f>
        <v>294.79999999999967</v>
      </c>
      <c r="DP97" s="18">
        <f>DO97*VLOOKUP('Données projet'!$B$14,Paramètres!$A$1:$I$89,3,0)*VLOOKUP('Données projet'!$B$14,Paramètres!$A$1:$I$89,5,0)</f>
        <v>317.32271999999961</v>
      </c>
      <c r="DQ97" s="14">
        <f t="shared" si="97"/>
        <v>74.796021393862063</v>
      </c>
      <c r="DR97" s="22">
        <f t="shared" si="70"/>
        <v>682.94014126097579</v>
      </c>
      <c r="DS97" s="60">
        <f t="shared" si="71"/>
        <v>958.58065633821434</v>
      </c>
      <c r="DT97" s="60">
        <f ca="1">AVERAGE(OFFSET($DS$3,0,0,'Données projet'!$E$14+1,1))-AVERAGE(OFFSET($H$3,0,0,'Données projet'!$E$14+1,1))</f>
        <v>543.15812193567342</v>
      </c>
      <c r="DU97" s="60">
        <f t="shared" si="98"/>
        <v>286.40725588660575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2.6923076923076961</v>
      </c>
      <c r="EJ97" s="13">
        <f>IF('Données projet'!$A$192&gt;35,EJ96+EI97-ER96,IF(A97&lt;'Données projet'!$A$192,$EG$205^A97,IF(A97='Données projet'!$A$192,'Données projet'!$B$192,EJ96+EI97-ER96)))</f>
        <v>187.69230769230776</v>
      </c>
      <c r="EK97" s="18">
        <f>EJ97*VLOOKUP('Données projet'!$B$15,Paramètres!$A$1:$I$89,3,0)*VLOOKUP('Données projet'!$B$15,Paramètres!$A$1:$I$89,5,0)</f>
        <v>125.90400000000005</v>
      </c>
      <c r="EL97" s="14">
        <f t="shared" si="99"/>
        <v>33.048137719416331</v>
      </c>
      <c r="EM97" s="22">
        <f t="shared" si="73"/>
        <v>276.84163986131688</v>
      </c>
      <c r="EN97" s="60">
        <f t="shared" si="74"/>
        <v>552.48215493855537</v>
      </c>
      <c r="EO97" s="60">
        <f ca="1">AVERAGE(OFFSET($EN$3,0,0,'Données projet'!$E$15+1,1))-AVERAGE(OFFSET($H$3,0,0,'Données projet'!$E$15+1,1))</f>
        <v>239.52247785001794</v>
      </c>
      <c r="EP97" s="60">
        <f t="shared" si="100"/>
        <v>173.69760199651617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0.25532452869293681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0.25532452869293681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8">
        <f t="shared" si="56"/>
        <v>183.33333333333334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299.99999999999966</v>
      </c>
      <c r="O98" s="14">
        <f>N98*VLOOKUP('Données projet'!$B$9,Paramètres!$A$1:$I$89,3,0)*VLOOKUP('Données projet'!$B$9,Paramètres!$A$1:$I$89,5,0)</f>
        <v>304.19999999999965</v>
      </c>
      <c r="P98" s="14">
        <f t="shared" si="87"/>
        <v>72.056231093481003</v>
      </c>
      <c r="Q98" s="22">
        <f t="shared" si="54"/>
        <v>655.31293582114552</v>
      </c>
      <c r="R98" s="60">
        <f t="shared" si="55"/>
        <v>931.26038173991151</v>
      </c>
      <c r="S98" s="60">
        <f ca="1">AVERAGE(OFFSET($R$3,0,0,'Données projet'!$E$9+1,1))-AVERAGE(OFFSET($H$3,0,0,'Données projet'!$E$9+1,1))</f>
        <v>516.54532596122067</v>
      </c>
      <c r="T98" s="60">
        <f t="shared" si="88"/>
        <v>273.35778700650792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187.17948717948718</v>
      </c>
      <c r="AG98" s="13">
        <f>VLOOKUP(A98,'Données projet'!$A$61:$I$81,9,0)</f>
        <v>2.9487179487179445</v>
      </c>
      <c r="AH98" s="13">
        <f t="array" ref="AH98">INDEX(AG:AG,MIN(IF(ISNUMBER(AG98:AG294),ROW(AG98:AG294),"")))</f>
        <v>2.9487179487179445</v>
      </c>
      <c r="AI98" s="14">
        <f>IF('Données projet'!$A$62&gt;35,AI97+AH98-AQ97,IF(A98&lt;'Données projet'!$A$62,$AF$205^A98,IF(A98='Données projet'!$A$62,'Données projet'!$B$62,AI97+AH98-AQ97)))</f>
        <v>187.17948717948747</v>
      </c>
      <c r="AJ98" s="14">
        <f>AI98*VLOOKUP('Données projet'!$B$10,Paramètres!$A$1:$I$89,3,0)*VLOOKUP('Données projet'!$B$10,Paramètres!$A$1:$I$89,5,0)</f>
        <v>178.12000000000029</v>
      </c>
      <c r="AK98" s="14">
        <f t="shared" si="89"/>
        <v>44.903665560241706</v>
      </c>
      <c r="AL98" s="22">
        <f t="shared" si="58"/>
        <v>388.43288418408815</v>
      </c>
      <c r="AM98" s="60">
        <f t="shared" si="59"/>
        <v>664.38033010285403</v>
      </c>
      <c r="AN98" s="60">
        <f ca="1">AVERAGE(OFFSET($AM$3,0,0,'Données projet'!$E$10+1,1))-AVERAGE(OFFSET($H$3,0,0,'Données projet'!$E$10+1,1))</f>
        <v>328.36544111680962</v>
      </c>
      <c r="AO98" s="60">
        <f t="shared" si="90"/>
        <v>226.85392900722772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-9.9316821433603781E-14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296.01124173332352</v>
      </c>
      <c r="BJ98" s="60">
        <f t="shared" si="92"/>
        <v>315.50730924873733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-3.7243808037601412E-14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216.42026264996392</v>
      </c>
      <c r="CE98" s="60">
        <f t="shared" si="94"/>
        <v>216.4587454288401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226</v>
      </c>
      <c r="CR98" s="13">
        <f>VLOOKUP(A98,'Données projet'!$A$139:$I$159,9,0)</f>
        <v>4</v>
      </c>
      <c r="CS98" s="13">
        <f t="array" ref="CS98">INDEX(CR:CR,MIN(IF(ISNUMBER(CR98:CR294),ROW(CR98:CR294),"")))</f>
        <v>4</v>
      </c>
      <c r="CT98" s="13">
        <f>IF('Données projet'!$A$140&gt;35,CT97+CS98-DB97,IF(A98&lt;'Données projet'!$A$140,$CQ$205^A98,IF(A98='Données projet'!$A$140,'Données projet'!$B$140,CT97+CS98-DB97)))</f>
        <v>226</v>
      </c>
      <c r="CU98" s="18">
        <f>CT98*VLOOKUP('Données projet'!$B$13,Paramètres!$A$1:$I$89,3,0)*VLOOKUP('Données projet'!$B$13,Paramètres!$A$1:$I$89,5,0)</f>
        <v>218.58720000000002</v>
      </c>
      <c r="CV98" s="14">
        <f t="shared" si="95"/>
        <v>53.807705580242171</v>
      </c>
      <c r="CW98" s="22">
        <f t="shared" si="67"/>
        <v>474.42112721892181</v>
      </c>
      <c r="CX98" s="60">
        <f t="shared" si="68"/>
        <v>750.36857313768769</v>
      </c>
      <c r="CY98" s="60">
        <f ca="1">AVERAGE(OFFSET($CX$3,0,0,'Données projet'!$E$13+1,1))-AVERAGE(OFFSET($H$3,0,0,'Données projet'!$E$13+1,1))</f>
        <v>385.5283976785621</v>
      </c>
      <c r="CZ98" s="60">
        <f t="shared" si="96"/>
        <v>173.19148969173838</v>
      </c>
      <c r="DA98" s="16">
        <f>IF(ISNA(VLOOKUP(A98,'Données projet'!$A$139:$I$159,3,0)),0,VLOOKUP(A98,'Données projet'!$A$139:$I$159,3,0))</f>
        <v>7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300</v>
      </c>
      <c r="DM98" s="13">
        <f>VLOOKUP(A98,'Données projet'!$A$165:$I$185,9,0)</f>
        <v>5.2</v>
      </c>
      <c r="DN98" s="13">
        <f t="array" ref="DN98">INDEX(DM:DM,MIN(IF(ISNUMBER(DM98:DM294),ROW(DM98:DM294),"")))</f>
        <v>5.2</v>
      </c>
      <c r="DO98" s="13">
        <f>IF('Données projet'!$A$166&gt;35,DO97+DN98-DW97,IF(A98&lt;'Données projet'!$A$166,$DL$205^A98,IF(A98='Données projet'!$A$166,'Données projet'!$B$166,DO97+DN98-DW97)))</f>
        <v>299.99999999999966</v>
      </c>
      <c r="DP98" s="18">
        <f>DO98*VLOOKUP('Données projet'!$B$14,Paramètres!$A$1:$I$89,3,0)*VLOOKUP('Données projet'!$B$14,Paramètres!$A$1:$I$89,5,0)</f>
        <v>322.91999999999962</v>
      </c>
      <c r="DQ98" s="14">
        <f t="shared" si="97"/>
        <v>75.960594879408688</v>
      </c>
      <c r="DR98" s="22">
        <f t="shared" si="70"/>
        <v>694.71703608163614</v>
      </c>
      <c r="DS98" s="60">
        <f t="shared" si="71"/>
        <v>970.66448200040213</v>
      </c>
      <c r="DT98" s="60">
        <f ca="1">AVERAGE(OFFSET($DS$3,0,0,'Données projet'!$E$14+1,1))-AVERAGE(OFFSET($H$3,0,0,'Données projet'!$E$14+1,1))</f>
        <v>543.15812193567342</v>
      </c>
      <c r="DU98" s="60">
        <f t="shared" si="98"/>
        <v>286.40725588660575</v>
      </c>
      <c r="DV98" s="16">
        <f>IF(ISNA(VLOOKUP(A98,'Données projet'!$A$165:$I$185,3,0)),0,VLOOKUP(A98,'Données projet'!$A$165:$I$185,3,0))</f>
        <v>8</v>
      </c>
      <c r="DW98" s="16">
        <f>IF(ISNA(VLOOKUP(A98,'Données projet'!$A$165:$I$185,4,0)),0,VLOOKUP(A98,'Données projet'!$A$165:$I$185,4,0))</f>
        <v>42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190.38461538461539</v>
      </c>
      <c r="EH98" s="13">
        <f>VLOOKUP(A98,'Données projet'!$A$191:$I$211,9,0)</f>
        <v>2.6923076923076961</v>
      </c>
      <c r="EI98" s="13">
        <f t="array" ref="EI98">INDEX(EH:EH,MIN(IF(ISNUMBER(EH98:EH294),ROW(EH98:EH294),"")))</f>
        <v>2.6923076923076961</v>
      </c>
      <c r="EJ98" s="13">
        <f>IF('Données projet'!$A$192&gt;35,EJ97+EI98-ER97,IF(A98&lt;'Données projet'!$A$192,$EG$205^A98,IF(A98='Données projet'!$A$192,'Données projet'!$B$192,EJ97+EI98-ER97)))</f>
        <v>190.38461538461547</v>
      </c>
      <c r="EK98" s="18">
        <f>EJ98*VLOOKUP('Données projet'!$B$15,Paramètres!$A$1:$I$89,3,0)*VLOOKUP('Données projet'!$B$15,Paramètres!$A$1:$I$89,5,0)</f>
        <v>127.71000000000006</v>
      </c>
      <c r="EL98" s="14">
        <f t="shared" si="99"/>
        <v>33.466661484162984</v>
      </c>
      <c r="EM98" s="22">
        <f t="shared" si="73"/>
        <v>280.71601875158393</v>
      </c>
      <c r="EN98" s="60">
        <f t="shared" si="74"/>
        <v>556.66346467034987</v>
      </c>
      <c r="EO98" s="60">
        <f ca="1">AVERAGE(OFFSET($EN$3,0,0,'Données projet'!$E$15+1,1))-AVERAGE(OFFSET($H$3,0,0,'Données projet'!$E$15+1,1))</f>
        <v>239.52247785001794</v>
      </c>
      <c r="EP98" s="60">
        <f t="shared" si="100"/>
        <v>173.69760199651617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0.24834266602889504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0.24834266602889504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8">
        <f t="shared" si="56"/>
        <v>183.33333333333334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262.69999999999965</v>
      </c>
      <c r="O99" s="14">
        <f>N99*VLOOKUP('Données projet'!$B$9,Paramètres!$A$1:$I$89,3,0)*VLOOKUP('Données projet'!$B$9,Paramètres!$A$1:$I$89,5,0)</f>
        <v>266.37779999999964</v>
      </c>
      <c r="P99" s="14">
        <f t="shared" si="87"/>
        <v>64.079943804672666</v>
      </c>
      <c r="Q99" s="22">
        <f t="shared" ref="Q99:Q130" si="107">(O99+P99)*0.475*44/12</f>
        <v>575.54723712647092</v>
      </c>
      <c r="R99" s="60">
        <f t="shared" si="55"/>
        <v>851.79628932285834</v>
      </c>
      <c r="S99" s="60">
        <f ca="1">AVERAGE(OFFSET($R$3,0,0,'Données projet'!$E$9+1,1))-AVERAGE(OFFSET($H$3,0,0,'Données projet'!$E$9+1,1))</f>
        <v>516.54532596122067</v>
      </c>
      <c r="T99" s="60">
        <f t="shared" si="88"/>
        <v>273.35778700650792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2.8205128205128176</v>
      </c>
      <c r="AI99" s="14">
        <f>IF('Données projet'!$A$62&gt;35,AI98+AH99-AQ98,IF(A99&lt;'Données projet'!$A$62,$AF$205^A99,IF(A99='Données projet'!$A$62,'Données projet'!$B$62,AI98+AH99-AQ98)))</f>
        <v>190.00000000000028</v>
      </c>
      <c r="AJ99" s="14">
        <f>AI99*VLOOKUP('Données projet'!$B$10,Paramètres!$A$1:$I$89,3,0)*VLOOKUP('Données projet'!$B$10,Paramètres!$A$1:$I$89,5,0)</f>
        <v>180.80400000000029</v>
      </c>
      <c r="AK99" s="14">
        <f t="shared" si="89"/>
        <v>45.501014930459981</v>
      </c>
      <c r="AL99" s="22">
        <f t="shared" si="58"/>
        <v>394.14790100388495</v>
      </c>
      <c r="AM99" s="60">
        <f t="shared" si="59"/>
        <v>670.39695320027238</v>
      </c>
      <c r="AN99" s="60">
        <f ca="1">AVERAGE(OFFSET($AM$3,0,0,'Données projet'!$E$10+1,1))-AVERAGE(OFFSET($H$3,0,0,'Données projet'!$E$10+1,1))</f>
        <v>328.36544111680962</v>
      </c>
      <c r="AO99" s="60">
        <f t="shared" si="90"/>
        <v>226.85392900722772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-9.9316821433603781E-14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296.01124173332352</v>
      </c>
      <c r="BJ99" s="60">
        <f t="shared" si="92"/>
        <v>315.50730924873733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-3.7243808037601412E-14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216.42026264996392</v>
      </c>
      <c r="CE99" s="60">
        <f t="shared" si="94"/>
        <v>216.4587454288401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3.4</v>
      </c>
      <c r="CT99" s="13">
        <f>IF('Données projet'!$A$140&gt;35,CT98+CS99-DB98,IF(A99&lt;'Données projet'!$A$140,$CQ$205^A99,IF(A99='Données projet'!$A$140,'Données projet'!$B$140,CT98+CS99-DB98)))</f>
        <v>201.4</v>
      </c>
      <c r="CU99" s="18">
        <f>CT99*VLOOKUP('Données projet'!$B$13,Paramètres!$A$1:$I$89,3,0)*VLOOKUP('Données projet'!$B$13,Paramètres!$A$1:$I$89,5,0)</f>
        <v>194.79408000000001</v>
      </c>
      <c r="CV99" s="14">
        <f t="shared" si="95"/>
        <v>48.598313824368873</v>
      </c>
      <c r="CW99" s="22">
        <f t="shared" si="67"/>
        <v>423.9084192441091</v>
      </c>
      <c r="CX99" s="60">
        <f t="shared" si="68"/>
        <v>700.15747144049647</v>
      </c>
      <c r="CY99" s="60">
        <f ca="1">AVERAGE(OFFSET($CX$3,0,0,'Données projet'!$E$13+1,1))-AVERAGE(OFFSET($H$3,0,0,'Données projet'!$E$13+1,1))</f>
        <v>385.5283976785621</v>
      </c>
      <c r="CZ99" s="60">
        <f t="shared" si="96"/>
        <v>173.19148969173838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4.7</v>
      </c>
      <c r="DO99" s="13">
        <f>IF('Données projet'!$A$166&gt;35,DO98+DN99-DW98,IF(A99&lt;'Données projet'!$A$166,$DL$205^A99,IF(A99='Données projet'!$A$166,'Données projet'!$B$166,DO98+DN99-DW98)))</f>
        <v>262.69999999999965</v>
      </c>
      <c r="DP99" s="18">
        <f>DO99*VLOOKUP('Données projet'!$B$14,Paramètres!$A$1:$I$89,3,0)*VLOOKUP('Données projet'!$B$14,Paramètres!$A$1:$I$89,5,0)</f>
        <v>282.77027999999962</v>
      </c>
      <c r="DQ99" s="14">
        <f t="shared" si="97"/>
        <v>67.55211280655486</v>
      </c>
      <c r="DR99" s="22">
        <f t="shared" si="70"/>
        <v>610.14483413808227</v>
      </c>
      <c r="DS99" s="60">
        <f t="shared" si="71"/>
        <v>886.3938863344697</v>
      </c>
      <c r="DT99" s="60">
        <f ca="1">AVERAGE(OFFSET($DS$3,0,0,'Données projet'!$E$14+1,1))-AVERAGE(OFFSET($H$3,0,0,'Données projet'!$E$14+1,1))</f>
        <v>543.15812193567342</v>
      </c>
      <c r="DU99" s="60">
        <f t="shared" si="98"/>
        <v>286.40725588660575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2.5641025641025634</v>
      </c>
      <c r="EJ99" s="13">
        <f>IF('Données projet'!$A$192&gt;35,EJ98+EI99-ER98,IF(A99&lt;'Données projet'!$A$192,$EG$205^A99,IF(A99='Données projet'!$A$192,'Données projet'!$B$192,EJ98+EI99-ER98)))</f>
        <v>192.94871794871804</v>
      </c>
      <c r="EK99" s="18">
        <f>EJ99*VLOOKUP('Données projet'!$B$15,Paramètres!$A$1:$I$89,3,0)*VLOOKUP('Données projet'!$B$15,Paramètres!$A$1:$I$89,5,0)</f>
        <v>129.43000000000006</v>
      </c>
      <c r="EL99" s="14">
        <f t="shared" si="99"/>
        <v>33.864615402560055</v>
      </c>
      <c r="EM99" s="22">
        <f t="shared" si="73"/>
        <v>284.40478849279219</v>
      </c>
      <c r="EN99" s="60">
        <f t="shared" si="74"/>
        <v>560.65384068917956</v>
      </c>
      <c r="EO99" s="60">
        <f ca="1">AVERAGE(OFFSET($EN$3,0,0,'Données projet'!$E$15+1,1))-AVERAGE(OFFSET($H$3,0,0,'Données projet'!$E$15+1,1))</f>
        <v>239.52247785001794</v>
      </c>
      <c r="EP99" s="60">
        <f t="shared" si="100"/>
        <v>173.69760199651617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0.2415517227665617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0.2415517227665617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8">
        <f t="shared" si="56"/>
        <v>183.33333333333334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267.39999999999964</v>
      </c>
      <c r="O100" s="14">
        <f>N100*VLOOKUP('Données projet'!$B$9,Paramètres!$A$1:$I$89,3,0)*VLOOKUP('Données projet'!$B$9,Paramètres!$A$1:$I$89,5,0)</f>
        <v>271.14359999999965</v>
      </c>
      <c r="P100" s="14">
        <f t="shared" si="87"/>
        <v>65.091910336447413</v>
      </c>
      <c r="Q100" s="22">
        <f t="shared" si="107"/>
        <v>585.61018050264533</v>
      </c>
      <c r="R100" s="60">
        <f t="shared" si="55"/>
        <v>862.15560678202814</v>
      </c>
      <c r="S100" s="60">
        <f ca="1">AVERAGE(OFFSET($R$3,0,0,'Données projet'!$E$9+1,1))-AVERAGE(OFFSET($H$3,0,0,'Données projet'!$E$9+1,1))</f>
        <v>516.54532596122067</v>
      </c>
      <c r="T100" s="60">
        <f t="shared" si="88"/>
        <v>273.35778700650792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2.8205128205128176</v>
      </c>
      <c r="AI100" s="14">
        <f>IF('Données projet'!$A$62&gt;35,AI99+AH100-AQ99,IF(A100&lt;'Données projet'!$A$62,$AF$205^A100,IF(A100='Données projet'!$A$62,'Données projet'!$B$62,AI99+AH100-AQ99)))</f>
        <v>192.8205128205131</v>
      </c>
      <c r="AJ100" s="14">
        <f>AI100*VLOOKUP('Données projet'!$B$10,Paramètres!$A$1:$I$89,3,0)*VLOOKUP('Données projet'!$B$10,Paramètres!$A$1:$I$89,5,0)</f>
        <v>183.48800000000026</v>
      </c>
      <c r="AK100" s="14">
        <f t="shared" si="89"/>
        <v>46.097332970867903</v>
      </c>
      <c r="AL100" s="22">
        <f t="shared" si="58"/>
        <v>399.86112159092869</v>
      </c>
      <c r="AM100" s="60">
        <f t="shared" si="59"/>
        <v>676.40654787031144</v>
      </c>
      <c r="AN100" s="60">
        <f ca="1">AVERAGE(OFFSET($AM$3,0,0,'Données projet'!$E$10+1,1))-AVERAGE(OFFSET($H$3,0,0,'Données projet'!$E$10+1,1))</f>
        <v>328.36544111680962</v>
      </c>
      <c r="AO100" s="60">
        <f t="shared" si="90"/>
        <v>226.85392900722772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-9.9316821433603781E-14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296.01124173332352</v>
      </c>
      <c r="BJ100" s="60">
        <f t="shared" si="92"/>
        <v>315.50730924873733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-3.7243808037601412E-14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216.42026264996392</v>
      </c>
      <c r="CE100" s="60">
        <f t="shared" si="94"/>
        <v>216.4587454288401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3.4</v>
      </c>
      <c r="CT100" s="13">
        <f>IF('Données projet'!$A$140&gt;35,CT99+CS100-DB99,IF(A100&lt;'Données projet'!$A$140,$CQ$205^A100,IF(A100='Données projet'!$A$140,'Données projet'!$B$140,CT99+CS100-DB99)))</f>
        <v>204.8</v>
      </c>
      <c r="CU100" s="18">
        <f>CT100*VLOOKUP('Données projet'!$B$13,Paramètres!$A$1:$I$89,3,0)*VLOOKUP('Données projet'!$B$13,Paramètres!$A$1:$I$89,5,0)</f>
        <v>198.08256</v>
      </c>
      <c r="CV100" s="14">
        <f t="shared" si="95"/>
        <v>49.32253647732152</v>
      </c>
      <c r="CW100" s="22">
        <f t="shared" si="67"/>
        <v>430.89720969800169</v>
      </c>
      <c r="CX100" s="60">
        <f t="shared" si="68"/>
        <v>707.4426359773845</v>
      </c>
      <c r="CY100" s="60">
        <f ca="1">AVERAGE(OFFSET($CX$3,0,0,'Données projet'!$E$13+1,1))-AVERAGE(OFFSET($H$3,0,0,'Données projet'!$E$13+1,1))</f>
        <v>385.5283976785621</v>
      </c>
      <c r="CZ100" s="60">
        <f t="shared" si="96"/>
        <v>173.19148969173838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4.7</v>
      </c>
      <c r="DO100" s="13">
        <f>IF('Données projet'!$A$166&gt;35,DO99+DN100-DW99,IF(A100&lt;'Données projet'!$A$166,$DL$205^A100,IF(A100='Données projet'!$A$166,'Données projet'!$B$166,DO99+DN100-DW99)))</f>
        <v>267.39999999999964</v>
      </c>
      <c r="DP100" s="18">
        <f>DO100*VLOOKUP('Données projet'!$B$14,Paramètres!$A$1:$I$89,3,0)*VLOOKUP('Données projet'!$B$14,Paramètres!$A$1:$I$89,5,0)</f>
        <v>287.82935999999961</v>
      </c>
      <c r="DQ100" s="14">
        <f t="shared" si="97"/>
        <v>68.61891270137501</v>
      </c>
      <c r="DR100" s="22">
        <f t="shared" si="70"/>
        <v>620.81407495489407</v>
      </c>
      <c r="DS100" s="60">
        <f t="shared" si="71"/>
        <v>897.35950123427688</v>
      </c>
      <c r="DT100" s="60">
        <f ca="1">AVERAGE(OFFSET($DS$3,0,0,'Données projet'!$E$14+1,1))-AVERAGE(OFFSET($H$3,0,0,'Données projet'!$E$14+1,1))</f>
        <v>543.15812193567342</v>
      </c>
      <c r="DU100" s="60">
        <f t="shared" si="98"/>
        <v>286.40725588660575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2.5641025641025634</v>
      </c>
      <c r="EJ100" s="13">
        <f>IF('Données projet'!$A$192&gt;35,EJ99+EI100-ER99,IF(A100&lt;'Données projet'!$A$192,$EG$205^A100,IF(A100='Données projet'!$A$192,'Données projet'!$B$192,EJ99+EI100-ER99)))</f>
        <v>195.51282051282061</v>
      </c>
      <c r="EK100" s="18">
        <f>EJ100*VLOOKUP('Données projet'!$B$15,Paramètres!$A$1:$I$89,3,0)*VLOOKUP('Données projet'!$B$15,Paramètres!$A$1:$I$89,5,0)</f>
        <v>131.15000000000006</v>
      </c>
      <c r="EL100" s="14">
        <f t="shared" si="99"/>
        <v>34.261954205091826</v>
      </c>
      <c r="EM100" s="22">
        <f t="shared" si="73"/>
        <v>288.0924869072017</v>
      </c>
      <c r="EN100" s="60">
        <f t="shared" si="74"/>
        <v>564.63791318658446</v>
      </c>
      <c r="EO100" s="60">
        <f ca="1">AVERAGE(OFFSET($EN$3,0,0,'Données projet'!$E$15+1,1))-AVERAGE(OFFSET($H$3,0,0,'Données projet'!$E$15+1,1))</f>
        <v>239.52247785001794</v>
      </c>
      <c r="EP100" s="60">
        <f t="shared" si="100"/>
        <v>173.69760199651617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0.23494647820485703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0.23494647820485703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8">
        <f t="shared" si="56"/>
        <v>183.33333333333334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272.09999999999962</v>
      </c>
      <c r="O101" s="14">
        <f>N101*VLOOKUP('Données projet'!$B$9,Paramètres!$A$1:$I$89,3,0)*VLOOKUP('Données projet'!$B$9,Paramètres!$A$1:$I$89,5,0)</f>
        <v>275.90939999999961</v>
      </c>
      <c r="P101" s="14">
        <f t="shared" si="87"/>
        <v>66.101808465810961</v>
      </c>
      <c r="Q101" s="22">
        <f t="shared" si="107"/>
        <v>595.66952141128684</v>
      </c>
      <c r="R101" s="60">
        <f t="shared" si="55"/>
        <v>872.50618034591821</v>
      </c>
      <c r="S101" s="60">
        <f ca="1">AVERAGE(OFFSET($R$3,0,0,'Données projet'!$E$9+1,1))-AVERAGE(OFFSET($H$3,0,0,'Données projet'!$E$9+1,1))</f>
        <v>516.54532596122067</v>
      </c>
      <c r="T101" s="60">
        <f t="shared" si="88"/>
        <v>273.35778700650792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2.8205128205128176</v>
      </c>
      <c r="AI101" s="14">
        <f>IF('Données projet'!$A$62&gt;35,AI100+AH101-AQ100,IF(A101&lt;'Données projet'!$A$62,$AF$205^A101,IF(A101='Données projet'!$A$62,'Données projet'!$B$62,AI100+AH101-AQ100)))</f>
        <v>195.64102564102592</v>
      </c>
      <c r="AJ101" s="14">
        <f>AI101*VLOOKUP('Données projet'!$B$10,Paramètres!$A$1:$I$89,3,0)*VLOOKUP('Données projet'!$B$10,Paramètres!$A$1:$I$89,5,0)</f>
        <v>186.17200000000028</v>
      </c>
      <c r="AK101" s="14">
        <f t="shared" si="89"/>
        <v>46.692636510288843</v>
      </c>
      <c r="AL101" s="22">
        <f t="shared" si="58"/>
        <v>405.57257525542019</v>
      </c>
      <c r="AM101" s="60">
        <f t="shared" si="59"/>
        <v>682.40923419005162</v>
      </c>
      <c r="AN101" s="60">
        <f ca="1">AVERAGE(OFFSET($AM$3,0,0,'Données projet'!$E$10+1,1))-AVERAGE(OFFSET($H$3,0,0,'Données projet'!$E$10+1,1))</f>
        <v>328.36544111680962</v>
      </c>
      <c r="AO101" s="60">
        <f t="shared" si="90"/>
        <v>226.85392900722772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-9.9316821433603781E-14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296.01124173332352</v>
      </c>
      <c r="BJ101" s="60">
        <f t="shared" si="92"/>
        <v>315.50730924873733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-3.7243808037601412E-14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216.42026264996392</v>
      </c>
      <c r="CE101" s="60">
        <f t="shared" si="94"/>
        <v>216.4587454288401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3.4</v>
      </c>
      <c r="CT101" s="13">
        <f>IF('Données projet'!$A$140&gt;35,CT100+CS101-DB100,IF(A101&lt;'Données projet'!$A$140,$CQ$205^A101,IF(A101='Données projet'!$A$140,'Données projet'!$B$140,CT100+CS101-DB100)))</f>
        <v>208.20000000000002</v>
      </c>
      <c r="CU101" s="18">
        <f>CT101*VLOOKUP('Données projet'!$B$13,Paramètres!$A$1:$I$89,3,0)*VLOOKUP('Données projet'!$B$13,Paramètres!$A$1:$I$89,5,0)</f>
        <v>201.37104000000002</v>
      </c>
      <c r="CV101" s="14">
        <f t="shared" si="95"/>
        <v>50.045360910017799</v>
      </c>
      <c r="CW101" s="22">
        <f t="shared" si="67"/>
        <v>437.88356491828102</v>
      </c>
      <c r="CX101" s="60">
        <f t="shared" si="68"/>
        <v>714.72022385291234</v>
      </c>
      <c r="CY101" s="60">
        <f ca="1">AVERAGE(OFFSET($CX$3,0,0,'Données projet'!$E$13+1,1))-AVERAGE(OFFSET($H$3,0,0,'Données projet'!$E$13+1,1))</f>
        <v>385.5283976785621</v>
      </c>
      <c r="CZ101" s="60">
        <f t="shared" si="96"/>
        <v>173.19148969173838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4.7</v>
      </c>
      <c r="DO101" s="13">
        <f>IF('Données projet'!$A$166&gt;35,DO100+DN101-DW100,IF(A101&lt;'Données projet'!$A$166,$DL$205^A101,IF(A101='Données projet'!$A$166,'Données projet'!$B$166,DO100+DN101-DW100)))</f>
        <v>272.09999999999962</v>
      </c>
      <c r="DP101" s="18">
        <f>DO101*VLOOKUP('Données projet'!$B$14,Paramètres!$A$1:$I$89,3,0)*VLOOKUP('Données projet'!$B$14,Paramètres!$A$1:$I$89,5,0)</f>
        <v>292.8884399999996</v>
      </c>
      <c r="DQ101" s="14">
        <f t="shared" si="97"/>
        <v>69.68353211748817</v>
      </c>
      <c r="DR101" s="22">
        <f t="shared" si="70"/>
        <v>631.47951810462462</v>
      </c>
      <c r="DS101" s="60">
        <f t="shared" si="71"/>
        <v>908.31617703925599</v>
      </c>
      <c r="DT101" s="60">
        <f ca="1">AVERAGE(OFFSET($DS$3,0,0,'Données projet'!$E$14+1,1))-AVERAGE(OFFSET($H$3,0,0,'Données projet'!$E$14+1,1))</f>
        <v>543.15812193567342</v>
      </c>
      <c r="DU101" s="60">
        <f t="shared" si="98"/>
        <v>286.40725588660575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2.5641025641025634</v>
      </c>
      <c r="EJ101" s="13">
        <f>IF('Données projet'!$A$192&gt;35,EJ100+EI101-ER100,IF(A101&lt;'Données projet'!$A$192,$EG$205^A101,IF(A101='Données projet'!$A$192,'Données projet'!$B$192,EJ100+EI101-ER100)))</f>
        <v>198.07692307692318</v>
      </c>
      <c r="EK101" s="18">
        <f>EJ101*VLOOKUP('Données projet'!$B$15,Paramètres!$A$1:$I$89,3,0)*VLOOKUP('Données projet'!$B$15,Paramètres!$A$1:$I$89,5,0)</f>
        <v>132.87000000000006</v>
      </c>
      <c r="EL101" s="14">
        <f t="shared" si="99"/>
        <v>34.658686891509625</v>
      </c>
      <c r="EM101" s="22">
        <f t="shared" si="73"/>
        <v>291.77912966937936</v>
      </c>
      <c r="EN101" s="60">
        <f t="shared" si="74"/>
        <v>568.61578860401073</v>
      </c>
      <c r="EO101" s="60">
        <f ca="1">AVERAGE(OFFSET($EN$3,0,0,'Données projet'!$E$15+1,1))-AVERAGE(OFFSET($H$3,0,0,'Données projet'!$E$15+1,1))</f>
        <v>239.52247785001794</v>
      </c>
      <c r="EP101" s="60">
        <f t="shared" si="100"/>
        <v>173.69760199651617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0.2285218544030469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0.2285218544030469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8">
        <f t="shared" si="56"/>
        <v>183.33333333333334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276.79999999999961</v>
      </c>
      <c r="O102" s="14">
        <f>N102*VLOOKUP('Données projet'!$B$9,Paramètres!$A$1:$I$89,3,0)*VLOOKUP('Données projet'!$B$9,Paramètres!$A$1:$I$89,5,0)</f>
        <v>280.67519999999962</v>
      </c>
      <c r="P102" s="14">
        <f t="shared" si="87"/>
        <v>67.109678043026435</v>
      </c>
      <c r="Q102" s="22">
        <f t="shared" si="107"/>
        <v>605.72532925827045</v>
      </c>
      <c r="R102" s="60">
        <f t="shared" si="55"/>
        <v>882.84816861268064</v>
      </c>
      <c r="S102" s="60">
        <f ca="1">AVERAGE(OFFSET($R$3,0,0,'Données projet'!$E$9+1,1))-AVERAGE(OFFSET($H$3,0,0,'Données projet'!$E$9+1,1))</f>
        <v>516.54532596122067</v>
      </c>
      <c r="T102" s="60">
        <f t="shared" si="88"/>
        <v>273.35778700650792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2.8205128205128176</v>
      </c>
      <c r="AI102" s="14">
        <f>IF('Données projet'!$A$62&gt;35,AI101+AH102-AQ101,IF(A102&lt;'Données projet'!$A$62,$AF$205^A102,IF(A102='Données projet'!$A$62,'Données projet'!$B$62,AI101+AH102-AQ101)))</f>
        <v>198.46153846153874</v>
      </c>
      <c r="AJ102" s="14">
        <f>AI102*VLOOKUP('Données projet'!$B$10,Paramètres!$A$1:$I$89,3,0)*VLOOKUP('Données projet'!$B$10,Paramètres!$A$1:$I$89,5,0)</f>
        <v>188.85600000000028</v>
      </c>
      <c r="AK102" s="14">
        <f t="shared" si="89"/>
        <v>47.286941864448224</v>
      </c>
      <c r="AL102" s="22">
        <f t="shared" si="58"/>
        <v>411.2822904139145</v>
      </c>
      <c r="AM102" s="60">
        <f t="shared" si="59"/>
        <v>688.40512976832463</v>
      </c>
      <c r="AN102" s="60">
        <f ca="1">AVERAGE(OFFSET($AM$3,0,0,'Données projet'!$E$10+1,1))-AVERAGE(OFFSET($H$3,0,0,'Données projet'!$E$10+1,1))</f>
        <v>328.36544111680962</v>
      </c>
      <c r="AO102" s="60">
        <f t="shared" si="90"/>
        <v>226.85392900722772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-9.9316821433603781E-14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296.01124173332352</v>
      </c>
      <c r="BJ102" s="60">
        <f t="shared" si="92"/>
        <v>315.50730924873733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-3.7243808037601412E-14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216.42026264996392</v>
      </c>
      <c r="CE102" s="60">
        <f t="shared" si="94"/>
        <v>216.4587454288401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3.4</v>
      </c>
      <c r="CT102" s="13">
        <f>IF('Données projet'!$A$140&gt;35,CT101+CS102-DB101,IF(A102&lt;'Données projet'!$A$140,$CQ$205^A102,IF(A102='Données projet'!$A$140,'Données projet'!$B$140,CT101+CS102-DB101)))</f>
        <v>211.60000000000002</v>
      </c>
      <c r="CU102" s="18">
        <f>CT102*VLOOKUP('Données projet'!$B$13,Paramètres!$A$1:$I$89,3,0)*VLOOKUP('Données projet'!$B$13,Paramètres!$A$1:$I$89,5,0)</f>
        <v>204.65952000000001</v>
      </c>
      <c r="CV102" s="14">
        <f t="shared" si="95"/>
        <v>50.766812591921394</v>
      </c>
      <c r="CW102" s="22">
        <f t="shared" si="67"/>
        <v>444.86752926426311</v>
      </c>
      <c r="CX102" s="60">
        <f t="shared" si="68"/>
        <v>721.9903686186733</v>
      </c>
      <c r="CY102" s="60">
        <f ca="1">AVERAGE(OFFSET($CX$3,0,0,'Données projet'!$E$13+1,1))-AVERAGE(OFFSET($H$3,0,0,'Données projet'!$E$13+1,1))</f>
        <v>385.5283976785621</v>
      </c>
      <c r="CZ102" s="60">
        <f t="shared" si="96"/>
        <v>173.19148969173838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4.7</v>
      </c>
      <c r="DO102" s="13">
        <f>IF('Données projet'!$A$166&gt;35,DO101+DN102-DW101,IF(A102&lt;'Données projet'!$A$166,$DL$205^A102,IF(A102='Données projet'!$A$166,'Données projet'!$B$166,DO101+DN102-DW101)))</f>
        <v>276.79999999999961</v>
      </c>
      <c r="DP102" s="18">
        <f>DO102*VLOOKUP('Données projet'!$B$14,Paramètres!$A$1:$I$89,3,0)*VLOOKUP('Données projet'!$B$14,Paramètres!$A$1:$I$89,5,0)</f>
        <v>297.94751999999954</v>
      </c>
      <c r="DQ102" s="14">
        <f t="shared" si="97"/>
        <v>70.746013064442209</v>
      </c>
      <c r="DR102" s="22">
        <f t="shared" si="70"/>
        <v>642.14123675390272</v>
      </c>
      <c r="DS102" s="60">
        <f t="shared" si="71"/>
        <v>919.26407610831279</v>
      </c>
      <c r="DT102" s="60">
        <f ca="1">AVERAGE(OFFSET($DS$3,0,0,'Données projet'!$E$14+1,1))-AVERAGE(OFFSET($H$3,0,0,'Données projet'!$E$14+1,1))</f>
        <v>543.15812193567342</v>
      </c>
      <c r="DU102" s="60">
        <f t="shared" si="98"/>
        <v>286.40725588660575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2.5641025641025634</v>
      </c>
      <c r="EJ102" s="13">
        <f>IF('Données projet'!$A$192&gt;35,EJ101+EI102-ER101,IF(A102&lt;'Données projet'!$A$192,$EG$205^A102,IF(A102='Données projet'!$A$192,'Données projet'!$B$192,EJ101+EI102-ER101)))</f>
        <v>200.64102564102575</v>
      </c>
      <c r="EK102" s="18">
        <f>EJ102*VLOOKUP('Données projet'!$B$15,Paramètres!$A$1:$I$89,3,0)*VLOOKUP('Données projet'!$B$15,Paramètres!$A$1:$I$89,5,0)</f>
        <v>134.59000000000006</v>
      </c>
      <c r="EL102" s="14">
        <f t="shared" si="99"/>
        <v>35.054822215165906</v>
      </c>
      <c r="EM102" s="22">
        <f t="shared" si="73"/>
        <v>295.46473202474732</v>
      </c>
      <c r="EN102" s="60">
        <f t="shared" si="74"/>
        <v>572.58757137915745</v>
      </c>
      <c r="EO102" s="60">
        <f ca="1">AVERAGE(OFFSET($EN$3,0,0,'Données projet'!$E$15+1,1))-AVERAGE(OFFSET($H$3,0,0,'Données projet'!$E$15+1,1))</f>
        <v>239.52247785001794</v>
      </c>
      <c r="EP102" s="60">
        <f t="shared" si="100"/>
        <v>173.69760199651617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0.22227291227695356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0.22227291227695356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8">
        <f t="shared" si="56"/>
        <v>183.33333333333334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281.4999999999996</v>
      </c>
      <c r="O103" s="14">
        <f>N103*VLOOKUP('Données projet'!$B$9,Paramètres!$A$1:$I$89,3,0)*VLOOKUP('Données projet'!$B$9,Paramètres!$A$1:$I$89,5,0)</f>
        <v>285.44099999999958</v>
      </c>
      <c r="P103" s="14">
        <f t="shared" si="87"/>
        <v>68.115557487507047</v>
      </c>
      <c r="Q103" s="22">
        <f t="shared" si="107"/>
        <v>615.77767095740739</v>
      </c>
      <c r="R103" s="60">
        <f t="shared" si="55"/>
        <v>893.18172614111654</v>
      </c>
      <c r="S103" s="60">
        <f ca="1">AVERAGE(OFFSET($R$3,0,0,'Données projet'!$E$9+1,1))-AVERAGE(OFFSET($H$3,0,0,'Données projet'!$E$9+1,1))</f>
        <v>516.54532596122067</v>
      </c>
      <c r="T103" s="60">
        <f t="shared" si="88"/>
        <v>273.35778700650792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201.28205128205127</v>
      </c>
      <c r="AG103" s="13">
        <f>VLOOKUP(A103,'Données projet'!$A$61:$I$81,9,0)</f>
        <v>2.8205128205128176</v>
      </c>
      <c r="AH103" s="13">
        <f t="array" ref="AH103">INDEX(AG:AG,MIN(IF(ISNUMBER(AG103:AG299),ROW(AG103:AG299),"")))</f>
        <v>2.8205128205128176</v>
      </c>
      <c r="AI103" s="14">
        <f>IF('Données projet'!$A$62&gt;35,AI102+AH103-AQ102,IF(A103&lt;'Données projet'!$A$62,$AF$205^A103,IF(A103='Données projet'!$A$62,'Données projet'!$B$62,AI102+AH103-AQ102)))</f>
        <v>201.28205128205155</v>
      </c>
      <c r="AJ103" s="14">
        <f>AI103*VLOOKUP('Données projet'!$B$10,Paramètres!$A$1:$I$89,3,0)*VLOOKUP('Données projet'!$B$10,Paramètres!$A$1:$I$89,5,0)</f>
        <v>191.54000000000025</v>
      </c>
      <c r="AK103" s="14">
        <f t="shared" si="89"/>
        <v>47.880264858682828</v>
      </c>
      <c r="AL103" s="22">
        <f t="shared" si="58"/>
        <v>416.99029462887302</v>
      </c>
      <c r="AM103" s="60">
        <f t="shared" si="59"/>
        <v>694.39434981258228</v>
      </c>
      <c r="AN103" s="60">
        <f ca="1">AVERAGE(OFFSET($AM$3,0,0,'Données projet'!$E$10+1,1))-AVERAGE(OFFSET($H$3,0,0,'Données projet'!$E$10+1,1))</f>
        <v>328.36544111680962</v>
      </c>
      <c r="AO103" s="60">
        <f t="shared" si="90"/>
        <v>226.85392900722772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19.23076923076923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-9.9316821433603781E-14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296.01124173332352</v>
      </c>
      <c r="BJ103" s="60">
        <f t="shared" si="92"/>
        <v>315.50730924873733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-3.7243808037601412E-14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216.42026264996392</v>
      </c>
      <c r="CE103" s="60">
        <f t="shared" si="94"/>
        <v>216.4587454288401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3.4</v>
      </c>
      <c r="CT103" s="13">
        <f>IF('Données projet'!$A$140&gt;35,CT102+CS103-DB102,IF(A103&lt;'Données projet'!$A$140,$CQ$205^A103,IF(A103='Données projet'!$A$140,'Données projet'!$B$140,CT102+CS103-DB102)))</f>
        <v>215.00000000000003</v>
      </c>
      <c r="CU103" s="18">
        <f>CT103*VLOOKUP('Données projet'!$B$13,Paramètres!$A$1:$I$89,3,0)*VLOOKUP('Données projet'!$B$13,Paramètres!$A$1:$I$89,5,0)</f>
        <v>207.94800000000004</v>
      </c>
      <c r="CV103" s="14">
        <f t="shared" si="95"/>
        <v>51.486916127068838</v>
      </c>
      <c r="CW103" s="22">
        <f t="shared" si="67"/>
        <v>451.84914558797823</v>
      </c>
      <c r="CX103" s="60">
        <f t="shared" si="68"/>
        <v>729.25320077168749</v>
      </c>
      <c r="CY103" s="60">
        <f ca="1">AVERAGE(OFFSET($CX$3,0,0,'Données projet'!$E$13+1,1))-AVERAGE(OFFSET($H$3,0,0,'Données projet'!$E$13+1,1))</f>
        <v>385.5283976785621</v>
      </c>
      <c r="CZ103" s="60">
        <f t="shared" si="96"/>
        <v>173.19148969173838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4.7</v>
      </c>
      <c r="DO103" s="13">
        <f>IF('Données projet'!$A$166&gt;35,DO102+DN103-DW102,IF(A103&lt;'Données projet'!$A$166,$DL$205^A103,IF(A103='Données projet'!$A$166,'Données projet'!$B$166,DO102+DN103-DW102)))</f>
        <v>281.4999999999996</v>
      </c>
      <c r="DP103" s="18">
        <f>DO103*VLOOKUP('Données projet'!$B$14,Paramètres!$A$1:$I$89,3,0)*VLOOKUP('Données projet'!$B$14,Paramètres!$A$1:$I$89,5,0)</f>
        <v>303.00659999999954</v>
      </c>
      <c r="DQ103" s="14">
        <f t="shared" si="97"/>
        <v>71.806396043404845</v>
      </c>
      <c r="DR103" s="22">
        <f t="shared" si="70"/>
        <v>652.79930144226262</v>
      </c>
      <c r="DS103" s="60">
        <f t="shared" si="71"/>
        <v>930.20335662597176</v>
      </c>
      <c r="DT103" s="60">
        <f ca="1">AVERAGE(OFFSET($DS$3,0,0,'Données projet'!$E$14+1,1))-AVERAGE(OFFSET($H$3,0,0,'Données projet'!$E$14+1,1))</f>
        <v>543.15812193567342</v>
      </c>
      <c r="DU103" s="60">
        <f t="shared" si="98"/>
        <v>286.40725588660575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203.2051282051282</v>
      </c>
      <c r="EH103" s="13">
        <f>VLOOKUP(A103,'Données projet'!$A$191:$I$211,9,0)</f>
        <v>2.5641025641025634</v>
      </c>
      <c r="EI103" s="13">
        <f t="array" ref="EI103">INDEX(EH:EH,MIN(IF(ISNUMBER(EH103:EH299),ROW(EH103:EH299),"")))</f>
        <v>2.5641025641025634</v>
      </c>
      <c r="EJ103" s="13">
        <f>IF('Données projet'!$A$192&gt;35,EJ102+EI103-ER102,IF(A103&lt;'Données projet'!$A$192,$EG$205^A103,IF(A103='Données projet'!$A$192,'Données projet'!$B$192,EJ102+EI103-ER102)))</f>
        <v>203.20512820512832</v>
      </c>
      <c r="EK103" s="18">
        <f>EJ103*VLOOKUP('Données projet'!$B$15,Paramètres!$A$1:$I$89,3,0)*VLOOKUP('Données projet'!$B$15,Paramètres!$A$1:$I$89,5,0)</f>
        <v>136.31000000000009</v>
      </c>
      <c r="EL103" s="14">
        <f t="shared" si="99"/>
        <v>35.450368692821101</v>
      </c>
      <c r="EM103" s="22">
        <f t="shared" si="73"/>
        <v>299.14930880666356</v>
      </c>
      <c r="EN103" s="60">
        <f t="shared" si="74"/>
        <v>576.55336399037276</v>
      </c>
      <c r="EO103" s="60">
        <f ca="1">AVERAGE(OFFSET($EN$3,0,0,'Données projet'!$E$15+1,1))-AVERAGE(OFFSET($H$3,0,0,'Données projet'!$E$15+1,1))</f>
        <v>239.52247785001794</v>
      </c>
      <c r="EP103" s="60">
        <f t="shared" si="100"/>
        <v>173.69760199651617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16.025641025641026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0.21619484780191581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0.21619484780191581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8">
        <f t="shared" si="56"/>
        <v>183.33333333333334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286.19999999999959</v>
      </c>
      <c r="O104" s="14">
        <f>N104*VLOOKUP('Données projet'!$B$9,Paramètres!$A$1:$I$89,3,0)*VLOOKUP('Données projet'!$B$9,Paramètres!$A$1:$I$89,5,0)</f>
        <v>290.20679999999959</v>
      </c>
      <c r="P104" s="14">
        <f t="shared" si="87"/>
        <v>69.119483862208341</v>
      </c>
      <c r="Q104" s="22">
        <f t="shared" si="107"/>
        <v>625.82661106001206</v>
      </c>
      <c r="R104" s="60">
        <f t="shared" si="55"/>
        <v>903.50700360708652</v>
      </c>
      <c r="S104" s="60">
        <f ca="1">AVERAGE(OFFSET($R$3,0,0,'Données projet'!$E$9+1,1))-AVERAGE(OFFSET($H$3,0,0,'Données projet'!$E$9+1,1))</f>
        <v>516.54532596122067</v>
      </c>
      <c r="T104" s="60">
        <f t="shared" si="88"/>
        <v>273.35778700650792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2.6923076923076907</v>
      </c>
      <c r="AI104" s="14">
        <f>IF('Données projet'!$A$62&gt;35,AI103+AH104-AQ103,IF(A104&lt;'Données projet'!$A$62,$AF$205^A104,IF(A104='Données projet'!$A$62,'Données projet'!$B$62,AI103+AH104-AQ103)))</f>
        <v>184.74358974359001</v>
      </c>
      <c r="AJ104" s="14">
        <f>AI104*VLOOKUP('Données projet'!$B$10,Paramètres!$A$1:$I$89,3,0)*VLOOKUP('Données projet'!$B$10,Paramètres!$A$1:$I$89,5,0)</f>
        <v>175.80200000000025</v>
      </c>
      <c r="AK104" s="14">
        <f t="shared" si="89"/>
        <v>44.38692963199798</v>
      </c>
      <c r="AL104" s="22">
        <f t="shared" si="58"/>
        <v>383.4957191090636</v>
      </c>
      <c r="AM104" s="60">
        <f t="shared" si="59"/>
        <v>661.176111656138</v>
      </c>
      <c r="AN104" s="60">
        <f ca="1">AVERAGE(OFFSET($AM$3,0,0,'Données projet'!$E$10+1,1))-AVERAGE(OFFSET($H$3,0,0,'Données projet'!$E$10+1,1))</f>
        <v>328.36544111680962</v>
      </c>
      <c r="AO104" s="60">
        <f t="shared" si="90"/>
        <v>226.85392900722772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-9.9316821433603781E-14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296.01124173332352</v>
      </c>
      <c r="BJ104" s="60">
        <f t="shared" si="92"/>
        <v>315.50730924873733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-3.7243808037601412E-14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216.42026264996392</v>
      </c>
      <c r="CE104" s="60">
        <f t="shared" si="94"/>
        <v>216.4587454288401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3.4</v>
      </c>
      <c r="CT104" s="13">
        <f>IF('Données projet'!$A$140&gt;35,CT103+CS104-DB103,IF(A104&lt;'Données projet'!$A$140,$CQ$205^A104,IF(A104='Données projet'!$A$140,'Données projet'!$B$140,CT103+CS104-DB103)))</f>
        <v>218.40000000000003</v>
      </c>
      <c r="CU104" s="18">
        <f>CT104*VLOOKUP('Données projet'!$B$13,Paramètres!$A$1:$I$89,3,0)*VLOOKUP('Données projet'!$B$13,Paramètres!$A$1:$I$89,5,0)</f>
        <v>211.23648000000003</v>
      </c>
      <c r="CV104" s="14">
        <f t="shared" si="95"/>
        <v>52.205695296687736</v>
      </c>
      <c r="CW104" s="22">
        <f t="shared" si="67"/>
        <v>458.82845530839785</v>
      </c>
      <c r="CX104" s="60">
        <f t="shared" si="68"/>
        <v>736.50884785547225</v>
      </c>
      <c r="CY104" s="60">
        <f ca="1">AVERAGE(OFFSET($CX$3,0,0,'Données projet'!$E$13+1,1))-AVERAGE(OFFSET($H$3,0,0,'Données projet'!$E$13+1,1))</f>
        <v>385.5283976785621</v>
      </c>
      <c r="CZ104" s="60">
        <f t="shared" si="96"/>
        <v>173.19148969173838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4.7</v>
      </c>
      <c r="DO104" s="13">
        <f>IF('Données projet'!$A$166&gt;35,DO103+DN104-DW103,IF(A104&lt;'Données projet'!$A$166,$DL$205^A104,IF(A104='Données projet'!$A$166,'Données projet'!$B$166,DO103+DN104-DW103)))</f>
        <v>286.19999999999959</v>
      </c>
      <c r="DP104" s="18">
        <f>DO104*VLOOKUP('Données projet'!$B$14,Paramètres!$A$1:$I$89,3,0)*VLOOKUP('Données projet'!$B$14,Paramètres!$A$1:$I$89,5,0)</f>
        <v>308.06567999999953</v>
      </c>
      <c r="DQ104" s="14">
        <f t="shared" si="97"/>
        <v>72.864720125585904</v>
      </c>
      <c r="DR104" s="22">
        <f t="shared" si="70"/>
        <v>663.45378021872796</v>
      </c>
      <c r="DS104" s="60">
        <f t="shared" si="71"/>
        <v>941.1341727658023</v>
      </c>
      <c r="DT104" s="60">
        <f ca="1">AVERAGE(OFFSET($DS$3,0,0,'Données projet'!$E$14+1,1))-AVERAGE(OFFSET($H$3,0,0,'Données projet'!$E$14+1,1))</f>
        <v>543.15812193567342</v>
      </c>
      <c r="DU104" s="60">
        <f t="shared" si="98"/>
        <v>286.40725588660575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2.3076923076923039</v>
      </c>
      <c r="EJ104" s="13">
        <f>IF('Données projet'!$A$192&gt;35,EJ103+EI104-ER103,IF(A104&lt;'Données projet'!$A$192,$EG$205^A104,IF(A104='Données projet'!$A$192,'Données projet'!$B$192,EJ103+EI104-ER103)))</f>
        <v>189.48717948717959</v>
      </c>
      <c r="EK104" s="18">
        <f>EJ104*VLOOKUP('Données projet'!$B$15,Paramètres!$A$1:$I$89,3,0)*VLOOKUP('Données projet'!$B$15,Paramètres!$A$1:$I$89,5,0)</f>
        <v>127.10800000000008</v>
      </c>
      <c r="EL104" s="14">
        <f t="shared" si="99"/>
        <v>33.327230586507667</v>
      </c>
      <c r="EM104" s="22">
        <f t="shared" si="73"/>
        <v>279.42469327150098</v>
      </c>
      <c r="EN104" s="60">
        <f t="shared" si="74"/>
        <v>557.10508581857539</v>
      </c>
      <c r="EO104" s="60">
        <f ca="1">AVERAGE(OFFSET($EN$3,0,0,'Données projet'!$E$15+1,1))-AVERAGE(OFFSET($H$3,0,0,'Données projet'!$E$15+1,1))</f>
        <v>239.52247785001794</v>
      </c>
      <c r="EP104" s="60">
        <f t="shared" si="100"/>
        <v>173.69760199651617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0.21028298831957951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0.21028298831957951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8">
        <f t="shared" si="56"/>
        <v>183.33333333333334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290.89999999999958</v>
      </c>
      <c r="O105" s="14">
        <f>N105*VLOOKUP('Données projet'!$B$9,Paramètres!$A$1:$I$89,3,0)*VLOOKUP('Données projet'!$B$9,Paramètres!$A$1:$I$89,5,0)</f>
        <v>294.9725999999996</v>
      </c>
      <c r="P105" s="14">
        <f t="shared" si="87"/>
        <v>70.121492942994351</v>
      </c>
      <c r="Q105" s="22">
        <f t="shared" si="107"/>
        <v>635.87221187571447</v>
      </c>
      <c r="R105" s="60">
        <f t="shared" si="55"/>
        <v>913.82414795069735</v>
      </c>
      <c r="S105" s="60">
        <f ca="1">AVERAGE(OFFSET($R$3,0,0,'Données projet'!$E$9+1,1))-AVERAGE(OFFSET($H$3,0,0,'Données projet'!$E$9+1,1))</f>
        <v>516.54532596122067</v>
      </c>
      <c r="T105" s="60">
        <f t="shared" si="88"/>
        <v>273.35778700650792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2.6923076923076907</v>
      </c>
      <c r="AI105" s="14">
        <f>IF('Données projet'!$A$62&gt;35,AI104+AH105-AQ104,IF(A105&lt;'Données projet'!$A$62,$AF$205^A105,IF(A105='Données projet'!$A$62,'Données projet'!$B$62,AI104+AH105-AQ104)))</f>
        <v>187.43589743589769</v>
      </c>
      <c r="AJ105" s="14">
        <f>AI105*VLOOKUP('Données projet'!$B$10,Paramètres!$A$1:$I$89,3,0)*VLOOKUP('Données projet'!$B$10,Paramètres!$A$1:$I$89,5,0)</f>
        <v>178.36400000000026</v>
      </c>
      <c r="AK105" s="14">
        <f t="shared" si="89"/>
        <v>44.958013118078</v>
      </c>
      <c r="AL105" s="22">
        <f t="shared" si="58"/>
        <v>388.95250618065296</v>
      </c>
      <c r="AM105" s="60">
        <f t="shared" si="59"/>
        <v>666.9044422556359</v>
      </c>
      <c r="AN105" s="60">
        <f ca="1">AVERAGE(OFFSET($AM$3,0,0,'Données projet'!$E$10+1,1))-AVERAGE(OFFSET($H$3,0,0,'Données projet'!$E$10+1,1))</f>
        <v>328.36544111680962</v>
      </c>
      <c r="AO105" s="60">
        <f t="shared" si="90"/>
        <v>226.85392900722772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-9.9316821433603781E-14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296.01124173332352</v>
      </c>
      <c r="BJ105" s="60">
        <f t="shared" si="92"/>
        <v>315.50730924873733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-3.7243808037601412E-14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216.42026264996392</v>
      </c>
      <c r="CE105" s="60">
        <f t="shared" si="94"/>
        <v>216.4587454288401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3.4</v>
      </c>
      <c r="CT105" s="13">
        <f>IF('Données projet'!$A$140&gt;35,CT104+CS105-DB104,IF(A105&lt;'Données projet'!$A$140,$CQ$205^A105,IF(A105='Données projet'!$A$140,'Données projet'!$B$140,CT104+CS105-DB104)))</f>
        <v>221.80000000000004</v>
      </c>
      <c r="CU105" s="18">
        <f>CT105*VLOOKUP('Données projet'!$B$13,Paramètres!$A$1:$I$89,3,0)*VLOOKUP('Données projet'!$B$13,Paramètres!$A$1:$I$89,5,0)</f>
        <v>214.52496000000005</v>
      </c>
      <c r="CV105" s="14">
        <f t="shared" si="95"/>
        <v>52.923173099085766</v>
      </c>
      <c r="CW105" s="22">
        <f t="shared" si="67"/>
        <v>465.80549848090777</v>
      </c>
      <c r="CX105" s="60">
        <f t="shared" si="68"/>
        <v>743.75743455589077</v>
      </c>
      <c r="CY105" s="60">
        <f ca="1">AVERAGE(OFFSET($CX$3,0,0,'Données projet'!$E$13+1,1))-AVERAGE(OFFSET($H$3,0,0,'Données projet'!$E$13+1,1))</f>
        <v>385.5283976785621</v>
      </c>
      <c r="CZ105" s="60">
        <f t="shared" si="96"/>
        <v>173.19148969173838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4.7</v>
      </c>
      <c r="DO105" s="13">
        <f>IF('Données projet'!$A$166&gt;35,DO104+DN105-DW104,IF(A105&lt;'Données projet'!$A$166,$DL$205^A105,IF(A105='Données projet'!$A$166,'Données projet'!$B$166,DO104+DN105-DW104)))</f>
        <v>290.89999999999958</v>
      </c>
      <c r="DP105" s="18">
        <f>DO105*VLOOKUP('Données projet'!$B$14,Paramètres!$A$1:$I$89,3,0)*VLOOKUP('Données projet'!$B$14,Paramètres!$A$1:$I$89,5,0)</f>
        <v>313.12475999999953</v>
      </c>
      <c r="DQ105" s="14">
        <f t="shared" si="97"/>
        <v>73.921023025363311</v>
      </c>
      <c r="DR105" s="22">
        <f t="shared" si="70"/>
        <v>674.10473876917354</v>
      </c>
      <c r="DS105" s="60">
        <f t="shared" si="71"/>
        <v>952.05667484415653</v>
      </c>
      <c r="DT105" s="60">
        <f ca="1">AVERAGE(OFFSET($DS$3,0,0,'Données projet'!$E$14+1,1))-AVERAGE(OFFSET($H$3,0,0,'Données projet'!$E$14+1,1))</f>
        <v>543.15812193567342</v>
      </c>
      <c r="DU105" s="60">
        <f t="shared" si="98"/>
        <v>286.40725588660575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2.3076923076923039</v>
      </c>
      <c r="EJ105" s="13">
        <f>IF('Données projet'!$A$192&gt;35,EJ104+EI105-ER104,IF(A105&lt;'Données projet'!$A$192,$EG$205^A105,IF(A105='Données projet'!$A$192,'Données projet'!$B$192,EJ104+EI105-ER104)))</f>
        <v>191.79487179487188</v>
      </c>
      <c r="EK105" s="18">
        <f>EJ105*VLOOKUP('Données projet'!$B$15,Paramètres!$A$1:$I$89,3,0)*VLOOKUP('Données projet'!$B$15,Paramètres!$A$1:$I$89,5,0)</f>
        <v>128.65600000000006</v>
      </c>
      <c r="EL105" s="14">
        <f t="shared" si="99"/>
        <v>33.685612807452166</v>
      </c>
      <c r="EM105" s="22">
        <f t="shared" si="73"/>
        <v>282.74497563964593</v>
      </c>
      <c r="EN105" s="60">
        <f t="shared" si="74"/>
        <v>560.69691171462887</v>
      </c>
      <c r="EO105" s="60">
        <f ca="1">AVERAGE(OFFSET($EN$3,0,0,'Données projet'!$E$15+1,1))-AVERAGE(OFFSET($H$3,0,0,'Données projet'!$E$15+1,1))</f>
        <v>239.52247785001794</v>
      </c>
      <c r="EP105" s="60">
        <f t="shared" si="100"/>
        <v>173.69760199651617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0.20453278894567886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0.20453278894567886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8">
        <f t="shared" si="56"/>
        <v>183.33333333333334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295.59999999999957</v>
      </c>
      <c r="O106" s="14">
        <f>N106*VLOOKUP('Données projet'!$B$9,Paramètres!$A$1:$I$89,3,0)*VLOOKUP('Données projet'!$B$9,Paramètres!$A$1:$I$89,5,0)</f>
        <v>299.73839999999961</v>
      </c>
      <c r="P106" s="14">
        <f t="shared" si="87"/>
        <v>71.121619283394352</v>
      </c>
      <c r="Q106" s="22">
        <f t="shared" si="107"/>
        <v>645.91453358524438</v>
      </c>
      <c r="R106" s="60">
        <f t="shared" si="55"/>
        <v>924.13330251500702</v>
      </c>
      <c r="S106" s="60">
        <f ca="1">AVERAGE(OFFSET($R$3,0,0,'Données projet'!$E$9+1,1))-AVERAGE(OFFSET($H$3,0,0,'Données projet'!$E$9+1,1))</f>
        <v>516.54532596122067</v>
      </c>
      <c r="T106" s="60">
        <f t="shared" si="88"/>
        <v>273.35778700650792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2.6923076923076907</v>
      </c>
      <c r="AI106" s="14">
        <f>IF('Données projet'!$A$62&gt;35,AI105+AH106-AQ105,IF(A106&lt;'Données projet'!$A$62,$AF$205^A106,IF(A106='Données projet'!$A$62,'Données projet'!$B$62,AI105+AH106-AQ105)))</f>
        <v>190.12820512820537</v>
      </c>
      <c r="AJ106" s="14">
        <f>AI106*VLOOKUP('Données projet'!$B$10,Paramètres!$A$1:$I$89,3,0)*VLOOKUP('Données projet'!$B$10,Paramètres!$A$1:$I$89,5,0)</f>
        <v>180.92600000000024</v>
      </c>
      <c r="AK106" s="14">
        <f t="shared" si="89"/>
        <v>45.528142540648822</v>
      </c>
      <c r="AL106" s="22">
        <f t="shared" si="58"/>
        <v>394.40763159163043</v>
      </c>
      <c r="AM106" s="60">
        <f t="shared" si="59"/>
        <v>672.62640052139318</v>
      </c>
      <c r="AN106" s="60">
        <f ca="1">AVERAGE(OFFSET($AM$3,0,0,'Données projet'!$E$10+1,1))-AVERAGE(OFFSET($H$3,0,0,'Données projet'!$E$10+1,1))</f>
        <v>328.36544111680962</v>
      </c>
      <c r="AO106" s="60">
        <f t="shared" si="90"/>
        <v>226.85392900722772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-9.9316821433603781E-14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296.01124173332352</v>
      </c>
      <c r="BJ106" s="60">
        <f t="shared" si="92"/>
        <v>315.50730924873733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-3.7243808037601412E-14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216.42026264996392</v>
      </c>
      <c r="CE106" s="60">
        <f t="shared" si="94"/>
        <v>216.4587454288401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3.4</v>
      </c>
      <c r="CT106" s="13">
        <f>IF('Données projet'!$A$140&gt;35,CT105+CS106-DB105,IF(A106&lt;'Données projet'!$A$140,$CQ$205^A106,IF(A106='Données projet'!$A$140,'Données projet'!$B$140,CT105+CS106-DB105)))</f>
        <v>225.20000000000005</v>
      </c>
      <c r="CU106" s="18">
        <f>CT106*VLOOKUP('Données projet'!$B$13,Paramètres!$A$1:$I$89,3,0)*VLOOKUP('Données projet'!$B$13,Paramètres!$A$1:$I$89,5,0)</f>
        <v>217.81344000000004</v>
      </c>
      <c r="CV106" s="14">
        <f t="shared" si="95"/>
        <v>53.639371787024814</v>
      </c>
      <c r="CW106" s="22">
        <f t="shared" si="67"/>
        <v>472.78031386240167</v>
      </c>
      <c r="CX106" s="60">
        <f t="shared" si="68"/>
        <v>750.99908279216436</v>
      </c>
      <c r="CY106" s="60">
        <f ca="1">AVERAGE(OFFSET($CX$3,0,0,'Données projet'!$E$13+1,1))-AVERAGE(OFFSET($H$3,0,0,'Données projet'!$E$13+1,1))</f>
        <v>385.5283976785621</v>
      </c>
      <c r="CZ106" s="60">
        <f t="shared" si="96"/>
        <v>173.19148969173838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4.7</v>
      </c>
      <c r="DO106" s="13">
        <f>IF('Données projet'!$A$166&gt;35,DO105+DN106-DW105,IF(A106&lt;'Données projet'!$A$166,$DL$205^A106,IF(A106='Données projet'!$A$166,'Données projet'!$B$166,DO105+DN106-DW105)))</f>
        <v>295.59999999999957</v>
      </c>
      <c r="DP106" s="18">
        <f>DO106*VLOOKUP('Données projet'!$B$14,Paramètres!$A$1:$I$89,3,0)*VLOOKUP('Données projet'!$B$14,Paramètres!$A$1:$I$89,5,0)</f>
        <v>318.18383999999952</v>
      </c>
      <c r="DQ106" s="14">
        <f t="shared" si="97"/>
        <v>74.975341168547786</v>
      </c>
      <c r="DR106" s="22">
        <f t="shared" si="70"/>
        <v>684.75224053521981</v>
      </c>
      <c r="DS106" s="60">
        <f t="shared" si="71"/>
        <v>962.97100946498244</v>
      </c>
      <c r="DT106" s="60">
        <f ca="1">AVERAGE(OFFSET($DS$3,0,0,'Données projet'!$E$14+1,1))-AVERAGE(OFFSET($H$3,0,0,'Données projet'!$E$14+1,1))</f>
        <v>543.15812193567342</v>
      </c>
      <c r="DU106" s="60">
        <f t="shared" si="98"/>
        <v>286.40725588660575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2.3076923076923039</v>
      </c>
      <c r="EJ106" s="13">
        <f>IF('Données projet'!$A$192&gt;35,EJ105+EI106-ER105,IF(A106&lt;'Données projet'!$A$192,$EG$205^A106,IF(A106='Données projet'!$A$192,'Données projet'!$B$192,EJ105+EI106-ER105)))</f>
        <v>194.10256410256417</v>
      </c>
      <c r="EK106" s="18">
        <f>EJ106*VLOOKUP('Données projet'!$B$15,Paramètres!$A$1:$I$89,3,0)*VLOOKUP('Données projet'!$B$15,Paramètres!$A$1:$I$89,5,0)</f>
        <v>130.20400000000004</v>
      </c>
      <c r="EL106" s="14">
        <f t="shared" si="99"/>
        <v>34.043493440159544</v>
      </c>
      <c r="EM106" s="22">
        <f t="shared" si="73"/>
        <v>286.06438440827793</v>
      </c>
      <c r="EN106" s="60">
        <f t="shared" si="74"/>
        <v>564.28315333804062</v>
      </c>
      <c r="EO106" s="60">
        <f ca="1">AVERAGE(OFFSET($EN$3,0,0,'Données projet'!$E$15+1,1))-AVERAGE(OFFSET($H$3,0,0,'Données projet'!$E$15+1,1))</f>
        <v>239.52247785001794</v>
      </c>
      <c r="EP106" s="60">
        <f t="shared" si="100"/>
        <v>173.69760199651617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0.19893982907604738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0.19893982907604738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8">
        <f t="shared" si="56"/>
        <v>183.33333333333334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300.29999999999956</v>
      </c>
      <c r="O107" s="14">
        <f>N107*VLOOKUP('Données projet'!$B$9,Paramètres!$A$1:$I$89,3,0)*VLOOKUP('Données projet'!$B$9,Paramètres!$A$1:$I$89,5,0)</f>
        <v>304.50419999999957</v>
      </c>
      <c r="P107" s="14">
        <f t="shared" si="87"/>
        <v>72.11989627512429</v>
      </c>
      <c r="Q107" s="22">
        <f t="shared" si="107"/>
        <v>655.95363434584067</v>
      </c>
      <c r="R107" s="60">
        <f t="shared" si="55"/>
        <v>934.43460717690164</v>
      </c>
      <c r="S107" s="60">
        <f ca="1">AVERAGE(OFFSET($R$3,0,0,'Données projet'!$E$9+1,1))-AVERAGE(OFFSET($H$3,0,0,'Données projet'!$E$9+1,1))</f>
        <v>516.54532596122067</v>
      </c>
      <c r="T107" s="60">
        <f t="shared" si="88"/>
        <v>273.35778700650792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2.6923076923076907</v>
      </c>
      <c r="AI107" s="14">
        <f>IF('Données projet'!$A$62&gt;35,AI106+AH107-AQ106,IF(A107&lt;'Données projet'!$A$62,$AF$205^A107,IF(A107='Données projet'!$A$62,'Données projet'!$B$62,AI106+AH107-AQ106)))</f>
        <v>192.82051282051304</v>
      </c>
      <c r="AJ107" s="14">
        <f>AI107*VLOOKUP('Données projet'!$B$10,Paramètres!$A$1:$I$89,3,0)*VLOOKUP('Données projet'!$B$10,Paramètres!$A$1:$I$89,5,0)</f>
        <v>183.48800000000023</v>
      </c>
      <c r="AK107" s="14">
        <f t="shared" si="89"/>
        <v>46.097332970867903</v>
      </c>
      <c r="AL107" s="22">
        <f t="shared" si="58"/>
        <v>399.86112159092863</v>
      </c>
      <c r="AM107" s="60">
        <f t="shared" si="59"/>
        <v>678.34209442198949</v>
      </c>
      <c r="AN107" s="60">
        <f ca="1">AVERAGE(OFFSET($AM$3,0,0,'Données projet'!$E$10+1,1))-AVERAGE(OFFSET($H$3,0,0,'Données projet'!$E$10+1,1))</f>
        <v>328.36544111680962</v>
      </c>
      <c r="AO107" s="60">
        <f t="shared" si="90"/>
        <v>226.85392900722772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-9.9316821433603781E-14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296.01124173332352</v>
      </c>
      <c r="BJ107" s="60">
        <f t="shared" si="92"/>
        <v>315.50730924873733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-3.7243808037601412E-14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216.42026264996392</v>
      </c>
      <c r="CE107" s="60">
        <f t="shared" si="94"/>
        <v>216.4587454288401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3.4</v>
      </c>
      <c r="CT107" s="13">
        <f>IF('Données projet'!$A$140&gt;35,CT106+CS107-DB106,IF(A107&lt;'Données projet'!$A$140,$CQ$205^A107,IF(A107='Données projet'!$A$140,'Données projet'!$B$140,CT106+CS107-DB106)))</f>
        <v>228.60000000000005</v>
      </c>
      <c r="CU107" s="18">
        <f>CT107*VLOOKUP('Données projet'!$B$13,Paramètres!$A$1:$I$89,3,0)*VLOOKUP('Données projet'!$B$13,Paramètres!$A$1:$I$89,5,0)</f>
        <v>221.10192000000006</v>
      </c>
      <c r="CV107" s="14">
        <f t="shared" si="95"/>
        <v>54.35431290277365</v>
      </c>
      <c r="CW107" s="22">
        <f t="shared" si="67"/>
        <v>479.75293897233087</v>
      </c>
      <c r="CX107" s="60">
        <f t="shared" si="68"/>
        <v>758.23391180339172</v>
      </c>
      <c r="CY107" s="60">
        <f ca="1">AVERAGE(OFFSET($CX$3,0,0,'Données projet'!$E$13+1,1))-AVERAGE(OFFSET($H$3,0,0,'Données projet'!$E$13+1,1))</f>
        <v>385.5283976785621</v>
      </c>
      <c r="CZ107" s="60">
        <f t="shared" si="96"/>
        <v>173.19148969173838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4.7</v>
      </c>
      <c r="DO107" s="13">
        <f>IF('Données projet'!$A$166&gt;35,DO106+DN107-DW106,IF(A107&lt;'Données projet'!$A$166,$DL$205^A107,IF(A107='Données projet'!$A$166,'Données projet'!$B$166,DO106+DN107-DW106)))</f>
        <v>300.29999999999956</v>
      </c>
      <c r="DP107" s="18">
        <f>DO107*VLOOKUP('Données projet'!$B$14,Paramètres!$A$1:$I$89,3,0)*VLOOKUP('Données projet'!$B$14,Paramètres!$A$1:$I$89,5,0)</f>
        <v>323.24291999999951</v>
      </c>
      <c r="DQ107" s="14">
        <f t="shared" si="97"/>
        <v>76.027709756183881</v>
      </c>
      <c r="DR107" s="22">
        <f t="shared" si="70"/>
        <v>695.39634682535268</v>
      </c>
      <c r="DS107" s="60">
        <f t="shared" si="71"/>
        <v>973.87731965641365</v>
      </c>
      <c r="DT107" s="60">
        <f ca="1">AVERAGE(OFFSET($DS$3,0,0,'Données projet'!$E$14+1,1))-AVERAGE(OFFSET($H$3,0,0,'Données projet'!$E$14+1,1))</f>
        <v>543.15812193567342</v>
      </c>
      <c r="DU107" s="60">
        <f t="shared" si="98"/>
        <v>286.40725588660575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2.3076923076923039</v>
      </c>
      <c r="EJ107" s="13">
        <f>IF('Données projet'!$A$192&gt;35,EJ106+EI107-ER106,IF(A107&lt;'Données projet'!$A$192,$EG$205^A107,IF(A107='Données projet'!$A$192,'Données projet'!$B$192,EJ106+EI107-ER106)))</f>
        <v>196.41025641025647</v>
      </c>
      <c r="EK107" s="18">
        <f>EJ107*VLOOKUP('Données projet'!$B$15,Paramètres!$A$1:$I$89,3,0)*VLOOKUP('Données projet'!$B$15,Paramètres!$A$1:$I$89,5,0)</f>
        <v>131.75200000000004</v>
      </c>
      <c r="EL107" s="14">
        <f t="shared" si="99"/>
        <v>34.400879137880764</v>
      </c>
      <c r="EM107" s="22">
        <f t="shared" si="73"/>
        <v>289.38293116514234</v>
      </c>
      <c r="EN107" s="60">
        <f t="shared" si="74"/>
        <v>567.86390399620325</v>
      </c>
      <c r="EO107" s="60">
        <f ca="1">AVERAGE(OFFSET($EN$3,0,0,'Données projet'!$E$15+1,1))-AVERAGE(OFFSET($H$3,0,0,'Données projet'!$E$15+1,1))</f>
        <v>239.52247785001794</v>
      </c>
      <c r="EP107" s="60">
        <f t="shared" si="100"/>
        <v>173.69760199651617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0.19349980898817193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0.19349980898817193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8">
        <f t="shared" si="56"/>
        <v>183.33333333333334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304.99999999999955</v>
      </c>
      <c r="O108" s="14">
        <f>N108*VLOOKUP('Données projet'!$B$9,Paramètres!$A$1:$I$89,3,0)*VLOOKUP('Données projet'!$B$9,Paramètres!$A$1:$I$89,5,0)</f>
        <v>309.26999999999958</v>
      </c>
      <c r="P108" s="14">
        <f t="shared" si="87"/>
        <v>73.116356204710968</v>
      </c>
      <c r="Q108" s="22">
        <f t="shared" si="107"/>
        <v>665.98957038987078</v>
      </c>
      <c r="R108" s="60">
        <f t="shared" si="55"/>
        <v>944.72819847074254</v>
      </c>
      <c r="S108" s="60">
        <f ca="1">AVERAGE(OFFSET($R$3,0,0,'Données projet'!$E$9+1,1))-AVERAGE(OFFSET($H$3,0,0,'Données projet'!$E$9+1,1))</f>
        <v>516.54532596122067</v>
      </c>
      <c r="T108" s="60">
        <f t="shared" si="88"/>
        <v>273.35778700650792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195.5128205128205</v>
      </c>
      <c r="AG108" s="13">
        <f>VLOOKUP(A108,'Données projet'!$A$61:$I$81,9,0)</f>
        <v>2.6923076923076907</v>
      </c>
      <c r="AH108" s="13">
        <f t="array" ref="AH108">INDEX(AG:AG,MIN(IF(ISNUMBER(AG108:AG304),ROW(AG108:AG304),"")))</f>
        <v>2.6923076923076907</v>
      </c>
      <c r="AI108" s="14">
        <f>IF('Données projet'!$A$62&gt;35,AI107+AH108-AQ107,IF(A108&lt;'Données projet'!$A$62,$AF$205^A108,IF(A108='Données projet'!$A$62,'Données projet'!$B$62,AI107+AH108-AQ107)))</f>
        <v>195.51282051282072</v>
      </c>
      <c r="AJ108" s="14">
        <f>AI108*VLOOKUP('Données projet'!$B$10,Paramètres!$A$1:$I$89,3,0)*VLOOKUP('Données projet'!$B$10,Paramètres!$A$1:$I$89,5,0)</f>
        <v>186.05000000000021</v>
      </c>
      <c r="AK108" s="14">
        <f t="shared" si="89"/>
        <v>46.665599034846267</v>
      </c>
      <c r="AL108" s="22">
        <f t="shared" si="58"/>
        <v>405.31300165235763</v>
      </c>
      <c r="AM108" s="60">
        <f t="shared" si="59"/>
        <v>684.05162973322945</v>
      </c>
      <c r="AN108" s="60">
        <f ca="1">AVERAGE(OFFSET($AM$3,0,0,'Données projet'!$E$10+1,1))-AVERAGE(OFFSET($H$3,0,0,'Données projet'!$E$10+1,1))</f>
        <v>328.36544111680962</v>
      </c>
      <c r="AO108" s="60">
        <f t="shared" si="90"/>
        <v>226.85392900722772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-9.9316821433603781E-14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296.01124173332352</v>
      </c>
      <c r="BJ108" s="60">
        <f t="shared" si="92"/>
        <v>315.50730924873733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-3.7243808037601412E-14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216.42026264996392</v>
      </c>
      <c r="CE108" s="60">
        <f t="shared" si="94"/>
        <v>216.4587454288401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232</v>
      </c>
      <c r="CR108" s="13">
        <f>VLOOKUP(A108,'Données projet'!$A$139:$I$159,9,0)</f>
        <v>3.4</v>
      </c>
      <c r="CS108" s="13">
        <f t="array" ref="CS108">INDEX(CR:CR,MIN(IF(ISNUMBER(CR108:CR304),ROW(CR108:CR304),"")))</f>
        <v>3.4</v>
      </c>
      <c r="CT108" s="13">
        <f>IF('Données projet'!$A$140&gt;35,CT107+CS108-DB107,IF(A108&lt;'Données projet'!$A$140,$CQ$205^A108,IF(A108='Données projet'!$A$140,'Données projet'!$B$140,CT107+CS108-DB107)))</f>
        <v>232.00000000000006</v>
      </c>
      <c r="CU108" s="18">
        <f>CT108*VLOOKUP('Données projet'!$B$13,Paramètres!$A$1:$I$89,3,0)*VLOOKUP('Données projet'!$B$13,Paramètres!$A$1:$I$89,5,0)</f>
        <v>224.39040000000006</v>
      </c>
      <c r="CV108" s="14">
        <f t="shared" si="95"/>
        <v>55.068017311015858</v>
      </c>
      <c r="CW108" s="22">
        <f t="shared" si="67"/>
        <v>486.72341015001939</v>
      </c>
      <c r="CX108" s="60">
        <f t="shared" si="68"/>
        <v>765.46203823089115</v>
      </c>
      <c r="CY108" s="60">
        <f ca="1">AVERAGE(OFFSET($CX$3,0,0,'Données projet'!$E$13+1,1))-AVERAGE(OFFSET($H$3,0,0,'Données projet'!$E$13+1,1))</f>
        <v>385.5283976785621</v>
      </c>
      <c r="CZ108" s="60">
        <f t="shared" si="96"/>
        <v>173.19148969173838</v>
      </c>
      <c r="DA108" s="16">
        <f>IF(ISNA(VLOOKUP(A108,'Données projet'!$A$139:$I$159,3,0)),0,VLOOKUP(A108,'Données projet'!$A$139:$I$159,3,0))</f>
        <v>8</v>
      </c>
      <c r="DB108" s="16">
        <f>IF(ISNA(VLOOKUP(A108,'Données projet'!$A$139:$I$159,4,0)),0,VLOOKUP(A108,'Données projet'!$A$139:$I$159,4,0))</f>
        <v>28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305</v>
      </c>
      <c r="DM108" s="13">
        <f>VLOOKUP(A108,'Données projet'!$A$165:$I$185,9,0)</f>
        <v>4.7</v>
      </c>
      <c r="DN108" s="13">
        <f t="array" ref="DN108">INDEX(DM:DM,MIN(IF(ISNUMBER(DM108:DM304),ROW(DM108:DM304),"")))</f>
        <v>4.7</v>
      </c>
      <c r="DO108" s="13">
        <f>IF('Données projet'!$A$166&gt;35,DO107+DN108-DW107,IF(A108&lt;'Données projet'!$A$166,$DL$205^A108,IF(A108='Données projet'!$A$166,'Données projet'!$B$166,DO107+DN108-DW107)))</f>
        <v>304.99999999999955</v>
      </c>
      <c r="DP108" s="18">
        <f>DO108*VLOOKUP('Données projet'!$B$14,Paramètres!$A$1:$I$89,3,0)*VLOOKUP('Données projet'!$B$14,Paramètres!$A$1:$I$89,5,0)</f>
        <v>328.30199999999951</v>
      </c>
      <c r="DQ108" s="14">
        <f t="shared" si="97"/>
        <v>77.078162824242781</v>
      </c>
      <c r="DR108" s="22">
        <f t="shared" si="70"/>
        <v>706.03711691888873</v>
      </c>
      <c r="DS108" s="60">
        <f t="shared" si="71"/>
        <v>984.77574499976049</v>
      </c>
      <c r="DT108" s="60">
        <f ca="1">AVERAGE(OFFSET($DS$3,0,0,'Données projet'!$E$14+1,1))-AVERAGE(OFFSET($H$3,0,0,'Données projet'!$E$14+1,1))</f>
        <v>543.15812193567342</v>
      </c>
      <c r="DU108" s="60">
        <f t="shared" si="98"/>
        <v>286.40725588660575</v>
      </c>
      <c r="DV108" s="16">
        <f>IF(ISNA(VLOOKUP(A108,'Données projet'!$A$165:$I$185,3,0)),0,VLOOKUP(A108,'Données projet'!$A$165:$I$185,3,0))</f>
        <v>9</v>
      </c>
      <c r="DW108" s="16">
        <f>IF(ISNA(VLOOKUP(A108,'Données projet'!$A$165:$I$185,4,0)),0,VLOOKUP(A108,'Données projet'!$A$165:$I$185,4,0))</f>
        <v>41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198.7179487179487</v>
      </c>
      <c r="EH108" s="13">
        <f>VLOOKUP(A108,'Données projet'!$A$191:$I$211,9,0)</f>
        <v>2.3076923076923039</v>
      </c>
      <c r="EI108" s="13">
        <f t="array" ref="EI108">INDEX(EH:EH,MIN(IF(ISNUMBER(EH108:EH304),ROW(EH108:EH304),"")))</f>
        <v>2.3076923076923039</v>
      </c>
      <c r="EJ108" s="13">
        <f>IF('Données projet'!$A$192&gt;35,EJ107+EI108-ER107,IF(A108&lt;'Données projet'!$A$192,$EG$205^A108,IF(A108='Données projet'!$A$192,'Données projet'!$B$192,EJ107+EI108-ER107)))</f>
        <v>198.71794871794876</v>
      </c>
      <c r="EK108" s="18">
        <f>EJ108*VLOOKUP('Données projet'!$B$15,Paramètres!$A$1:$I$89,3,0)*VLOOKUP('Données projet'!$B$15,Paramètres!$A$1:$I$89,5,0)</f>
        <v>133.30000000000004</v>
      </c>
      <c r="EL108" s="14">
        <f t="shared" si="99"/>
        <v>34.757776388526544</v>
      </c>
      <c r="EM108" s="22">
        <f t="shared" si="73"/>
        <v>292.7006272100171</v>
      </c>
      <c r="EN108" s="60">
        <f t="shared" si="74"/>
        <v>571.43925529088892</v>
      </c>
      <c r="EO108" s="60">
        <f ca="1">AVERAGE(OFFSET($EN$3,0,0,'Données projet'!$E$15+1,1))-AVERAGE(OFFSET($H$3,0,0,'Données projet'!$E$15+1,1))</f>
        <v>239.52247785001794</v>
      </c>
      <c r="EP108" s="60">
        <f t="shared" si="100"/>
        <v>173.69760199651617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0.18820854653567767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0.18820854653567767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8">
        <f t="shared" si="56"/>
        <v>183.33333333333334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267.99999999999955</v>
      </c>
      <c r="O109" s="14">
        <f>N109*VLOOKUP('Données projet'!$B$9,Paramètres!$A$1:$I$89,3,0)*VLOOKUP('Données projet'!$B$9,Paramètres!$A$1:$I$89,5,0)</f>
        <v>271.75199999999955</v>
      </c>
      <c r="P109" s="14">
        <f t="shared" si="87"/>
        <v>65.22094782472486</v>
      </c>
      <c r="Q109" s="22">
        <f t="shared" si="107"/>
        <v>586.89455079472839</v>
      </c>
      <c r="R109" s="60">
        <f t="shared" si="55"/>
        <v>865.88636438285744</v>
      </c>
      <c r="S109" s="60">
        <f ca="1">AVERAGE(OFFSET($R$3,0,0,'Données projet'!$E$9+1,1))-AVERAGE(OFFSET($H$3,0,0,'Données projet'!$E$9+1,1))</f>
        <v>516.54532596122067</v>
      </c>
      <c r="T109" s="60">
        <f t="shared" si="88"/>
        <v>273.35778700650792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2.5641025641025634</v>
      </c>
      <c r="AI109" s="14">
        <f>IF('Données projet'!$A$62&gt;35,AI108+AH109-AQ108,IF(A109&lt;'Données projet'!$A$62,$AF$205^A109,IF(A109='Données projet'!$A$62,'Données projet'!$B$62,AI108+AH109-AQ108)))</f>
        <v>198.07692307692329</v>
      </c>
      <c r="AJ109" s="14">
        <f>AI109*VLOOKUP('Données projet'!$B$10,Paramètres!$A$1:$I$89,3,0)*VLOOKUP('Données projet'!$B$10,Paramètres!$A$1:$I$89,5,0)</f>
        <v>188.49000000000021</v>
      </c>
      <c r="AK109" s="14">
        <f t="shared" si="89"/>
        <v>47.205958418831408</v>
      </c>
      <c r="AL109" s="22">
        <f t="shared" si="58"/>
        <v>410.50379424613175</v>
      </c>
      <c r="AM109" s="60">
        <f t="shared" si="59"/>
        <v>689.49560783426091</v>
      </c>
      <c r="AN109" s="60">
        <f ca="1">AVERAGE(OFFSET($AM$3,0,0,'Données projet'!$E$10+1,1))-AVERAGE(OFFSET($H$3,0,0,'Données projet'!$E$10+1,1))</f>
        <v>328.36544111680962</v>
      </c>
      <c r="AO109" s="60">
        <f t="shared" si="90"/>
        <v>226.85392900722772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-9.9316821433603781E-14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296.01124173332352</v>
      </c>
      <c r="BJ109" s="60">
        <f t="shared" si="92"/>
        <v>315.50730924873733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-3.7243808037601412E-14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216.42026264996392</v>
      </c>
      <c r="CE109" s="60">
        <f t="shared" si="94"/>
        <v>216.4587454288401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</v>
      </c>
      <c r="CT109" s="13">
        <f>IF('Données projet'!$A$140&gt;35,CT108+CS109-DB108,IF(A109&lt;'Données projet'!$A$140,$CQ$205^A109,IF(A109='Données projet'!$A$140,'Données projet'!$B$140,CT108+CS109-DB108)))</f>
        <v>207.00000000000006</v>
      </c>
      <c r="CU109" s="18">
        <f>CT109*VLOOKUP('Données projet'!$B$13,Paramètres!$A$1:$I$89,3,0)*VLOOKUP('Données projet'!$B$13,Paramètres!$A$1:$I$89,5,0)</f>
        <v>200.21040000000005</v>
      </c>
      <c r="CV109" s="14">
        <f t="shared" si="95"/>
        <v>49.790404447235048</v>
      </c>
      <c r="CW109" s="22">
        <f t="shared" si="67"/>
        <v>435.41806774560109</v>
      </c>
      <c r="CX109" s="60">
        <f t="shared" si="68"/>
        <v>714.40988133373025</v>
      </c>
      <c r="CY109" s="60">
        <f ca="1">AVERAGE(OFFSET($CX$3,0,0,'Données projet'!$E$13+1,1))-AVERAGE(OFFSET($H$3,0,0,'Données projet'!$E$13+1,1))</f>
        <v>385.5283976785621</v>
      </c>
      <c r="CZ109" s="60">
        <f t="shared" si="96"/>
        <v>173.19148969173838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</v>
      </c>
      <c r="DO109" s="13">
        <f>IF('Données projet'!$A$166&gt;35,DO108+DN109-DW108,IF(A109&lt;'Données projet'!$A$166,$DL$205^A109,IF(A109='Données projet'!$A$166,'Données projet'!$B$166,DO108+DN109-DW108)))</f>
        <v>267.99999999999955</v>
      </c>
      <c r="DP109" s="18">
        <f>DO109*VLOOKUP('Données projet'!$B$14,Paramètres!$A$1:$I$89,3,0)*VLOOKUP('Données projet'!$B$14,Paramètres!$A$1:$I$89,5,0)</f>
        <v>288.47519999999952</v>
      </c>
      <c r="DQ109" s="14">
        <f t="shared" si="97"/>
        <v>68.754942080410729</v>
      </c>
      <c r="DR109" s="22">
        <f t="shared" si="70"/>
        <v>622.17583079004783</v>
      </c>
      <c r="DS109" s="60">
        <f t="shared" si="71"/>
        <v>901.16764437817687</v>
      </c>
      <c r="DT109" s="60">
        <f ca="1">AVERAGE(OFFSET($DS$3,0,0,'Données projet'!$E$14+1,1))-AVERAGE(OFFSET($H$3,0,0,'Données projet'!$E$14+1,1))</f>
        <v>543.15812193567342</v>
      </c>
      <c r="DU109" s="60">
        <f t="shared" si="98"/>
        <v>286.40725588660575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2.4358974358974366</v>
      </c>
      <c r="EJ109" s="13">
        <f>IF('Données projet'!$A$192&gt;35,EJ108+EI109-ER108,IF(A109&lt;'Données projet'!$A$192,$EG$205^A109,IF(A109='Données projet'!$A$192,'Données projet'!$B$192,EJ108+EI109-ER108)))</f>
        <v>201.15384615384619</v>
      </c>
      <c r="EK109" s="18">
        <f>EJ109*VLOOKUP('Données projet'!$B$15,Paramètres!$A$1:$I$89,3,0)*VLOOKUP('Données projet'!$B$15,Paramètres!$A$1:$I$89,5,0)</f>
        <v>134.93400000000003</v>
      </c>
      <c r="EL109" s="14">
        <f t="shared" si="99"/>
        <v>35.133978349898335</v>
      </c>
      <c r="EM109" s="22">
        <f t="shared" si="73"/>
        <v>296.2017289594063</v>
      </c>
      <c r="EN109" s="60">
        <f t="shared" si="74"/>
        <v>575.19354254753534</v>
      </c>
      <c r="EO109" s="60">
        <f ca="1">AVERAGE(OFFSET($EN$3,0,0,'Données projet'!$E$15+1,1))-AVERAGE(OFFSET($H$3,0,0,'Données projet'!$E$15+1,1))</f>
        <v>239.52247785001794</v>
      </c>
      <c r="EP109" s="60">
        <f t="shared" si="100"/>
        <v>173.69760199651617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0.18306197393320225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0.18306197393320225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8">
        <f t="shared" si="56"/>
        <v>183.33333333333334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271.99999999999955</v>
      </c>
      <c r="O110" s="14">
        <f>N110*VLOOKUP('Données projet'!$B$9,Paramètres!$A$1:$I$89,3,0)*VLOOKUP('Données projet'!$B$9,Paramètres!$A$1:$I$89,5,0)</f>
        <v>275.80799999999954</v>
      </c>
      <c r="P110" s="14">
        <f t="shared" si="87"/>
        <v>66.080342531440536</v>
      </c>
      <c r="Q110" s="22">
        <f t="shared" si="107"/>
        <v>595.45552990892475</v>
      </c>
      <c r="R110" s="60">
        <f t="shared" si="55"/>
        <v>874.69613680179839</v>
      </c>
      <c r="S110" s="60">
        <f ca="1">AVERAGE(OFFSET($R$3,0,0,'Données projet'!$E$9+1,1))-AVERAGE(OFFSET($H$3,0,0,'Données projet'!$E$9+1,1))</f>
        <v>516.54532596122067</v>
      </c>
      <c r="T110" s="60">
        <f t="shared" si="88"/>
        <v>273.35778700650792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2.5641025641025634</v>
      </c>
      <c r="AI110" s="14">
        <f>IF('Données projet'!$A$62&gt;35,AI109+AH110-AQ109,IF(A110&lt;'Données projet'!$A$62,$AF$205^A110,IF(A110='Données projet'!$A$62,'Données projet'!$B$62,AI109+AH110-AQ109)))</f>
        <v>200.64102564102586</v>
      </c>
      <c r="AJ110" s="14">
        <f>AI110*VLOOKUP('Données projet'!$B$10,Paramètres!$A$1:$I$89,3,0)*VLOOKUP('Données projet'!$B$10,Paramètres!$A$1:$I$89,5,0)</f>
        <v>190.93000000000021</v>
      </c>
      <c r="AK110" s="14">
        <f t="shared" si="89"/>
        <v>47.745504180483728</v>
      </c>
      <c r="AL110" s="22">
        <f t="shared" si="58"/>
        <v>415.69316978100943</v>
      </c>
      <c r="AM110" s="60">
        <f t="shared" si="59"/>
        <v>694.93377667388313</v>
      </c>
      <c r="AN110" s="60">
        <f ca="1">AVERAGE(OFFSET($AM$3,0,0,'Données projet'!$E$10+1,1))-AVERAGE(OFFSET($H$3,0,0,'Données projet'!$E$10+1,1))</f>
        <v>328.36544111680962</v>
      </c>
      <c r="AO110" s="60">
        <f t="shared" si="90"/>
        <v>226.85392900722772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-9.9316821433603781E-14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296.01124173332352</v>
      </c>
      <c r="BJ110" s="60">
        <f t="shared" si="92"/>
        <v>315.50730924873733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-3.7243808037601412E-14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216.42026264996392</v>
      </c>
      <c r="CE110" s="60">
        <f t="shared" si="94"/>
        <v>216.4587454288401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</v>
      </c>
      <c r="CT110" s="13">
        <f>IF('Données projet'!$A$140&gt;35,CT109+CS110-DB109,IF(A110&lt;'Données projet'!$A$140,$CQ$205^A110,IF(A110='Données projet'!$A$140,'Données projet'!$B$140,CT109+CS110-DB109)))</f>
        <v>210.00000000000006</v>
      </c>
      <c r="CU110" s="18">
        <f>CT110*VLOOKUP('Données projet'!$B$13,Paramètres!$A$1:$I$89,3,0)*VLOOKUP('Données projet'!$B$13,Paramètres!$A$1:$I$89,5,0)</f>
        <v>203.11200000000008</v>
      </c>
      <c r="CV110" s="14">
        <f t="shared" si="95"/>
        <v>50.427475336015782</v>
      </c>
      <c r="CW110" s="22">
        <f t="shared" si="67"/>
        <v>441.58125287689427</v>
      </c>
      <c r="CX110" s="60">
        <f t="shared" si="68"/>
        <v>720.82185976976791</v>
      </c>
      <c r="CY110" s="60">
        <f ca="1">AVERAGE(OFFSET($CX$3,0,0,'Données projet'!$E$13+1,1))-AVERAGE(OFFSET($H$3,0,0,'Données projet'!$E$13+1,1))</f>
        <v>385.5283976785621</v>
      </c>
      <c r="CZ110" s="60">
        <f t="shared" si="96"/>
        <v>173.19148969173838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</v>
      </c>
      <c r="DO110" s="13">
        <f>IF('Données projet'!$A$166&gt;35,DO109+DN110-DW109,IF(A110&lt;'Données projet'!$A$166,$DL$205^A110,IF(A110='Données projet'!$A$166,'Données projet'!$B$166,DO109+DN110-DW109)))</f>
        <v>271.99999999999955</v>
      </c>
      <c r="DP110" s="18">
        <f>DO110*VLOOKUP('Données projet'!$B$14,Paramètres!$A$1:$I$89,3,0)*VLOOKUP('Données projet'!$B$14,Paramètres!$A$1:$I$89,5,0)</f>
        <v>292.78079999999949</v>
      </c>
      <c r="DQ110" s="14">
        <f t="shared" si="97"/>
        <v>69.660903052386161</v>
      </c>
      <c r="DR110" s="22">
        <f t="shared" si="70"/>
        <v>631.25263281623836</v>
      </c>
      <c r="DS110" s="60">
        <f t="shared" si="71"/>
        <v>910.493239709112</v>
      </c>
      <c r="DT110" s="60">
        <f ca="1">AVERAGE(OFFSET($DS$3,0,0,'Données projet'!$E$14+1,1))-AVERAGE(OFFSET($H$3,0,0,'Données projet'!$E$14+1,1))</f>
        <v>543.15812193567342</v>
      </c>
      <c r="DU110" s="60">
        <f t="shared" si="98"/>
        <v>286.40725588660575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2.4358974358974366</v>
      </c>
      <c r="EJ110" s="13">
        <f>IF('Données projet'!$A$192&gt;35,EJ109+EI110-ER109,IF(A110&lt;'Données projet'!$A$192,$EG$205^A110,IF(A110='Données projet'!$A$192,'Données projet'!$B$192,EJ109+EI110-ER109)))</f>
        <v>203.58974358974362</v>
      </c>
      <c r="EK110" s="18">
        <f>EJ110*VLOOKUP('Données projet'!$B$15,Paramètres!$A$1:$I$89,3,0)*VLOOKUP('Données projet'!$B$15,Paramètres!$A$1:$I$89,5,0)</f>
        <v>136.56800000000001</v>
      </c>
      <c r="EL110" s="14">
        <f t="shared" si="99"/>
        <v>35.509650391805792</v>
      </c>
      <c r="EM110" s="22">
        <f t="shared" si="73"/>
        <v>299.70190776572844</v>
      </c>
      <c r="EN110" s="60">
        <f t="shared" si="74"/>
        <v>578.94251465860202</v>
      </c>
      <c r="EO110" s="60">
        <f ca="1">AVERAGE(OFFSET($EN$3,0,0,'Données projet'!$E$15+1,1))-AVERAGE(OFFSET($H$3,0,0,'Données projet'!$E$15+1,1))</f>
        <v>239.52247785001794</v>
      </c>
      <c r="EP110" s="60">
        <f t="shared" si="100"/>
        <v>173.69760199651617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0.17805613462918801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0.17805613462918801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8">
        <f t="shared" si="56"/>
        <v>183.33333333333334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275.99999999999955</v>
      </c>
      <c r="O111" s="14">
        <f>N111*VLOOKUP('Données projet'!$B$9,Paramètres!$A$1:$I$89,3,0)*VLOOKUP('Données projet'!$B$9,Paramètres!$A$1:$I$89,5,0)</f>
        <v>279.86399999999958</v>
      </c>
      <c r="P111" s="14">
        <f t="shared" si="87"/>
        <v>66.93826735896495</v>
      </c>
      <c r="Q111" s="22">
        <f t="shared" si="107"/>
        <v>604.01394898352987</v>
      </c>
      <c r="R111" s="60">
        <f t="shared" si="55"/>
        <v>883.49903317352914</v>
      </c>
      <c r="S111" s="60">
        <f ca="1">AVERAGE(OFFSET($R$3,0,0,'Données projet'!$E$9+1,1))-AVERAGE(OFFSET($H$3,0,0,'Données projet'!$E$9+1,1))</f>
        <v>516.54532596122067</v>
      </c>
      <c r="T111" s="60">
        <f t="shared" si="88"/>
        <v>273.35778700650792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2.5641025641025634</v>
      </c>
      <c r="AI111" s="14">
        <f>IF('Données projet'!$A$62&gt;35,AI110+AH111-AQ110,IF(A111&lt;'Données projet'!$A$62,$AF$205^A111,IF(A111='Données projet'!$A$62,'Données projet'!$B$62,AI110+AH111-AQ110)))</f>
        <v>203.20512820512843</v>
      </c>
      <c r="AJ111" s="14">
        <f>AI111*VLOOKUP('Données projet'!$B$10,Paramètres!$A$1:$I$89,3,0)*VLOOKUP('Données projet'!$B$10,Paramètres!$A$1:$I$89,5,0)</f>
        <v>193.37000000000023</v>
      </c>
      <c r="AK111" s="14">
        <f t="shared" si="89"/>
        <v>48.284247919834108</v>
      </c>
      <c r="AL111" s="22">
        <f t="shared" si="58"/>
        <v>420.88114846037814</v>
      </c>
      <c r="AM111" s="60">
        <f t="shared" si="59"/>
        <v>700.36623265037747</v>
      </c>
      <c r="AN111" s="60">
        <f ca="1">AVERAGE(OFFSET($AM$3,0,0,'Données projet'!$E$10+1,1))-AVERAGE(OFFSET($H$3,0,0,'Données projet'!$E$10+1,1))</f>
        <v>328.36544111680962</v>
      </c>
      <c r="AO111" s="60">
        <f t="shared" si="90"/>
        <v>226.85392900722772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-9.9316821433603781E-14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296.01124173332352</v>
      </c>
      <c r="BJ111" s="60">
        <f t="shared" si="92"/>
        <v>315.50730924873733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-3.7243808037601412E-14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216.42026264996392</v>
      </c>
      <c r="CE111" s="60">
        <f t="shared" si="94"/>
        <v>216.4587454288401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</v>
      </c>
      <c r="CT111" s="13">
        <f>IF('Données projet'!$A$140&gt;35,CT110+CS111-DB110,IF(A111&lt;'Données projet'!$A$140,$CQ$205^A111,IF(A111='Données projet'!$A$140,'Données projet'!$B$140,CT110+CS111-DB110)))</f>
        <v>213.00000000000006</v>
      </c>
      <c r="CU111" s="18">
        <f>CT111*VLOOKUP('Données projet'!$B$13,Paramètres!$A$1:$I$89,3,0)*VLOOKUP('Données projet'!$B$13,Paramètres!$A$1:$I$89,5,0)</f>
        <v>206.01360000000005</v>
      </c>
      <c r="CV111" s="14">
        <f t="shared" si="95"/>
        <v>51.063487709141484</v>
      </c>
      <c r="CW111" s="22">
        <f t="shared" si="67"/>
        <v>447.74259442675481</v>
      </c>
      <c r="CX111" s="60">
        <f t="shared" si="68"/>
        <v>727.22767861675413</v>
      </c>
      <c r="CY111" s="60">
        <f ca="1">AVERAGE(OFFSET($CX$3,0,0,'Données projet'!$E$13+1,1))-AVERAGE(OFFSET($H$3,0,0,'Données projet'!$E$13+1,1))</f>
        <v>385.5283976785621</v>
      </c>
      <c r="CZ111" s="60">
        <f t="shared" si="96"/>
        <v>173.19148969173838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</v>
      </c>
      <c r="DO111" s="13">
        <f>IF('Données projet'!$A$166&gt;35,DO110+DN111-DW110,IF(A111&lt;'Données projet'!$A$166,$DL$205^A111,IF(A111='Données projet'!$A$166,'Données projet'!$B$166,DO110+DN111-DW110)))</f>
        <v>275.99999999999955</v>
      </c>
      <c r="DP111" s="18">
        <f>DO111*VLOOKUP('Données projet'!$B$14,Paramètres!$A$1:$I$89,3,0)*VLOOKUP('Données projet'!$B$14,Paramètres!$A$1:$I$89,5,0)</f>
        <v>297.08639999999951</v>
      </c>
      <c r="DQ111" s="14">
        <f t="shared" si="97"/>
        <v>70.565314499829526</v>
      </c>
      <c r="DR111" s="22">
        <f t="shared" si="70"/>
        <v>640.32673608720222</v>
      </c>
      <c r="DS111" s="60">
        <f t="shared" si="71"/>
        <v>919.8118202772016</v>
      </c>
      <c r="DT111" s="60">
        <f ca="1">AVERAGE(OFFSET($DS$3,0,0,'Données projet'!$E$14+1,1))-AVERAGE(OFFSET($H$3,0,0,'Données projet'!$E$14+1,1))</f>
        <v>543.15812193567342</v>
      </c>
      <c r="DU111" s="60">
        <f t="shared" si="98"/>
        <v>286.40725588660575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2.4358974358974366</v>
      </c>
      <c r="EJ111" s="13">
        <f>IF('Données projet'!$A$192&gt;35,EJ110+EI111-ER110,IF(A111&lt;'Données projet'!$A$192,$EG$205^A111,IF(A111='Données projet'!$A$192,'Données projet'!$B$192,EJ110+EI111-ER110)))</f>
        <v>206.02564102564105</v>
      </c>
      <c r="EK111" s="18">
        <f>EJ111*VLOOKUP('Données projet'!$B$15,Paramètres!$A$1:$I$89,3,0)*VLOOKUP('Données projet'!$B$15,Paramètres!$A$1:$I$89,5,0)</f>
        <v>138.20200000000003</v>
      </c>
      <c r="EL111" s="14">
        <f t="shared" si="99"/>
        <v>35.884799588024144</v>
      </c>
      <c r="EM111" s="22">
        <f t="shared" si="73"/>
        <v>303.20117594914205</v>
      </c>
      <c r="EN111" s="60">
        <f t="shared" si="74"/>
        <v>582.68626013914138</v>
      </c>
      <c r="EO111" s="60">
        <f ca="1">AVERAGE(OFFSET($EN$3,0,0,'Données projet'!$E$15+1,1))-AVERAGE(OFFSET($H$3,0,0,'Données projet'!$E$15+1,1))</f>
        <v>239.52247785001794</v>
      </c>
      <c r="EP111" s="60">
        <f t="shared" si="100"/>
        <v>173.69760199651617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0.1731871802641877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0.1731871802641877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8">
        <f t="shared" si="56"/>
        <v>183.33333333333334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279.99999999999955</v>
      </c>
      <c r="O112" s="14">
        <f>N112*VLOOKUP('Données projet'!$B$9,Paramètres!$A$1:$I$89,3,0)*VLOOKUP('Données projet'!$B$9,Paramètres!$A$1:$I$89,5,0)</f>
        <v>283.91999999999956</v>
      </c>
      <c r="P112" s="14">
        <f t="shared" si="87"/>
        <v>67.794746071143507</v>
      </c>
      <c r="Q112" s="22">
        <f t="shared" si="107"/>
        <v>612.56984940724078</v>
      </c>
      <c r="R112" s="60">
        <f t="shared" si="55"/>
        <v>892.29516975983006</v>
      </c>
      <c r="S112" s="60">
        <f ca="1">AVERAGE(OFFSET($R$3,0,0,'Données projet'!$E$9+1,1))-AVERAGE(OFFSET($H$3,0,0,'Données projet'!$E$9+1,1))</f>
        <v>516.54532596122067</v>
      </c>
      <c r="T112" s="60">
        <f t="shared" si="88"/>
        <v>273.35778700650792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2.5641025641025634</v>
      </c>
      <c r="AI112" s="14">
        <f>IF('Données projet'!$A$62&gt;35,AI111+AH112-AQ111,IF(A112&lt;'Données projet'!$A$62,$AF$205^A112,IF(A112='Données projet'!$A$62,'Données projet'!$B$62,AI111+AH112-AQ111)))</f>
        <v>205.769230769231</v>
      </c>
      <c r="AJ112" s="14">
        <f>AI112*VLOOKUP('Données projet'!$B$10,Paramètres!$A$1:$I$89,3,0)*VLOOKUP('Données projet'!$B$10,Paramètres!$A$1:$I$89,5,0)</f>
        <v>195.8100000000002</v>
      </c>
      <c r="AK112" s="14">
        <f t="shared" si="89"/>
        <v>48.822200927333391</v>
      </c>
      <c r="AL112" s="22">
        <f t="shared" si="58"/>
        <v>426.06774994843931</v>
      </c>
      <c r="AM112" s="60">
        <f t="shared" si="59"/>
        <v>705.79307030102859</v>
      </c>
      <c r="AN112" s="60">
        <f ca="1">AVERAGE(OFFSET($AM$3,0,0,'Données projet'!$E$10+1,1))-AVERAGE(OFFSET($H$3,0,0,'Données projet'!$E$10+1,1))</f>
        <v>328.36544111680962</v>
      </c>
      <c r="AO112" s="60">
        <f t="shared" si="90"/>
        <v>226.85392900722772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-9.9316821433603781E-14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296.01124173332352</v>
      </c>
      <c r="BJ112" s="60">
        <f t="shared" si="92"/>
        <v>315.50730924873733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-3.7243808037601412E-14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216.42026264996392</v>
      </c>
      <c r="CE112" s="60">
        <f t="shared" si="94"/>
        <v>216.4587454288401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</v>
      </c>
      <c r="CT112" s="13">
        <f>IF('Données projet'!$A$140&gt;35,CT111+CS112-DB111,IF(A112&lt;'Données projet'!$A$140,$CQ$205^A112,IF(A112='Données projet'!$A$140,'Données projet'!$B$140,CT111+CS112-DB111)))</f>
        <v>216.00000000000006</v>
      </c>
      <c r="CU112" s="18">
        <f>CT112*VLOOKUP('Données projet'!$B$13,Paramètres!$A$1:$I$89,3,0)*VLOOKUP('Données projet'!$B$13,Paramètres!$A$1:$I$89,5,0)</f>
        <v>208.91520000000008</v>
      </c>
      <c r="CV112" s="14">
        <f t="shared" si="95"/>
        <v>51.698458198123369</v>
      </c>
      <c r="CW112" s="22">
        <f t="shared" si="67"/>
        <v>453.90212136173164</v>
      </c>
      <c r="CX112" s="60">
        <f t="shared" si="68"/>
        <v>733.62744171432087</v>
      </c>
      <c r="CY112" s="60">
        <f ca="1">AVERAGE(OFFSET($CX$3,0,0,'Données projet'!$E$13+1,1))-AVERAGE(OFFSET($H$3,0,0,'Données projet'!$E$13+1,1))</f>
        <v>385.5283976785621</v>
      </c>
      <c r="CZ112" s="60">
        <f t="shared" si="96"/>
        <v>173.19148969173838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</v>
      </c>
      <c r="DO112" s="13">
        <f>IF('Données projet'!$A$166&gt;35,DO111+DN112-DW111,IF(A112&lt;'Données projet'!$A$166,$DL$205^A112,IF(A112='Données projet'!$A$166,'Données projet'!$B$166,DO111+DN112-DW111)))</f>
        <v>279.99999999999955</v>
      </c>
      <c r="DP112" s="18">
        <f>DO112*VLOOKUP('Données projet'!$B$14,Paramètres!$A$1:$I$89,3,0)*VLOOKUP('Données projet'!$B$14,Paramètres!$A$1:$I$89,5,0)</f>
        <v>301.39199999999948</v>
      </c>
      <c r="DQ112" s="14">
        <f t="shared" si="97"/>
        <v>71.468201474229161</v>
      </c>
      <c r="DR112" s="22">
        <f t="shared" si="70"/>
        <v>649.39818423428153</v>
      </c>
      <c r="DS112" s="60">
        <f t="shared" si="71"/>
        <v>929.12350458687081</v>
      </c>
      <c r="DT112" s="60">
        <f ca="1">AVERAGE(OFFSET($DS$3,0,0,'Données projet'!$E$14+1,1))-AVERAGE(OFFSET($H$3,0,0,'Données projet'!$E$14+1,1))</f>
        <v>543.15812193567342</v>
      </c>
      <c r="DU112" s="60">
        <f t="shared" si="98"/>
        <v>286.40725588660575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2.4358974358974366</v>
      </c>
      <c r="EJ112" s="13">
        <f>IF('Données projet'!$A$192&gt;35,EJ111+EI112-ER111,IF(A112&lt;'Données projet'!$A$192,$EG$205^A112,IF(A112='Données projet'!$A$192,'Données projet'!$B$192,EJ111+EI112-ER111)))</f>
        <v>208.46153846153848</v>
      </c>
      <c r="EK112" s="18">
        <f>EJ112*VLOOKUP('Données projet'!$B$15,Paramètres!$A$1:$I$89,3,0)*VLOOKUP('Données projet'!$B$15,Paramètres!$A$1:$I$89,5,0)</f>
        <v>139.83600000000001</v>
      </c>
      <c r="EL112" s="14">
        <f t="shared" si="99"/>
        <v>36.259432835432534</v>
      </c>
      <c r="EM112" s="22">
        <f t="shared" si="73"/>
        <v>306.69954552171168</v>
      </c>
      <c r="EN112" s="60">
        <f t="shared" si="74"/>
        <v>586.42486587430096</v>
      </c>
      <c r="EO112" s="60">
        <f ca="1">AVERAGE(OFFSET($EN$3,0,0,'Données projet'!$E$15+1,1))-AVERAGE(OFFSET($H$3,0,0,'Données projet'!$E$15+1,1))</f>
        <v>239.52247785001794</v>
      </c>
      <c r="EP112" s="60">
        <f t="shared" si="100"/>
        <v>173.69760199651617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0.16845136771234551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0.16845136771234551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8">
        <f t="shared" si="56"/>
        <v>183.33333333333334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283.99999999999955</v>
      </c>
      <c r="O113" s="14">
        <f>N113*VLOOKUP('Données projet'!$B$9,Paramètres!$A$1:$I$89,3,0)*VLOOKUP('Données projet'!$B$9,Paramètres!$A$1:$I$89,5,0)</f>
        <v>287.97599999999954</v>
      </c>
      <c r="P113" s="14">
        <f t="shared" si="87"/>
        <v>68.649801713863027</v>
      </c>
      <c r="Q113" s="22">
        <f t="shared" si="107"/>
        <v>621.12327131831069</v>
      </c>
      <c r="R113" s="60">
        <f t="shared" si="55"/>
        <v>901.08466027315649</v>
      </c>
      <c r="S113" s="60">
        <f ca="1">AVERAGE(OFFSET($R$3,0,0,'Données projet'!$E$9+1,1))-AVERAGE(OFFSET($H$3,0,0,'Données projet'!$E$9+1,1))</f>
        <v>516.54532596122067</v>
      </c>
      <c r="T113" s="60">
        <f t="shared" si="88"/>
        <v>273.35778700650792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208.33333333333331</v>
      </c>
      <c r="AG113" s="13">
        <f>VLOOKUP(A113,'Données projet'!$A$61:$I$81,9,0)</f>
        <v>2.5641025641025634</v>
      </c>
      <c r="AH113" s="13">
        <f t="array" ref="AH113">INDEX(AG:AG,MIN(IF(ISNUMBER(AG113:AG309),ROW(AG113:AG309),"")))</f>
        <v>2.5641025641025634</v>
      </c>
      <c r="AI113" s="14">
        <f>IF('Données projet'!$A$62&gt;35,AI112+AH113-AQ112,IF(A113&lt;'Données projet'!$A$62,$AF$205^A113,IF(A113='Données projet'!$A$62,'Données projet'!$B$62,AI112+AH113-AQ112)))</f>
        <v>208.33333333333357</v>
      </c>
      <c r="AJ113" s="14">
        <f>AI113*VLOOKUP('Données projet'!$B$10,Paramètres!$A$1:$I$89,3,0)*VLOOKUP('Données projet'!$B$10,Paramètres!$A$1:$I$89,5,0)</f>
        <v>198.25000000000023</v>
      </c>
      <c r="AK113" s="14">
        <f t="shared" si="89"/>
        <v>49.359374195866877</v>
      </c>
      <c r="AL113" s="22">
        <f t="shared" si="58"/>
        <v>431.25299339113513</v>
      </c>
      <c r="AM113" s="60">
        <f t="shared" si="59"/>
        <v>711.21438234598099</v>
      </c>
      <c r="AN113" s="60">
        <f ca="1">AVERAGE(OFFSET($AM$3,0,0,'Données projet'!$E$10+1,1))-AVERAGE(OFFSET($H$3,0,0,'Données projet'!$E$10+1,1))</f>
        <v>328.36544111680962</v>
      </c>
      <c r="AO113" s="60">
        <f t="shared" si="90"/>
        <v>226.85392900722772</v>
      </c>
      <c r="AP113" s="16">
        <f>IF(ISNA(VLOOKUP(A113,'Données projet'!$A$61:$I$81,3,0)),0,VLOOKUP(A113,'Données projet'!$A$61:$I$81,3,0))</f>
        <v>10</v>
      </c>
      <c r="AQ113" s="16">
        <f>IF(ISNA(VLOOKUP(A113,'Données projet'!$A$61:$I$81,4,0)),0,VLOOKUP(A113,'Données projet'!$A$61:$I$81,4,0))</f>
        <v>18.589743589743588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-9.9316821433603781E-14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296.01124173332352</v>
      </c>
      <c r="BJ113" s="60">
        <f t="shared" si="92"/>
        <v>315.50730924873733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-3.7243808037601412E-14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216.42026264996392</v>
      </c>
      <c r="CE113" s="60">
        <f t="shared" si="94"/>
        <v>216.4587454288401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3</v>
      </c>
      <c r="CT113" s="13">
        <f>IF('Données projet'!$A$140&gt;35,CT112+CS113-DB112,IF(A113&lt;'Données projet'!$A$140,$CQ$205^A113,IF(A113='Données projet'!$A$140,'Données projet'!$B$140,CT112+CS113-DB112)))</f>
        <v>219.00000000000006</v>
      </c>
      <c r="CU113" s="18">
        <f>CT113*VLOOKUP('Données projet'!$B$13,Paramètres!$A$1:$I$89,3,0)*VLOOKUP('Données projet'!$B$13,Paramètres!$A$1:$I$89,5,0)</f>
        <v>211.81680000000006</v>
      </c>
      <c r="CV113" s="14">
        <f t="shared" si="95"/>
        <v>52.332402945946832</v>
      </c>
      <c r="CW113" s="22">
        <f t="shared" si="67"/>
        <v>460.05986179752421</v>
      </c>
      <c r="CX113" s="60">
        <f t="shared" si="68"/>
        <v>740.02125075237007</v>
      </c>
      <c r="CY113" s="60">
        <f ca="1">AVERAGE(OFFSET($CX$3,0,0,'Données projet'!$E$13+1,1))-AVERAGE(OFFSET($H$3,0,0,'Données projet'!$E$13+1,1))</f>
        <v>385.5283976785621</v>
      </c>
      <c r="CZ113" s="60">
        <f t="shared" si="96"/>
        <v>173.19148969173838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4</v>
      </c>
      <c r="DO113" s="13">
        <f>IF('Données projet'!$A$166&gt;35,DO112+DN113-DW112,IF(A113&lt;'Données projet'!$A$166,$DL$205^A113,IF(A113='Données projet'!$A$166,'Données projet'!$B$166,DO112+DN113-DW112)))</f>
        <v>283.99999999999955</v>
      </c>
      <c r="DP113" s="18">
        <f>DO113*VLOOKUP('Données projet'!$B$14,Paramètres!$A$1:$I$89,3,0)*VLOOKUP('Données projet'!$B$14,Paramètres!$A$1:$I$89,5,0)</f>
        <v>305.69759999999951</v>
      </c>
      <c r="DQ113" s="14">
        <f t="shared" si="97"/>
        <v>72.36958827021229</v>
      </c>
      <c r="DR113" s="22">
        <f t="shared" si="70"/>
        <v>658.46701957061885</v>
      </c>
      <c r="DS113" s="60">
        <f t="shared" si="71"/>
        <v>938.42840852546465</v>
      </c>
      <c r="DT113" s="60">
        <f ca="1">AVERAGE(OFFSET($DS$3,0,0,'Données projet'!$E$14+1,1))-AVERAGE(OFFSET($H$3,0,0,'Données projet'!$E$14+1,1))</f>
        <v>543.15812193567342</v>
      </c>
      <c r="DU113" s="60">
        <f t="shared" si="98"/>
        <v>286.40725588660575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210.89743589743588</v>
      </c>
      <c r="EH113" s="13">
        <f>VLOOKUP(A113,'Données projet'!$A$191:$I$211,9,0)</f>
        <v>2.4358974358974366</v>
      </c>
      <c r="EI113" s="13">
        <f t="array" ref="EI113">INDEX(EH:EH,MIN(IF(ISNUMBER(EH113:EH309),ROW(EH113:EH309),"")))</f>
        <v>2.4358974358974366</v>
      </c>
      <c r="EJ113" s="13">
        <f>IF('Données projet'!$A$192&gt;35,EJ112+EI113-ER112,IF(A113&lt;'Données projet'!$A$192,$EG$205^A113,IF(A113='Données projet'!$A$192,'Données projet'!$B$192,EJ112+EI113-ER112)))</f>
        <v>210.89743589743591</v>
      </c>
      <c r="EK113" s="18">
        <f>EJ113*VLOOKUP('Données projet'!$B$15,Paramètres!$A$1:$I$89,3,0)*VLOOKUP('Données projet'!$B$15,Paramètres!$A$1:$I$89,5,0)</f>
        <v>141.47000000000003</v>
      </c>
      <c r="EL113" s="14">
        <f t="shared" si="99"/>
        <v>36.633556860452131</v>
      </c>
      <c r="EM113" s="22">
        <f t="shared" si="73"/>
        <v>310.19702819862084</v>
      </c>
      <c r="EN113" s="60">
        <f t="shared" si="74"/>
        <v>590.15841715346664</v>
      </c>
      <c r="EO113" s="60">
        <f ca="1">AVERAGE(OFFSET($EN$3,0,0,'Données projet'!$E$15+1,1))-AVERAGE(OFFSET($H$3,0,0,'Données projet'!$E$15+1,1))</f>
        <v>239.52247785001794</v>
      </c>
      <c r="EP113" s="60">
        <f t="shared" si="100"/>
        <v>173.69760199651617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210.89743589743588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0.16384505620377898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0.16384505620377898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8">
        <f t="shared" si="56"/>
        <v>183.33333333333334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287.99999999999955</v>
      </c>
      <c r="O114" s="14">
        <f>N114*VLOOKUP('Données projet'!$B$9,Paramètres!$A$1:$I$89,3,0)*VLOOKUP('Données projet'!$B$9,Paramètres!$A$1:$I$89,5,0)</f>
        <v>292.03199999999953</v>
      </c>
      <c r="P114" s="14">
        <f t="shared" si="87"/>
        <v>69.503456646543185</v>
      </c>
      <c r="Q114" s="22">
        <f t="shared" si="107"/>
        <v>629.67425365939516</v>
      </c>
      <c r="R114" s="60">
        <f t="shared" si="55"/>
        <v>909.86761595401867</v>
      </c>
      <c r="S114" s="60">
        <f ca="1">AVERAGE(OFFSET($R$3,0,0,'Données projet'!$E$9+1,1))-AVERAGE(OFFSET($H$3,0,0,'Données projet'!$E$9+1,1))</f>
        <v>516.54532596122067</v>
      </c>
      <c r="T114" s="60">
        <f t="shared" si="88"/>
        <v>273.35778700650792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2.4358974358974366</v>
      </c>
      <c r="AI114" s="14">
        <f>IF('Données projet'!$A$62&gt;35,AI113+AH114-AQ113,IF(A114&lt;'Données projet'!$A$62,$AF$205^A114,IF(A114='Données projet'!$A$62,'Données projet'!$B$62,AI113+AH114-AQ113)))</f>
        <v>192.17948717948741</v>
      </c>
      <c r="AJ114" s="14">
        <f>AI114*VLOOKUP('Données projet'!$B$10,Paramètres!$A$1:$I$89,3,0)*VLOOKUP('Données projet'!$B$10,Paramètres!$A$1:$I$89,5,0)</f>
        <v>182.87800000000024</v>
      </c>
      <c r="AK114" s="14">
        <f t="shared" si="89"/>
        <v>45.96189582294447</v>
      </c>
      <c r="AL114" s="22">
        <f t="shared" si="58"/>
        <v>398.56281855829531</v>
      </c>
      <c r="AM114" s="60">
        <f t="shared" si="59"/>
        <v>678.75618085291887</v>
      </c>
      <c r="AN114" s="60">
        <f ca="1">AVERAGE(OFFSET($AM$3,0,0,'Données projet'!$E$10+1,1))-AVERAGE(OFFSET($H$3,0,0,'Données projet'!$E$10+1,1))</f>
        <v>328.36544111680962</v>
      </c>
      <c r="AO114" s="60">
        <f t="shared" si="90"/>
        <v>226.85392900722772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-9.9316821433603781E-14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296.01124173332352</v>
      </c>
      <c r="BJ114" s="60">
        <f t="shared" si="92"/>
        <v>315.50730924873733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-3.7243808037601412E-14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216.42026264996392</v>
      </c>
      <c r="CE114" s="60">
        <f t="shared" si="94"/>
        <v>216.4587454288401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</v>
      </c>
      <c r="CT114" s="13">
        <f>IF('Données projet'!$A$140&gt;35,CT113+CS114-DB113,IF(A114&lt;'Données projet'!$A$140,$CQ$205^A114,IF(A114='Données projet'!$A$140,'Données projet'!$B$140,CT113+CS114-DB113)))</f>
        <v>222.00000000000006</v>
      </c>
      <c r="CU114" s="18">
        <f>CT114*VLOOKUP('Données projet'!$B$13,Paramètres!$A$1:$I$89,3,0)*VLOOKUP('Données projet'!$B$13,Paramètres!$A$1:$I$89,5,0)</f>
        <v>214.71840000000009</v>
      </c>
      <c r="CV114" s="14">
        <f t="shared" si="95"/>
        <v>52.965337627912746</v>
      </c>
      <c r="CW114" s="22">
        <f t="shared" si="67"/>
        <v>466.21584303528147</v>
      </c>
      <c r="CX114" s="60">
        <f t="shared" si="68"/>
        <v>746.40920532990503</v>
      </c>
      <c r="CY114" s="60">
        <f ca="1">AVERAGE(OFFSET($CX$3,0,0,'Données projet'!$E$13+1,1))-AVERAGE(OFFSET($H$3,0,0,'Données projet'!$E$13+1,1))</f>
        <v>385.5283976785621</v>
      </c>
      <c r="CZ114" s="60">
        <f t="shared" si="96"/>
        <v>173.19148969173838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4</v>
      </c>
      <c r="DO114" s="13">
        <f>IF('Données projet'!$A$166&gt;35,DO113+DN114-DW113,IF(A114&lt;'Données projet'!$A$166,$DL$205^A114,IF(A114='Données projet'!$A$166,'Données projet'!$B$166,DO113+DN114-DW113)))</f>
        <v>287.99999999999955</v>
      </c>
      <c r="DP114" s="18">
        <f>DO114*VLOOKUP('Données projet'!$B$14,Paramètres!$A$1:$I$89,3,0)*VLOOKUP('Données projet'!$B$14,Paramètres!$A$1:$I$89,5,0)</f>
        <v>310.00319999999948</v>
      </c>
      <c r="DQ114" s="14">
        <f t="shared" si="97"/>
        <v>73.269498458742731</v>
      </c>
      <c r="DR114" s="22">
        <f t="shared" si="70"/>
        <v>667.5332831489759</v>
      </c>
      <c r="DS114" s="60">
        <f t="shared" si="71"/>
        <v>947.72664544359941</v>
      </c>
      <c r="DT114" s="60">
        <f ca="1">AVERAGE(OFFSET($DS$3,0,0,'Données projet'!$E$14+1,1))-AVERAGE(OFFSET($H$3,0,0,'Données projet'!$E$14+1,1))</f>
        <v>543.15812193567342</v>
      </c>
      <c r="DU114" s="60">
        <f t="shared" si="98"/>
        <v>286.40725588660575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2.8421709430404007E-14</v>
      </c>
      <c r="EK114" s="18">
        <f>EJ114*VLOOKUP('Données projet'!$B$15,Paramètres!$A$1:$I$89,3,0)*VLOOKUP('Données projet'!$B$15,Paramètres!$A$1:$I$89,5,0)</f>
        <v>1.906528268591501E-14</v>
      </c>
      <c r="EL114" s="14">
        <f t="shared" si="99"/>
        <v>3.473561557570726E-13</v>
      </c>
      <c r="EM114" s="22">
        <f t="shared" si="73"/>
        <v>6.3818400528820342E-13</v>
      </c>
      <c r="EN114" s="60">
        <f t="shared" si="74"/>
        <v>280.19336229462419</v>
      </c>
      <c r="EO114" s="60">
        <f ca="1">AVERAGE(OFFSET($EN$3,0,0,'Données projet'!$E$15+1,1))-AVERAGE(OFFSET($H$3,0,0,'Données projet'!$E$15+1,1))</f>
        <v>239.52247785001794</v>
      </c>
      <c r="EP114" s="60">
        <f t="shared" si="100"/>
        <v>173.69760199651617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0.1593647045256496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0.1593647045256496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8">
        <f t="shared" si="56"/>
        <v>183.33333333333334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291.99999999999955</v>
      </c>
      <c r="O115" s="14">
        <f>N115*VLOOKUP('Données projet'!$B$9,Paramètres!$A$1:$I$89,3,0)*VLOOKUP('Données projet'!$B$9,Paramètres!$A$1:$I$89,5,0)</f>
        <v>296.08799999999957</v>
      </c>
      <c r="P115" s="14">
        <f t="shared" si="87"/>
        <v>70.35573257182898</v>
      </c>
      <c r="Q115" s="22">
        <f t="shared" si="107"/>
        <v>638.22283422926796</v>
      </c>
      <c r="R115" s="60">
        <f t="shared" si="55"/>
        <v>918.64414564483877</v>
      </c>
      <c r="S115" s="60">
        <f ca="1">AVERAGE(OFFSET($R$3,0,0,'Données projet'!$E$9+1,1))-AVERAGE(OFFSET($H$3,0,0,'Données projet'!$E$9+1,1))</f>
        <v>516.54532596122067</v>
      </c>
      <c r="T115" s="60">
        <f t="shared" si="88"/>
        <v>273.35778700650792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2.4358974358974366</v>
      </c>
      <c r="AI115" s="14">
        <f>IF('Données projet'!$A$62&gt;35,AI114+AH115-AQ114,IF(A115&lt;'Données projet'!$A$62,$AF$205^A115,IF(A115='Données projet'!$A$62,'Données projet'!$B$62,AI114+AH115-AQ114)))</f>
        <v>194.61538461538484</v>
      </c>
      <c r="AJ115" s="14">
        <f>AI115*VLOOKUP('Données projet'!$B$10,Paramètres!$A$1:$I$89,3,0)*VLOOKUP('Données projet'!$B$10,Paramètres!$A$1:$I$89,5,0)</f>
        <v>185.19600000000023</v>
      </c>
      <c r="AK115" s="14">
        <f t="shared" si="89"/>
        <v>46.476278835765179</v>
      </c>
      <c r="AL115" s="22">
        <f t="shared" si="58"/>
        <v>403.49588563895804</v>
      </c>
      <c r="AM115" s="60">
        <f t="shared" si="59"/>
        <v>683.91719705452897</v>
      </c>
      <c r="AN115" s="60">
        <f ca="1">AVERAGE(OFFSET($AM$3,0,0,'Données projet'!$E$10+1,1))-AVERAGE(OFFSET($H$3,0,0,'Données projet'!$E$10+1,1))</f>
        <v>328.36544111680962</v>
      </c>
      <c r="AO115" s="60">
        <f t="shared" si="90"/>
        <v>226.85392900722772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-9.9316821433603781E-14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296.01124173332352</v>
      </c>
      <c r="BJ115" s="60">
        <f t="shared" si="92"/>
        <v>315.50730924873733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-3.7243808037601412E-14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216.42026264996392</v>
      </c>
      <c r="CE115" s="60">
        <f t="shared" si="94"/>
        <v>216.4587454288401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</v>
      </c>
      <c r="CT115" s="13">
        <f>IF('Données projet'!$A$140&gt;35,CT114+CS115-DB114,IF(A115&lt;'Données projet'!$A$140,$CQ$205^A115,IF(A115='Données projet'!$A$140,'Données projet'!$B$140,CT114+CS115-DB114)))</f>
        <v>225.00000000000006</v>
      </c>
      <c r="CU115" s="18">
        <f>CT115*VLOOKUP('Données projet'!$B$13,Paramètres!$A$1:$I$89,3,0)*VLOOKUP('Données projet'!$B$13,Paramètres!$A$1:$I$89,5,0)</f>
        <v>217.62000000000006</v>
      </c>
      <c r="CV115" s="14">
        <f t="shared" si="95"/>
        <v>53.597277471320098</v>
      </c>
      <c r="CW115" s="22">
        <f t="shared" si="67"/>
        <v>472.37009159588257</v>
      </c>
      <c r="CX115" s="60">
        <f t="shared" si="68"/>
        <v>752.79140301145344</v>
      </c>
      <c r="CY115" s="60">
        <f ca="1">AVERAGE(OFFSET($CX$3,0,0,'Données projet'!$E$13+1,1))-AVERAGE(OFFSET($H$3,0,0,'Données projet'!$E$13+1,1))</f>
        <v>385.5283976785621</v>
      </c>
      <c r="CZ115" s="60">
        <f t="shared" si="96"/>
        <v>173.19148969173838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4</v>
      </c>
      <c r="DO115" s="13">
        <f>IF('Données projet'!$A$166&gt;35,DO114+DN115-DW114,IF(A115&lt;'Données projet'!$A$166,$DL$205^A115,IF(A115='Données projet'!$A$166,'Données projet'!$B$166,DO114+DN115-DW114)))</f>
        <v>291.99999999999955</v>
      </c>
      <c r="DP115" s="18">
        <f>DO115*VLOOKUP('Données projet'!$B$14,Paramètres!$A$1:$I$89,3,0)*VLOOKUP('Données projet'!$B$14,Paramètres!$A$1:$I$89,5,0)</f>
        <v>314.30879999999951</v>
      </c>
      <c r="DQ115" s="14">
        <f t="shared" si="97"/>
        <v>74.167954918422311</v>
      </c>
      <c r="DR115" s="22">
        <f t="shared" si="70"/>
        <v>676.59701481625132</v>
      </c>
      <c r="DS115" s="60">
        <f t="shared" si="71"/>
        <v>957.01832623182213</v>
      </c>
      <c r="DT115" s="60">
        <f ca="1">AVERAGE(OFFSET($DS$3,0,0,'Données projet'!$E$14+1,1))-AVERAGE(OFFSET($H$3,0,0,'Données projet'!$E$14+1,1))</f>
        <v>543.15812193567342</v>
      </c>
      <c r="DU115" s="60">
        <f t="shared" si="98"/>
        <v>286.40725588660575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2.8421709430404007E-14</v>
      </c>
      <c r="EK115" s="18">
        <f>EJ115*VLOOKUP('Données projet'!$B$15,Paramètres!$A$1:$I$89,3,0)*VLOOKUP('Données projet'!$B$15,Paramètres!$A$1:$I$89,5,0)</f>
        <v>1.906528268591501E-14</v>
      </c>
      <c r="EL115" s="14">
        <f t="shared" si="99"/>
        <v>3.473561557570726E-13</v>
      </c>
      <c r="EM115" s="22">
        <f t="shared" si="73"/>
        <v>6.3818400528820342E-13</v>
      </c>
      <c r="EN115" s="60">
        <f t="shared" si="74"/>
        <v>280.42131141557149</v>
      </c>
      <c r="EO115" s="60">
        <f ca="1">AVERAGE(OFFSET($EN$3,0,0,'Données projet'!$E$15+1,1))-AVERAGE(OFFSET($H$3,0,0,'Données projet'!$E$15+1,1))</f>
        <v>239.52247785001794</v>
      </c>
      <c r="EP115" s="60">
        <f t="shared" si="100"/>
        <v>173.69760199651617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0.15500686829977015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0.15500686829977015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8">
        <f t="shared" si="56"/>
        <v>183.33333333333334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295.99999999999955</v>
      </c>
      <c r="O116" s="14">
        <f>N116*VLOOKUP('Données projet'!$B$9,Paramètres!$A$1:$I$89,3,0)*VLOOKUP('Données projet'!$B$9,Paramètres!$A$1:$I$89,5,0)</f>
        <v>300.14399999999955</v>
      </c>
      <c r="P116" s="14">
        <f t="shared" si="87"/>
        <v>71.206650563609799</v>
      </c>
      <c r="Q116" s="22">
        <f t="shared" si="107"/>
        <v>646.76904973161959</v>
      </c>
      <c r="R116" s="60">
        <f t="shared" si="55"/>
        <v>927.41435586050716</v>
      </c>
      <c r="S116" s="60">
        <f ca="1">AVERAGE(OFFSET($R$3,0,0,'Données projet'!$E$9+1,1))-AVERAGE(OFFSET($H$3,0,0,'Données projet'!$E$9+1,1))</f>
        <v>516.54532596122067</v>
      </c>
      <c r="T116" s="60">
        <f t="shared" si="88"/>
        <v>273.35778700650792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2.4358974358974366</v>
      </c>
      <c r="AI116" s="14">
        <f>IF('Données projet'!$A$62&gt;35,AI115+AH116-AQ115,IF(A116&lt;'Données projet'!$A$62,$AF$205^A116,IF(A116='Données projet'!$A$62,'Données projet'!$B$62,AI115+AH116-AQ115)))</f>
        <v>197.05128205128227</v>
      </c>
      <c r="AJ116" s="14">
        <f>AI116*VLOOKUP('Données projet'!$B$10,Paramètres!$A$1:$I$89,3,0)*VLOOKUP('Données projet'!$B$10,Paramètres!$A$1:$I$89,5,0)</f>
        <v>187.51400000000021</v>
      </c>
      <c r="AK116" s="14">
        <f t="shared" si="89"/>
        <v>46.989912960206134</v>
      </c>
      <c r="AL116" s="22">
        <f t="shared" si="58"/>
        <v>408.42764840569271</v>
      </c>
      <c r="AM116" s="60">
        <f t="shared" si="59"/>
        <v>689.07295453458028</v>
      </c>
      <c r="AN116" s="60">
        <f ca="1">AVERAGE(OFFSET($AM$3,0,0,'Données projet'!$E$10+1,1))-AVERAGE(OFFSET($H$3,0,0,'Données projet'!$E$10+1,1))</f>
        <v>328.36544111680962</v>
      </c>
      <c r="AO116" s="60">
        <f t="shared" si="90"/>
        <v>226.85392900722772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-9.9316821433603781E-14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296.01124173332352</v>
      </c>
      <c r="BJ116" s="60">
        <f t="shared" si="92"/>
        <v>315.50730924873733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-3.7243808037601412E-14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216.42026264996392</v>
      </c>
      <c r="CE116" s="60">
        <f t="shared" si="94"/>
        <v>216.4587454288401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</v>
      </c>
      <c r="CT116" s="13">
        <f>IF('Données projet'!$A$140&gt;35,CT115+CS116-DB115,IF(A116&lt;'Données projet'!$A$140,$CQ$205^A116,IF(A116='Données projet'!$A$140,'Données projet'!$B$140,CT115+CS116-DB115)))</f>
        <v>228.00000000000006</v>
      </c>
      <c r="CU116" s="18">
        <f>CT116*VLOOKUP('Données projet'!$B$13,Paramètres!$A$1:$I$89,3,0)*VLOOKUP('Données projet'!$B$13,Paramètres!$A$1:$I$89,5,0)</f>
        <v>220.52160000000006</v>
      </c>
      <c r="CV116" s="14">
        <f t="shared" si="95"/>
        <v>54.228237274069159</v>
      </c>
      <c r="CW116" s="22">
        <f t="shared" si="67"/>
        <v>478.52263325233724</v>
      </c>
      <c r="CX116" s="60">
        <f t="shared" si="68"/>
        <v>759.16793938122487</v>
      </c>
      <c r="CY116" s="60">
        <f ca="1">AVERAGE(OFFSET($CX$3,0,0,'Données projet'!$E$13+1,1))-AVERAGE(OFFSET($H$3,0,0,'Données projet'!$E$13+1,1))</f>
        <v>385.5283976785621</v>
      </c>
      <c r="CZ116" s="60">
        <f t="shared" si="96"/>
        <v>173.19148969173838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4</v>
      </c>
      <c r="DO116" s="13">
        <f>IF('Données projet'!$A$166&gt;35,DO115+DN116-DW115,IF(A116&lt;'Données projet'!$A$166,$DL$205^A116,IF(A116='Données projet'!$A$166,'Données projet'!$B$166,DO115+DN116-DW115)))</f>
        <v>295.99999999999955</v>
      </c>
      <c r="DP116" s="18">
        <f>DO116*VLOOKUP('Données projet'!$B$14,Paramètres!$A$1:$I$89,3,0)*VLOOKUP('Données projet'!$B$14,Paramètres!$A$1:$I$89,5,0)</f>
        <v>318.61439999999948</v>
      </c>
      <c r="DQ116" s="14">
        <f t="shared" si="97"/>
        <v>75.064979865028363</v>
      </c>
      <c r="DR116" s="22">
        <f t="shared" si="70"/>
        <v>685.65825326492347</v>
      </c>
      <c r="DS116" s="60">
        <f t="shared" si="71"/>
        <v>966.30355939381116</v>
      </c>
      <c r="DT116" s="60">
        <f ca="1">AVERAGE(OFFSET($DS$3,0,0,'Données projet'!$E$14+1,1))-AVERAGE(OFFSET($H$3,0,0,'Données projet'!$E$14+1,1))</f>
        <v>543.15812193567342</v>
      </c>
      <c r="DU116" s="60">
        <f t="shared" si="98"/>
        <v>286.40725588660575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2.8421709430404007E-14</v>
      </c>
      <c r="EK116" s="18">
        <f>EJ116*VLOOKUP('Données projet'!$B$15,Paramètres!$A$1:$I$89,3,0)*VLOOKUP('Données projet'!$B$15,Paramètres!$A$1:$I$89,5,0)</f>
        <v>1.906528268591501E-14</v>
      </c>
      <c r="EL116" s="14">
        <f t="shared" si="99"/>
        <v>3.473561557570726E-13</v>
      </c>
      <c r="EM116" s="22">
        <f t="shared" si="73"/>
        <v>6.3818400528820342E-13</v>
      </c>
      <c r="EN116" s="60">
        <f t="shared" si="74"/>
        <v>280.64530612888825</v>
      </c>
      <c r="EO116" s="60">
        <f ca="1">AVERAGE(OFFSET($EN$3,0,0,'Données projet'!$E$15+1,1))-AVERAGE(OFFSET($H$3,0,0,'Données projet'!$E$15+1,1))</f>
        <v>239.52247785001794</v>
      </c>
      <c r="EP116" s="60">
        <f t="shared" si="100"/>
        <v>173.69760199651617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0.15076819733465599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0.15076819733465599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8">
        <f t="shared" si="56"/>
        <v>183.33333333333334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299.99999999999955</v>
      </c>
      <c r="O117" s="14">
        <f>N117*VLOOKUP('Données projet'!$B$9,Paramètres!$A$1:$I$89,3,0)*VLOOKUP('Données projet'!$B$9,Paramètres!$A$1:$I$89,5,0)</f>
        <v>304.19999999999959</v>
      </c>
      <c r="P117" s="14">
        <f t="shared" si="87"/>
        <v>72.056231093481003</v>
      </c>
      <c r="Q117" s="22">
        <f t="shared" si="107"/>
        <v>655.31293582114529</v>
      </c>
      <c r="R117" s="60">
        <f t="shared" si="55"/>
        <v>936.17835085585079</v>
      </c>
      <c r="S117" s="60">
        <f ca="1">AVERAGE(OFFSET($R$3,0,0,'Données projet'!$E$9+1,1))-AVERAGE(OFFSET($H$3,0,0,'Données projet'!$E$9+1,1))</f>
        <v>516.54532596122067</v>
      </c>
      <c r="T117" s="60">
        <f t="shared" si="88"/>
        <v>273.35778700650792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2.4358974358974366</v>
      </c>
      <c r="AI117" s="14">
        <f>IF('Données projet'!$A$62&gt;35,AI116+AH117-AQ116,IF(A117&lt;'Données projet'!$A$62,$AF$205^A117,IF(A117='Données projet'!$A$62,'Données projet'!$B$62,AI116+AH117-AQ116)))</f>
        <v>199.4871794871797</v>
      </c>
      <c r="AJ117" s="14">
        <f>AI117*VLOOKUP('Données projet'!$B$10,Paramètres!$A$1:$I$89,3,0)*VLOOKUP('Données projet'!$B$10,Paramètres!$A$1:$I$89,5,0)</f>
        <v>189.83200000000022</v>
      </c>
      <c r="AK117" s="14">
        <f t="shared" si="89"/>
        <v>47.502808524511039</v>
      </c>
      <c r="AL117" s="22">
        <f t="shared" si="58"/>
        <v>413.35812484685715</v>
      </c>
      <c r="AM117" s="60">
        <f t="shared" si="59"/>
        <v>694.2235398815626</v>
      </c>
      <c r="AN117" s="60">
        <f ca="1">AVERAGE(OFFSET($AM$3,0,0,'Données projet'!$E$10+1,1))-AVERAGE(OFFSET($H$3,0,0,'Données projet'!$E$10+1,1))</f>
        <v>328.36544111680962</v>
      </c>
      <c r="AO117" s="60">
        <f t="shared" si="90"/>
        <v>226.85392900722772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-9.9316821433603781E-14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296.01124173332352</v>
      </c>
      <c r="BJ117" s="60">
        <f t="shared" si="92"/>
        <v>315.50730924873733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-3.7243808037601412E-14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216.42026264996392</v>
      </c>
      <c r="CE117" s="60">
        <f t="shared" si="94"/>
        <v>216.4587454288401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</v>
      </c>
      <c r="CT117" s="13">
        <f>IF('Données projet'!$A$140&gt;35,CT116+CS117-DB116,IF(A117&lt;'Données projet'!$A$140,$CQ$205^A117,IF(A117='Données projet'!$A$140,'Données projet'!$B$140,CT116+CS117-DB116)))</f>
        <v>231.00000000000006</v>
      </c>
      <c r="CU117" s="18">
        <f>CT117*VLOOKUP('Données projet'!$B$13,Paramètres!$A$1:$I$89,3,0)*VLOOKUP('Données projet'!$B$13,Paramètres!$A$1:$I$89,5,0)</f>
        <v>223.42320000000004</v>
      </c>
      <c r="CV117" s="14">
        <f t="shared" si="95"/>
        <v>54.858231422257631</v>
      </c>
      <c r="CW117" s="22">
        <f t="shared" si="67"/>
        <v>484.67349306043207</v>
      </c>
      <c r="CX117" s="60">
        <f t="shared" si="68"/>
        <v>765.53890809513746</v>
      </c>
      <c r="CY117" s="60">
        <f ca="1">AVERAGE(OFFSET($CX$3,0,0,'Données projet'!$E$13+1,1))-AVERAGE(OFFSET($H$3,0,0,'Données projet'!$E$13+1,1))</f>
        <v>385.5283976785621</v>
      </c>
      <c r="CZ117" s="60">
        <f t="shared" si="96"/>
        <v>173.19148969173838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4</v>
      </c>
      <c r="DO117" s="13">
        <f>IF('Données projet'!$A$166&gt;35,DO116+DN117-DW116,IF(A117&lt;'Données projet'!$A$166,$DL$205^A117,IF(A117='Données projet'!$A$166,'Données projet'!$B$166,DO116+DN117-DW116)))</f>
        <v>299.99999999999955</v>
      </c>
      <c r="DP117" s="18">
        <f>DO117*VLOOKUP('Données projet'!$B$14,Paramètres!$A$1:$I$89,3,0)*VLOOKUP('Données projet'!$B$14,Paramètres!$A$1:$I$89,5,0)</f>
        <v>322.9199999999995</v>
      </c>
      <c r="DQ117" s="14">
        <f t="shared" si="97"/>
        <v>75.960594879408688</v>
      </c>
      <c r="DR117" s="22">
        <f t="shared" si="70"/>
        <v>694.71703608163591</v>
      </c>
      <c r="DS117" s="60">
        <f t="shared" si="71"/>
        <v>975.58245111634142</v>
      </c>
      <c r="DT117" s="60">
        <f ca="1">AVERAGE(OFFSET($DS$3,0,0,'Données projet'!$E$14+1,1))-AVERAGE(OFFSET($H$3,0,0,'Données projet'!$E$14+1,1))</f>
        <v>543.15812193567342</v>
      </c>
      <c r="DU117" s="60">
        <f t="shared" si="98"/>
        <v>286.40725588660575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2.8421709430404007E-14</v>
      </c>
      <c r="EK117" s="18">
        <f>EJ117*VLOOKUP('Données projet'!$B$15,Paramètres!$A$1:$I$89,3,0)*VLOOKUP('Données projet'!$B$15,Paramètres!$A$1:$I$89,5,0)</f>
        <v>1.906528268591501E-14</v>
      </c>
      <c r="EL117" s="14">
        <f t="shared" si="99"/>
        <v>3.473561557570726E-13</v>
      </c>
      <c r="EM117" s="22">
        <f t="shared" si="73"/>
        <v>6.3818400528820342E-13</v>
      </c>
      <c r="EN117" s="60">
        <f t="shared" si="74"/>
        <v>280.86541503470607</v>
      </c>
      <c r="EO117" s="60">
        <f ca="1">AVERAGE(OFFSET($EN$3,0,0,'Données projet'!$E$15+1,1))-AVERAGE(OFFSET($H$3,0,0,'Données projet'!$E$15+1,1))</f>
        <v>239.52247785001794</v>
      </c>
      <c r="EP117" s="60">
        <f t="shared" si="100"/>
        <v>173.69760199651617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0.1466454330499849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0.1466454330499849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8">
        <f t="shared" si="56"/>
        <v>183.33333333333334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303.99999999999955</v>
      </c>
      <c r="O118" s="14">
        <f>N118*VLOOKUP('Données projet'!$B$9,Paramètres!$A$1:$I$89,3,0)*VLOOKUP('Données projet'!$B$9,Paramètres!$A$1:$I$89,5,0)</f>
        <v>308.25599999999957</v>
      </c>
      <c r="P118" s="14">
        <f t="shared" si="87"/>
        <v>72.904494055753887</v>
      </c>
      <c r="Q118" s="22">
        <f t="shared" si="107"/>
        <v>663.85452714710391</v>
      </c>
      <c r="R118" s="60">
        <f t="shared" si="55"/>
        <v>944.93623269020122</v>
      </c>
      <c r="S118" s="60">
        <f ca="1">AVERAGE(OFFSET($R$3,0,0,'Données projet'!$E$9+1,1))-AVERAGE(OFFSET($H$3,0,0,'Données projet'!$E$9+1,1))</f>
        <v>516.54532596122067</v>
      </c>
      <c r="T118" s="60">
        <f t="shared" si="88"/>
        <v>273.35778700650792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2.4358974358974366</v>
      </c>
      <c r="AI118" s="14">
        <f>IF('Données projet'!$A$62&gt;35,AI117+AH118-AQ117,IF(A118&lt;'Données projet'!$A$62,$AF$205^A118,IF(A118='Données projet'!$A$62,'Données projet'!$B$62,AI117+AH118-AQ117)))</f>
        <v>201.92307692307713</v>
      </c>
      <c r="AJ118" s="14">
        <f>AI118*VLOOKUP('Données projet'!$B$10,Paramètres!$A$1:$I$89,3,0)*VLOOKUP('Données projet'!$B$10,Paramètres!$A$1:$I$89,5,0)</f>
        <v>192.1500000000002</v>
      </c>
      <c r="AK118" s="14">
        <f t="shared" si="89"/>
        <v>48.014975590181571</v>
      </c>
      <c r="AL118" s="22">
        <f t="shared" si="58"/>
        <v>418.28733248623325</v>
      </c>
      <c r="AM118" s="60">
        <f t="shared" si="59"/>
        <v>699.36903802933057</v>
      </c>
      <c r="AN118" s="60">
        <f ca="1">AVERAGE(OFFSET($AM$3,0,0,'Données projet'!$E$10+1,1))-AVERAGE(OFFSET($H$3,0,0,'Données projet'!$E$10+1,1))</f>
        <v>328.36544111680962</v>
      </c>
      <c r="AO118" s="60">
        <f t="shared" si="90"/>
        <v>226.85392900722772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-9.9316821433603781E-14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296.01124173332352</v>
      </c>
      <c r="BJ118" s="60">
        <f t="shared" si="92"/>
        <v>315.50730924873733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-3.7243808037601412E-14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216.42026264996392</v>
      </c>
      <c r="CE118" s="60">
        <f t="shared" si="94"/>
        <v>216.4587454288401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234</v>
      </c>
      <c r="CR118" s="13">
        <f>VLOOKUP(A118,'Données projet'!$A$139:$I$159,9,0)</f>
        <v>3</v>
      </c>
      <c r="CS118" s="13">
        <f t="array" ref="CS118">INDEX(CR:CR,MIN(IF(ISNUMBER(CR118:CR314),ROW(CR118:CR314),"")))</f>
        <v>3</v>
      </c>
      <c r="CT118" s="13">
        <f>IF('Données projet'!$A$140&gt;35,CT117+CS118-DB117,IF(A118&lt;'Données projet'!$A$140,$CQ$205^A118,IF(A118='Données projet'!$A$140,'Données projet'!$B$140,CT117+CS118-DB117)))</f>
        <v>234.00000000000006</v>
      </c>
      <c r="CU118" s="18">
        <f>CT118*VLOOKUP('Données projet'!$B$13,Paramètres!$A$1:$I$89,3,0)*VLOOKUP('Données projet'!$B$13,Paramètres!$A$1:$I$89,5,0)</f>
        <v>226.32480000000007</v>
      </c>
      <c r="CV118" s="14">
        <f t="shared" si="95"/>
        <v>55.48727390683672</v>
      </c>
      <c r="CW118" s="22">
        <f t="shared" si="67"/>
        <v>490.82269538774068</v>
      </c>
      <c r="CX118" s="60">
        <f t="shared" si="68"/>
        <v>771.90440093083794</v>
      </c>
      <c r="CY118" s="60">
        <f ca="1">AVERAGE(OFFSET($CX$3,0,0,'Données projet'!$E$13+1,1))-AVERAGE(OFFSET($H$3,0,0,'Données projet'!$E$13+1,1))</f>
        <v>385.5283976785621</v>
      </c>
      <c r="CZ118" s="60">
        <f t="shared" si="96"/>
        <v>173.19148969173838</v>
      </c>
      <c r="DA118" s="16">
        <f>IF(ISNA(VLOOKUP(A118,'Données projet'!$A$139:$I$159,3,0)),0,VLOOKUP(A118,'Données projet'!$A$139:$I$159,3,0))</f>
        <v>9</v>
      </c>
      <c r="DB118" s="16">
        <f>IF(ISNA(VLOOKUP(A118,'Données projet'!$A$139:$I$159,4,0)),0,VLOOKUP(A118,'Données projet'!$A$139:$I$159,4,0))</f>
        <v>26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304</v>
      </c>
      <c r="DM118" s="13">
        <f>VLOOKUP(A118,'Données projet'!$A$165:$I$185,9,0)</f>
        <v>4</v>
      </c>
      <c r="DN118" s="13">
        <f t="array" ref="DN118">INDEX(DM:DM,MIN(IF(ISNUMBER(DM118:DM314),ROW(DM118:DM314),"")))</f>
        <v>4</v>
      </c>
      <c r="DO118" s="13">
        <f>IF('Données projet'!$A$166&gt;35,DO117+DN118-DW117,IF(A118&lt;'Données projet'!$A$166,$DL$205^A118,IF(A118='Données projet'!$A$166,'Données projet'!$B$166,DO117+DN118-DW117)))</f>
        <v>303.99999999999955</v>
      </c>
      <c r="DP118" s="18">
        <f>DO118*VLOOKUP('Données projet'!$B$14,Paramètres!$A$1:$I$89,3,0)*VLOOKUP('Données projet'!$B$14,Paramètres!$A$1:$I$89,5,0)</f>
        <v>327.22559999999953</v>
      </c>
      <c r="DQ118" s="14">
        <f t="shared" si="97"/>
        <v>76.85482093384698</v>
      </c>
      <c r="DR118" s="22">
        <f t="shared" si="70"/>
        <v>703.77339979311603</v>
      </c>
      <c r="DS118" s="60">
        <f t="shared" si="71"/>
        <v>984.85510533621323</v>
      </c>
      <c r="DT118" s="60">
        <f ca="1">AVERAGE(OFFSET($DS$3,0,0,'Données projet'!$E$14+1,1))-AVERAGE(OFFSET($H$3,0,0,'Données projet'!$E$14+1,1))</f>
        <v>543.15812193567342</v>
      </c>
      <c r="DU118" s="60">
        <f t="shared" si="98"/>
        <v>286.40725588660575</v>
      </c>
      <c r="DV118" s="16">
        <f>IF(ISNA(VLOOKUP(A118,'Données projet'!$A$165:$I$185,3,0)),0,VLOOKUP(A118,'Données projet'!$A$165:$I$185,3,0))</f>
        <v>10</v>
      </c>
      <c r="DW118" s="16">
        <f>IF(ISNA(VLOOKUP(A118,'Données projet'!$A$165:$I$185,4,0)),0,VLOOKUP(A118,'Données projet'!$A$165:$I$185,4,0))</f>
        <v>37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2.8421709430404007E-14</v>
      </c>
      <c r="EK118" s="18">
        <f>EJ118*VLOOKUP('Données projet'!$B$15,Paramètres!$A$1:$I$89,3,0)*VLOOKUP('Données projet'!$B$15,Paramètres!$A$1:$I$89,5,0)</f>
        <v>1.906528268591501E-14</v>
      </c>
      <c r="EL118" s="14">
        <f t="shared" si="99"/>
        <v>3.473561557570726E-13</v>
      </c>
      <c r="EM118" s="22">
        <f t="shared" si="73"/>
        <v>6.3818400528820342E-13</v>
      </c>
      <c r="EN118" s="60">
        <f t="shared" si="74"/>
        <v>281.08170554309788</v>
      </c>
      <c r="EO118" s="60">
        <f ca="1">AVERAGE(OFFSET($EN$3,0,0,'Données projet'!$E$15+1,1))-AVERAGE(OFFSET($H$3,0,0,'Données projet'!$E$15+1,1))</f>
        <v>239.52247785001794</v>
      </c>
      <c r="EP118" s="60">
        <f t="shared" si="100"/>
        <v>173.69760199651617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0.14263540597148489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0.14263540597148489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8">
        <f t="shared" si="56"/>
        <v>183.33333333333334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270.39999999999952</v>
      </c>
      <c r="O119" s="14">
        <f>N119*VLOOKUP('Données projet'!$B$9,Paramètres!$A$1:$I$89,3,0)*VLOOKUP('Données projet'!$B$9,Paramètres!$A$1:$I$89,5,0)</f>
        <v>274.18559999999957</v>
      </c>
      <c r="P119" s="14">
        <f t="shared" si="87"/>
        <v>65.736762389907327</v>
      </c>
      <c r="Q119" s="22">
        <f t="shared" si="107"/>
        <v>592.03144782908782</v>
      </c>
      <c r="R119" s="60">
        <f t="shared" si="55"/>
        <v>873.32569172380931</v>
      </c>
      <c r="S119" s="60">
        <f ca="1">AVERAGE(OFFSET($R$3,0,0,'Données projet'!$E$9+1,1))-AVERAGE(OFFSET($H$3,0,0,'Données projet'!$E$9+1,1))</f>
        <v>516.54532596122067</v>
      </c>
      <c r="T119" s="60">
        <f t="shared" si="88"/>
        <v>273.35778700650792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2.4358974358974366</v>
      </c>
      <c r="AI119" s="14">
        <f>IF('Données projet'!$A$62&gt;35,AI118+AH119-AQ118,IF(A119&lt;'Données projet'!$A$62,$AF$205^A119,IF(A119='Données projet'!$A$62,'Données projet'!$B$62,AI118+AH119-AQ118)))</f>
        <v>204.35897435897456</v>
      </c>
      <c r="AJ119" s="14">
        <f>AI119*VLOOKUP('Données projet'!$B$10,Paramètres!$A$1:$I$89,3,0)*VLOOKUP('Données projet'!$B$10,Paramètres!$A$1:$I$89,5,0)</f>
        <v>194.46800000000019</v>
      </c>
      <c r="AK119" s="14">
        <f t="shared" si="89"/>
        <v>48.526423961998987</v>
      </c>
      <c r="AL119" s="22">
        <f t="shared" si="58"/>
        <v>423.21528840048194</v>
      </c>
      <c r="AM119" s="60">
        <f t="shared" si="59"/>
        <v>704.50953229520337</v>
      </c>
      <c r="AN119" s="60">
        <f ca="1">AVERAGE(OFFSET($AM$3,0,0,'Données projet'!$E$10+1,1))-AVERAGE(OFFSET($H$3,0,0,'Données projet'!$E$10+1,1))</f>
        <v>328.36544111680962</v>
      </c>
      <c r="AO119" s="60">
        <f t="shared" si="90"/>
        <v>226.85392900722772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-9.9316821433603781E-14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296.01124173332352</v>
      </c>
      <c r="BJ119" s="60">
        <f t="shared" si="92"/>
        <v>315.50730924873733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-3.7243808037601412E-14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216.42026264996392</v>
      </c>
      <c r="CE119" s="60">
        <f t="shared" si="94"/>
        <v>216.4587454288401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2.4</v>
      </c>
      <c r="CT119" s="13">
        <f>IF('Données projet'!$A$140&gt;35,CT118+CS119-DB118,IF(A119&lt;'Données projet'!$A$140,$CQ$205^A119,IF(A119='Données projet'!$A$140,'Données projet'!$B$140,CT118+CS119-DB118)))</f>
        <v>210.40000000000006</v>
      </c>
      <c r="CU119" s="18">
        <f>CT119*VLOOKUP('Données projet'!$B$13,Paramètres!$A$1:$I$89,3,0)*VLOOKUP('Données projet'!$B$13,Paramètres!$A$1:$I$89,5,0)</f>
        <v>203.49888000000007</v>
      </c>
      <c r="CV119" s="14">
        <f t="shared" si="95"/>
        <v>50.512337776327122</v>
      </c>
      <c r="CW119" s="22">
        <f t="shared" si="67"/>
        <v>442.40287096043653</v>
      </c>
      <c r="CX119" s="60">
        <f t="shared" si="68"/>
        <v>723.69711485515802</v>
      </c>
      <c r="CY119" s="60">
        <f ca="1">AVERAGE(OFFSET($CX$3,0,0,'Données projet'!$E$13+1,1))-AVERAGE(OFFSET($H$3,0,0,'Données projet'!$E$13+1,1))</f>
        <v>385.5283976785621</v>
      </c>
      <c r="CZ119" s="60">
        <f t="shared" si="96"/>
        <v>173.19148969173838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3.4</v>
      </c>
      <c r="DO119" s="13">
        <f>IF('Données projet'!$A$166&gt;35,DO118+DN119-DW118,IF(A119&lt;'Données projet'!$A$166,$DL$205^A119,IF(A119='Données projet'!$A$166,'Données projet'!$B$166,DO118+DN119-DW118)))</f>
        <v>270.39999999999952</v>
      </c>
      <c r="DP119" s="18">
        <f>DO119*VLOOKUP('Données projet'!$B$14,Paramètres!$A$1:$I$89,3,0)*VLOOKUP('Données projet'!$B$14,Paramètres!$A$1:$I$89,5,0)</f>
        <v>291.05855999999949</v>
      </c>
      <c r="DQ119" s="14">
        <f t="shared" si="97"/>
        <v>69.298706035645793</v>
      </c>
      <c r="DR119" s="22">
        <f t="shared" si="70"/>
        <v>627.62223834541555</v>
      </c>
      <c r="DS119" s="60">
        <f t="shared" si="71"/>
        <v>908.91648224013704</v>
      </c>
      <c r="DT119" s="60">
        <f ca="1">AVERAGE(OFFSET($DS$3,0,0,'Données projet'!$E$14+1,1))-AVERAGE(OFFSET($H$3,0,0,'Données projet'!$E$14+1,1))</f>
        <v>543.15812193567342</v>
      </c>
      <c r="DU119" s="60">
        <f t="shared" si="98"/>
        <v>286.40725588660575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2.8421709430404007E-14</v>
      </c>
      <c r="EK119" s="18">
        <f>EJ119*VLOOKUP('Données projet'!$B$15,Paramètres!$A$1:$I$89,3,0)*VLOOKUP('Données projet'!$B$15,Paramètres!$A$1:$I$89,5,0)</f>
        <v>1.906528268591501E-14</v>
      </c>
      <c r="EL119" s="14">
        <f t="shared" si="99"/>
        <v>3.473561557570726E-13</v>
      </c>
      <c r="EM119" s="22">
        <f t="shared" si="73"/>
        <v>6.3818400528820342E-13</v>
      </c>
      <c r="EN119" s="60">
        <f t="shared" si="74"/>
        <v>281.29424389472211</v>
      </c>
      <c r="EO119" s="60">
        <f ca="1">AVERAGE(OFFSET($EN$3,0,0,'Données projet'!$E$15+1,1))-AVERAGE(OFFSET($H$3,0,0,'Données projet'!$E$15+1,1))</f>
        <v>239.52247785001794</v>
      </c>
      <c r="EP119" s="60">
        <f t="shared" si="100"/>
        <v>173.69760199651617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0.13873503329432463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0.13873503329432463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8">
        <f t="shared" si="56"/>
        <v>183.33333333333334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273.7999999999995</v>
      </c>
      <c r="O120" s="14">
        <f>N120*VLOOKUP('Données projet'!$B$9,Paramètres!$A$1:$I$89,3,0)*VLOOKUP('Données projet'!$B$9,Paramètres!$A$1:$I$89,5,0)</f>
        <v>277.63319999999953</v>
      </c>
      <c r="P120" s="14">
        <f t="shared" si="87"/>
        <v>66.466589162975581</v>
      </c>
      <c r="Q120" s="22">
        <f t="shared" si="107"/>
        <v>599.30713279218173</v>
      </c>
      <c r="R120" s="60">
        <f t="shared" si="55"/>
        <v>880.81022797329138</v>
      </c>
      <c r="S120" s="60">
        <f ca="1">AVERAGE(OFFSET($R$3,0,0,'Données projet'!$E$9+1,1))-AVERAGE(OFFSET($H$3,0,0,'Données projet'!$E$9+1,1))</f>
        <v>516.54532596122067</v>
      </c>
      <c r="T120" s="60">
        <f t="shared" si="88"/>
        <v>273.35778700650792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2.4358974358974366</v>
      </c>
      <c r="AI120" s="14">
        <f>IF('Données projet'!$A$62&gt;35,AI119+AH120-AQ119,IF(A120&lt;'Données projet'!$A$62,$AF$205^A120,IF(A120='Données projet'!$A$62,'Données projet'!$B$62,AI119+AH120-AQ119)))</f>
        <v>206.79487179487199</v>
      </c>
      <c r="AJ120" s="14">
        <f>AI120*VLOOKUP('Données projet'!$B$10,Paramètres!$A$1:$I$89,3,0)*VLOOKUP('Données projet'!$B$10,Paramètres!$A$1:$I$89,5,0)</f>
        <v>196.7860000000002</v>
      </c>
      <c r="AK120" s="14">
        <f t="shared" si="89"/>
        <v>49.037163197555124</v>
      </c>
      <c r="AL120" s="22">
        <f t="shared" si="58"/>
        <v>428.14200923574214</v>
      </c>
      <c r="AM120" s="60">
        <f t="shared" si="59"/>
        <v>709.64510441685184</v>
      </c>
      <c r="AN120" s="60">
        <f ca="1">AVERAGE(OFFSET($AM$3,0,0,'Données projet'!$E$10+1,1))-AVERAGE(OFFSET($H$3,0,0,'Données projet'!$E$10+1,1))</f>
        <v>328.36544111680962</v>
      </c>
      <c r="AO120" s="60">
        <f t="shared" si="90"/>
        <v>226.85392900722772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-9.9316821433603781E-14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296.01124173332352</v>
      </c>
      <c r="BJ120" s="60">
        <f t="shared" si="92"/>
        <v>315.50730924873733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-3.7243808037601412E-14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216.42026264996392</v>
      </c>
      <c r="CE120" s="60">
        <f t="shared" si="94"/>
        <v>216.4587454288401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2.4</v>
      </c>
      <c r="CT120" s="13">
        <f>IF('Données projet'!$A$140&gt;35,CT119+CS120-DB119,IF(A120&lt;'Données projet'!$A$140,$CQ$205^A120,IF(A120='Données projet'!$A$140,'Données projet'!$B$140,CT119+CS120-DB119)))</f>
        <v>212.80000000000007</v>
      </c>
      <c r="CU120" s="18">
        <f>CT120*VLOOKUP('Données projet'!$B$13,Paramètres!$A$1:$I$89,3,0)*VLOOKUP('Données projet'!$B$13,Paramètres!$A$1:$I$89,5,0)</f>
        <v>205.82016000000007</v>
      </c>
      <c r="CV120" s="14">
        <f t="shared" si="95"/>
        <v>51.02111947975375</v>
      </c>
      <c r="CW120" s="22">
        <f t="shared" si="67"/>
        <v>447.33189509390462</v>
      </c>
      <c r="CX120" s="60">
        <f t="shared" si="68"/>
        <v>728.83499027501421</v>
      </c>
      <c r="CY120" s="60">
        <f ca="1">AVERAGE(OFFSET($CX$3,0,0,'Données projet'!$E$13+1,1))-AVERAGE(OFFSET($H$3,0,0,'Données projet'!$E$13+1,1))</f>
        <v>385.5283976785621</v>
      </c>
      <c r="CZ120" s="60">
        <f t="shared" si="96"/>
        <v>173.19148969173838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3.4</v>
      </c>
      <c r="DO120" s="13">
        <f>IF('Données projet'!$A$166&gt;35,DO119+DN120-DW119,IF(A120&lt;'Données projet'!$A$166,$DL$205^A120,IF(A120='Données projet'!$A$166,'Données projet'!$B$166,DO119+DN120-DW119)))</f>
        <v>273.7999999999995</v>
      </c>
      <c r="DP120" s="18">
        <f>DO120*VLOOKUP('Données projet'!$B$14,Paramètres!$A$1:$I$89,3,0)*VLOOKUP('Données projet'!$B$14,Paramètres!$A$1:$I$89,5,0)</f>
        <v>294.71831999999944</v>
      </c>
      <c r="DQ120" s="14">
        <f t="shared" si="97"/>
        <v>70.068078441055988</v>
      </c>
      <c r="DR120" s="22">
        <f t="shared" si="70"/>
        <v>635.33631061817152</v>
      </c>
      <c r="DS120" s="60">
        <f t="shared" si="71"/>
        <v>916.83940579928117</v>
      </c>
      <c r="DT120" s="60">
        <f ca="1">AVERAGE(OFFSET($DS$3,0,0,'Données projet'!$E$14+1,1))-AVERAGE(OFFSET($H$3,0,0,'Données projet'!$E$14+1,1))</f>
        <v>543.15812193567342</v>
      </c>
      <c r="DU120" s="60">
        <f t="shared" si="98"/>
        <v>286.40725588660575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2.8421709430404007E-14</v>
      </c>
      <c r="EK120" s="18">
        <f>EJ120*VLOOKUP('Données projet'!$B$15,Paramètres!$A$1:$I$89,3,0)*VLOOKUP('Données projet'!$B$15,Paramètres!$A$1:$I$89,5,0)</f>
        <v>1.906528268591501E-14</v>
      </c>
      <c r="EL120" s="14">
        <f t="shared" si="99"/>
        <v>3.473561557570726E-13</v>
      </c>
      <c r="EM120" s="22">
        <f t="shared" si="73"/>
        <v>6.3818400528820342E-13</v>
      </c>
      <c r="EN120" s="60">
        <f t="shared" si="74"/>
        <v>281.50309518111027</v>
      </c>
      <c r="EO120" s="60">
        <f ca="1">AVERAGE(OFFSET($EN$3,0,0,'Données projet'!$E$15+1,1))-AVERAGE(OFFSET($H$3,0,0,'Données projet'!$E$15+1,1))</f>
        <v>239.52247785001794</v>
      </c>
      <c r="EP120" s="60">
        <f t="shared" si="100"/>
        <v>173.69760199651617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0.13494131651313301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0.13494131651313301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8">
        <f t="shared" si="56"/>
        <v>183.33333333333334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277.19999999999948</v>
      </c>
      <c r="O121" s="14">
        <f>N121*VLOOKUP('Données projet'!$B$9,Paramètres!$A$1:$I$89,3,0)*VLOOKUP('Données projet'!$B$9,Paramètres!$A$1:$I$89,5,0)</f>
        <v>281.0807999999995</v>
      </c>
      <c r="P121" s="14">
        <f t="shared" si="87"/>
        <v>67.195361752546063</v>
      </c>
      <c r="Q121" s="22">
        <f t="shared" si="107"/>
        <v>606.5809817190169</v>
      </c>
      <c r="R121" s="60">
        <f t="shared" si="55"/>
        <v>888.28930508361736</v>
      </c>
      <c r="S121" s="60">
        <f ca="1">AVERAGE(OFFSET($R$3,0,0,'Données projet'!$E$9+1,1))-AVERAGE(OFFSET($H$3,0,0,'Données projet'!$E$9+1,1))</f>
        <v>516.54532596122067</v>
      </c>
      <c r="T121" s="60">
        <f t="shared" si="88"/>
        <v>273.35778700650792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2.4358974358974366</v>
      </c>
      <c r="AI121" s="14">
        <f>IF('Données projet'!$A$62&gt;35,AI120+AH121-AQ120,IF(A121&lt;'Données projet'!$A$62,$AF$205^A121,IF(A121='Données projet'!$A$62,'Données projet'!$B$62,AI120+AH121-AQ120)))</f>
        <v>209.23076923076943</v>
      </c>
      <c r="AJ121" s="14">
        <f>AI121*VLOOKUP('Données projet'!$B$10,Paramètres!$A$1:$I$89,3,0)*VLOOKUP('Données projet'!$B$10,Paramètres!$A$1:$I$89,5,0)</f>
        <v>199.10400000000018</v>
      </c>
      <c r="AK121" s="14">
        <f t="shared" si="89"/>
        <v>49.547202616320654</v>
      </c>
      <c r="AL121" s="22">
        <f t="shared" si="58"/>
        <v>433.06751122342547</v>
      </c>
      <c r="AM121" s="60">
        <f t="shared" si="59"/>
        <v>714.77583458802587</v>
      </c>
      <c r="AN121" s="60">
        <f ca="1">AVERAGE(OFFSET($AM$3,0,0,'Données projet'!$E$10+1,1))-AVERAGE(OFFSET($H$3,0,0,'Données projet'!$E$10+1,1))</f>
        <v>328.36544111680962</v>
      </c>
      <c r="AO121" s="60">
        <f t="shared" si="90"/>
        <v>226.85392900722772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-9.9316821433603781E-14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296.01124173332352</v>
      </c>
      <c r="BJ121" s="60">
        <f t="shared" si="92"/>
        <v>315.50730924873733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-3.7243808037601412E-14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216.42026264996392</v>
      </c>
      <c r="CE121" s="60">
        <f t="shared" si="94"/>
        <v>216.4587454288401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2.4</v>
      </c>
      <c r="CT121" s="13">
        <f>IF('Données projet'!$A$140&gt;35,CT120+CS121-DB120,IF(A121&lt;'Données projet'!$A$140,$CQ$205^A121,IF(A121='Données projet'!$A$140,'Données projet'!$B$140,CT120+CS121-DB120)))</f>
        <v>215.20000000000007</v>
      </c>
      <c r="CU121" s="18">
        <f>CT121*VLOOKUP('Données projet'!$B$13,Paramètres!$A$1:$I$89,3,0)*VLOOKUP('Données projet'!$B$13,Paramètres!$A$1:$I$89,5,0)</f>
        <v>208.14144000000007</v>
      </c>
      <c r="CV121" s="14">
        <f t="shared" si="95"/>
        <v>51.529233687000762</v>
      </c>
      <c r="CW121" s="22">
        <f t="shared" si="67"/>
        <v>452.25975667152642</v>
      </c>
      <c r="CX121" s="60">
        <f t="shared" si="68"/>
        <v>733.96808003612682</v>
      </c>
      <c r="CY121" s="60">
        <f ca="1">AVERAGE(OFFSET($CX$3,0,0,'Données projet'!$E$13+1,1))-AVERAGE(OFFSET($H$3,0,0,'Données projet'!$E$13+1,1))</f>
        <v>385.5283976785621</v>
      </c>
      <c r="CZ121" s="60">
        <f t="shared" si="96"/>
        <v>173.19148969173838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3.4</v>
      </c>
      <c r="DO121" s="13">
        <f>IF('Données projet'!$A$166&gt;35,DO120+DN121-DW120,IF(A121&lt;'Données projet'!$A$166,$DL$205^A121,IF(A121='Données projet'!$A$166,'Données projet'!$B$166,DO120+DN121-DW120)))</f>
        <v>277.19999999999948</v>
      </c>
      <c r="DP121" s="18">
        <f>DO121*VLOOKUP('Données projet'!$B$14,Paramètres!$A$1:$I$89,3,0)*VLOOKUP('Données projet'!$B$14,Paramètres!$A$1:$I$89,5,0)</f>
        <v>298.37807999999944</v>
      </c>
      <c r="DQ121" s="14">
        <f t="shared" si="97"/>
        <v>70.83633954208085</v>
      </c>
      <c r="DR121" s="22">
        <f t="shared" si="70"/>
        <v>643.04844736912321</v>
      </c>
      <c r="DS121" s="60">
        <f t="shared" si="71"/>
        <v>924.75677073372367</v>
      </c>
      <c r="DT121" s="60">
        <f ca="1">AVERAGE(OFFSET($DS$3,0,0,'Données projet'!$E$14+1,1))-AVERAGE(OFFSET($H$3,0,0,'Données projet'!$E$14+1,1))</f>
        <v>543.15812193567342</v>
      </c>
      <c r="DU121" s="60">
        <f t="shared" si="98"/>
        <v>286.40725588660575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2.8421709430404007E-14</v>
      </c>
      <c r="EK121" s="18">
        <f>EJ121*VLOOKUP('Données projet'!$B$15,Paramètres!$A$1:$I$89,3,0)*VLOOKUP('Données projet'!$B$15,Paramètres!$A$1:$I$89,5,0)</f>
        <v>1.906528268591501E-14</v>
      </c>
      <c r="EL121" s="14">
        <f t="shared" si="99"/>
        <v>3.473561557570726E-13</v>
      </c>
      <c r="EM121" s="22">
        <f t="shared" si="73"/>
        <v>6.3818400528820342E-13</v>
      </c>
      <c r="EN121" s="60">
        <f t="shared" si="74"/>
        <v>281.70832336460103</v>
      </c>
      <c r="EO121" s="60">
        <f ca="1">AVERAGE(OFFSET($EN$3,0,0,'Données projet'!$E$15+1,1))-AVERAGE(OFFSET($H$3,0,0,'Données projet'!$E$15+1,1))</f>
        <v>239.52247785001794</v>
      </c>
      <c r="EP121" s="60">
        <f t="shared" si="100"/>
        <v>173.69760199651617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0.13125133911682596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0.13125133911682596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8">
        <f t="shared" si="56"/>
        <v>183.33333333333334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280.59999999999945</v>
      </c>
      <c r="O122" s="14">
        <f>N122*VLOOKUP('Données projet'!$B$9,Paramètres!$A$1:$I$89,3,0)*VLOOKUP('Données projet'!$B$9,Paramètres!$A$1:$I$89,5,0)</f>
        <v>284.52839999999946</v>
      </c>
      <c r="P122" s="14">
        <f t="shared" si="87"/>
        <v>67.923094584210745</v>
      </c>
      <c r="Q122" s="22">
        <f t="shared" si="107"/>
        <v>613.85301973416608</v>
      </c>
      <c r="R122" s="60">
        <f t="shared" si="55"/>
        <v>895.76301103209516</v>
      </c>
      <c r="S122" s="60">
        <f ca="1">AVERAGE(OFFSET($R$3,0,0,'Données projet'!$E$9+1,1))-AVERAGE(OFFSET($H$3,0,0,'Données projet'!$E$9+1,1))</f>
        <v>516.54532596122067</v>
      </c>
      <c r="T122" s="60">
        <f t="shared" si="88"/>
        <v>273.35778700650792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2.4358974358974366</v>
      </c>
      <c r="AI122" s="14">
        <f>IF('Données projet'!$A$62&gt;35,AI121+AH122-AQ121,IF(A122&lt;'Données projet'!$A$62,$AF$205^A122,IF(A122='Données projet'!$A$62,'Données projet'!$B$62,AI121+AH122-AQ121)))</f>
        <v>211.66666666666686</v>
      </c>
      <c r="AJ122" s="14">
        <f>AI122*VLOOKUP('Données projet'!$B$10,Paramètres!$A$1:$I$89,3,0)*VLOOKUP('Données projet'!$B$10,Paramètres!$A$1:$I$89,5,0)</f>
        <v>201.4220000000002</v>
      </c>
      <c r="AK122" s="14">
        <f t="shared" si="89"/>
        <v>50.05655130827973</v>
      </c>
      <c r="AL122" s="22">
        <f t="shared" si="58"/>
        <v>437.99181019525417</v>
      </c>
      <c r="AM122" s="60">
        <f t="shared" si="59"/>
        <v>719.90180149318326</v>
      </c>
      <c r="AN122" s="60">
        <f ca="1">AVERAGE(OFFSET($AM$3,0,0,'Données projet'!$E$10+1,1))-AVERAGE(OFFSET($H$3,0,0,'Données projet'!$E$10+1,1))</f>
        <v>328.36544111680962</v>
      </c>
      <c r="AO122" s="60">
        <f t="shared" si="90"/>
        <v>226.85392900722772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-9.9316821433603781E-14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296.01124173332352</v>
      </c>
      <c r="BJ122" s="60">
        <f t="shared" si="92"/>
        <v>315.50730924873733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-3.7243808037601412E-14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216.42026264996392</v>
      </c>
      <c r="CE122" s="60">
        <f t="shared" si="94"/>
        <v>216.4587454288401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2.4</v>
      </c>
      <c r="CT122" s="13">
        <f>IF('Données projet'!$A$140&gt;35,CT121+CS122-DB121,IF(A122&lt;'Données projet'!$A$140,$CQ$205^A122,IF(A122='Données projet'!$A$140,'Données projet'!$B$140,CT121+CS122-DB121)))</f>
        <v>217.60000000000008</v>
      </c>
      <c r="CU122" s="18">
        <f>CT122*VLOOKUP('Données projet'!$B$13,Paramètres!$A$1:$I$89,3,0)*VLOOKUP('Données projet'!$B$13,Paramètres!$A$1:$I$89,5,0)</f>
        <v>210.46272000000005</v>
      </c>
      <c r="CV122" s="14">
        <f t="shared" si="95"/>
        <v>52.036688703722042</v>
      </c>
      <c r="CW122" s="22">
        <f t="shared" si="67"/>
        <v>457.18647015898267</v>
      </c>
      <c r="CX122" s="60">
        <f t="shared" si="68"/>
        <v>739.09646145691181</v>
      </c>
      <c r="CY122" s="60">
        <f ca="1">AVERAGE(OFFSET($CX$3,0,0,'Données projet'!$E$13+1,1))-AVERAGE(OFFSET($H$3,0,0,'Données projet'!$E$13+1,1))</f>
        <v>385.5283976785621</v>
      </c>
      <c r="CZ122" s="60">
        <f t="shared" si="96"/>
        <v>173.19148969173838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3.4</v>
      </c>
      <c r="DO122" s="13">
        <f>IF('Données projet'!$A$166&gt;35,DO121+DN122-DW121,IF(A122&lt;'Données projet'!$A$166,$DL$205^A122,IF(A122='Données projet'!$A$166,'Données projet'!$B$166,DO121+DN122-DW121)))</f>
        <v>280.59999999999945</v>
      </c>
      <c r="DP122" s="18">
        <f>DO122*VLOOKUP('Données projet'!$B$14,Paramètres!$A$1:$I$89,3,0)*VLOOKUP('Données projet'!$B$14,Paramètres!$A$1:$I$89,5,0)</f>
        <v>302.03783999999939</v>
      </c>
      <c r="DQ122" s="14">
        <f t="shared" si="97"/>
        <v>71.603504545962494</v>
      </c>
      <c r="DR122" s="22">
        <f t="shared" si="70"/>
        <v>650.75867508421697</v>
      </c>
      <c r="DS122" s="60">
        <f t="shared" si="71"/>
        <v>932.66866638214606</v>
      </c>
      <c r="DT122" s="60">
        <f ca="1">AVERAGE(OFFSET($DS$3,0,0,'Données projet'!$E$14+1,1))-AVERAGE(OFFSET($H$3,0,0,'Données projet'!$E$14+1,1))</f>
        <v>543.15812193567342</v>
      </c>
      <c r="DU122" s="60">
        <f t="shared" si="98"/>
        <v>286.40725588660575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2.8421709430404007E-14</v>
      </c>
      <c r="EK122" s="18">
        <f>EJ122*VLOOKUP('Données projet'!$B$15,Paramètres!$A$1:$I$89,3,0)*VLOOKUP('Données projet'!$B$15,Paramètres!$A$1:$I$89,5,0)</f>
        <v>1.906528268591501E-14</v>
      </c>
      <c r="EL122" s="14">
        <f t="shared" si="99"/>
        <v>3.473561557570726E-13</v>
      </c>
      <c r="EM122" s="22">
        <f t="shared" si="73"/>
        <v>6.3818400528820342E-13</v>
      </c>
      <c r="EN122" s="60">
        <f t="shared" si="74"/>
        <v>281.90999129792976</v>
      </c>
      <c r="EO122" s="60">
        <f ca="1">AVERAGE(OFFSET($EN$3,0,0,'Données projet'!$E$15+1,1))-AVERAGE(OFFSET($H$3,0,0,'Données projet'!$E$15+1,1))</f>
        <v>239.52247785001794</v>
      </c>
      <c r="EP122" s="60">
        <f t="shared" si="100"/>
        <v>173.69760199651617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0.12766226434646841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0.12766226434646841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8">
        <f t="shared" si="56"/>
        <v>183.33333333333334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283.99999999999943</v>
      </c>
      <c r="O123" s="14">
        <f>N123*VLOOKUP('Données projet'!$B$9,Paramètres!$A$1:$I$89,3,0)*VLOOKUP('Données projet'!$B$9,Paramètres!$A$1:$I$89,5,0)</f>
        <v>287.97599999999943</v>
      </c>
      <c r="P123" s="14">
        <f t="shared" si="87"/>
        <v>68.649801713863027</v>
      </c>
      <c r="Q123" s="22">
        <f t="shared" si="107"/>
        <v>621.12327131831046</v>
      </c>
      <c r="R123" s="60">
        <f t="shared" si="55"/>
        <v>903.23143206178702</v>
      </c>
      <c r="S123" s="60">
        <f ca="1">AVERAGE(OFFSET($R$3,0,0,'Données projet'!$E$9+1,1))-AVERAGE(OFFSET($H$3,0,0,'Données projet'!$E$9+1,1))</f>
        <v>516.54532596122067</v>
      </c>
      <c r="T123" s="60">
        <f t="shared" si="88"/>
        <v>273.35778700650792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214.10256410256409</v>
      </c>
      <c r="AG123" s="13">
        <f>VLOOKUP(A123,'Données projet'!$A$61:$I$81,9,0)</f>
        <v>2.4358974358974366</v>
      </c>
      <c r="AH123" s="13">
        <f t="array" ref="AH123">INDEX(AG:AG,MIN(IF(ISNUMBER(AG123:AG319),ROW(AG123:AG319),"")))</f>
        <v>2.4358974358974366</v>
      </c>
      <c r="AI123" s="14">
        <f>IF('Données projet'!$A$62&gt;35,AI122+AH123-AQ122,IF(A123&lt;'Données projet'!$A$62,$AF$205^A123,IF(A123='Données projet'!$A$62,'Données projet'!$B$62,AI122+AH123-AQ122)))</f>
        <v>214.10256410256429</v>
      </c>
      <c r="AJ123" s="14">
        <f>AI123*VLOOKUP('Données projet'!$B$10,Paramètres!$A$1:$I$89,3,0)*VLOOKUP('Données projet'!$B$10,Paramètres!$A$1:$I$89,5,0)</f>
        <v>203.74000000000015</v>
      </c>
      <c r="AK123" s="14">
        <f t="shared" si="89"/>
        <v>50.565218142155324</v>
      </c>
      <c r="AL123" s="22">
        <f t="shared" si="58"/>
        <v>442.91492159758741</v>
      </c>
      <c r="AM123" s="60">
        <f t="shared" si="59"/>
        <v>725.02308234106408</v>
      </c>
      <c r="AN123" s="60">
        <f ca="1">AVERAGE(OFFSET($AM$3,0,0,'Données projet'!$E$10+1,1))-AVERAGE(OFFSET($H$3,0,0,'Données projet'!$E$10+1,1))</f>
        <v>328.36544111680962</v>
      </c>
      <c r="AO123" s="60">
        <f t="shared" si="90"/>
        <v>226.85392900722772</v>
      </c>
      <c r="AP123" s="16">
        <f>IF(ISNA(VLOOKUP(A123,'Données projet'!$A$61:$I$81,3,0)),0,VLOOKUP(A123,'Données projet'!$A$61:$I$81,3,0))</f>
        <v>11</v>
      </c>
      <c r="AQ123" s="16">
        <f>IF(ISNA(VLOOKUP(A123,'Données projet'!$A$61:$I$81,4,0)),0,VLOOKUP(A123,'Données projet'!$A$61:$I$81,4,0))</f>
        <v>214.10256410256409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-9.9316821433603781E-14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296.01124173332352</v>
      </c>
      <c r="BJ123" s="60">
        <f t="shared" si="92"/>
        <v>315.50730924873733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-3.7243808037601412E-14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216.42026264996392</v>
      </c>
      <c r="CE123" s="60">
        <f t="shared" si="94"/>
        <v>216.4587454288401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2.4</v>
      </c>
      <c r="CT123" s="13">
        <f>IF('Données projet'!$A$140&gt;35,CT122+CS123-DB122,IF(A123&lt;'Données projet'!$A$140,$CQ$205^A123,IF(A123='Données projet'!$A$140,'Données projet'!$B$140,CT122+CS123-DB122)))</f>
        <v>220.00000000000009</v>
      </c>
      <c r="CU123" s="18">
        <f>CT123*VLOOKUP('Données projet'!$B$13,Paramètres!$A$1:$I$89,3,0)*VLOOKUP('Données projet'!$B$13,Paramètres!$A$1:$I$89,5,0)</f>
        <v>212.78400000000011</v>
      </c>
      <c r="CV123" s="14">
        <f t="shared" si="95"/>
        <v>52.543492641808108</v>
      </c>
      <c r="CW123" s="22">
        <f t="shared" si="67"/>
        <v>462.1120496844826</v>
      </c>
      <c r="CX123" s="60">
        <f t="shared" si="68"/>
        <v>744.22021042795927</v>
      </c>
      <c r="CY123" s="60">
        <f ca="1">AVERAGE(OFFSET($CX$3,0,0,'Données projet'!$E$13+1,1))-AVERAGE(OFFSET($H$3,0,0,'Données projet'!$E$13+1,1))</f>
        <v>385.5283976785621</v>
      </c>
      <c r="CZ123" s="60">
        <f t="shared" si="96"/>
        <v>173.19148969173838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3.4</v>
      </c>
      <c r="DO123" s="13">
        <f>IF('Données projet'!$A$166&gt;35,DO122+DN123-DW122,IF(A123&lt;'Données projet'!$A$166,$DL$205^A123,IF(A123='Données projet'!$A$166,'Données projet'!$B$166,DO122+DN123-DW122)))</f>
        <v>283.99999999999943</v>
      </c>
      <c r="DP123" s="18">
        <f>DO123*VLOOKUP('Données projet'!$B$14,Paramètres!$A$1:$I$89,3,0)*VLOOKUP('Données projet'!$B$14,Paramètres!$A$1:$I$89,5,0)</f>
        <v>305.69759999999934</v>
      </c>
      <c r="DQ123" s="14">
        <f t="shared" si="97"/>
        <v>72.369588270212233</v>
      </c>
      <c r="DR123" s="22">
        <f t="shared" si="70"/>
        <v>658.46701957061839</v>
      </c>
      <c r="DS123" s="60">
        <f t="shared" si="71"/>
        <v>940.57518031409495</v>
      </c>
      <c r="DT123" s="60">
        <f ca="1">AVERAGE(OFFSET($DS$3,0,0,'Données projet'!$E$14+1,1))-AVERAGE(OFFSET($H$3,0,0,'Données projet'!$E$14+1,1))</f>
        <v>543.15812193567342</v>
      </c>
      <c r="DU123" s="60">
        <f t="shared" si="98"/>
        <v>286.40725588660575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2.8421709430404007E-14</v>
      </c>
      <c r="EK123" s="18">
        <f>EJ123*VLOOKUP('Données projet'!$B$15,Paramètres!$A$1:$I$89,3,0)*VLOOKUP('Données projet'!$B$15,Paramètres!$A$1:$I$89,5,0)</f>
        <v>1.906528268591501E-14</v>
      </c>
      <c r="EL123" s="14">
        <f t="shared" si="99"/>
        <v>3.473561557570726E-13</v>
      </c>
      <c r="EM123" s="22">
        <f t="shared" si="73"/>
        <v>6.3818400528820342E-13</v>
      </c>
      <c r="EN123" s="60">
        <f t="shared" si="74"/>
        <v>282.10816074347724</v>
      </c>
      <c r="EO123" s="60">
        <f ca="1">AVERAGE(OFFSET($EN$3,0,0,'Données projet'!$E$15+1,1))-AVERAGE(OFFSET($H$3,0,0,'Données projet'!$E$15+1,1))</f>
        <v>239.52247785001794</v>
      </c>
      <c r="EP123" s="60">
        <f t="shared" si="100"/>
        <v>173.69760199651617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0.12417133301444752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0.12417133301444752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8">
        <f t="shared" si="56"/>
        <v>183.33333333333334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287.39999999999941</v>
      </c>
      <c r="O124" s="14">
        <f>N124*VLOOKUP('Données projet'!$B$9,Paramètres!$A$1:$I$89,3,0)*VLOOKUP('Données projet'!$B$9,Paramètres!$A$1:$I$89,5,0)</f>
        <v>291.42359999999945</v>
      </c>
      <c r="P124" s="14">
        <f t="shared" si="87"/>
        <v>69.375496841482047</v>
      </c>
      <c r="Q124" s="22">
        <f t="shared" si="107"/>
        <v>628.39176033224692</v>
      </c>
      <c r="R124" s="60">
        <f t="shared" si="55"/>
        <v>910.69465272443131</v>
      </c>
      <c r="S124" s="60">
        <f ca="1">AVERAGE(OFFSET($R$3,0,0,'Données projet'!$E$9+1,1))-AVERAGE(OFFSET($H$3,0,0,'Données projet'!$E$9+1,1))</f>
        <v>516.54532596122067</v>
      </c>
      <c r="T124" s="60">
        <f t="shared" si="88"/>
        <v>273.35778700650792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1.9895196601282805E-13</v>
      </c>
      <c r="AJ124" s="14">
        <f>AI124*VLOOKUP('Données projet'!$B$10,Paramètres!$A$1:$I$89,3,0)*VLOOKUP('Données projet'!$B$10,Paramètres!$A$1:$I$89,5,0)</f>
        <v>1.8932269085780715E-13</v>
      </c>
      <c r="AK124" s="14">
        <f t="shared" si="89"/>
        <v>2.6405131992468737E-12</v>
      </c>
      <c r="AL124" s="22">
        <f t="shared" si="58"/>
        <v>4.9286308419323191E-12</v>
      </c>
      <c r="AM124" s="60">
        <f t="shared" si="59"/>
        <v>282.30289239218934</v>
      </c>
      <c r="AN124" s="60">
        <f ca="1">AVERAGE(OFFSET($AM$3,0,0,'Données projet'!$E$10+1,1))-AVERAGE(OFFSET($H$3,0,0,'Données projet'!$E$10+1,1))</f>
        <v>328.36544111680962</v>
      </c>
      <c r="AO124" s="60">
        <f t="shared" si="90"/>
        <v>226.85392900722772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-9.9316821433603781E-14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296.01124173332352</v>
      </c>
      <c r="BJ124" s="60">
        <f t="shared" si="92"/>
        <v>315.50730924873733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-3.7243808037601412E-14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216.42026264996392</v>
      </c>
      <c r="CE124" s="60">
        <f t="shared" si="94"/>
        <v>216.4587454288401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2.4</v>
      </c>
      <c r="CT124" s="13">
        <f>IF('Données projet'!$A$140&gt;35,CT123+CS124-DB123,IF(A124&lt;'Données projet'!$A$140,$CQ$205^A124,IF(A124='Données projet'!$A$140,'Données projet'!$B$140,CT123+CS124-DB123)))</f>
        <v>222.40000000000009</v>
      </c>
      <c r="CU124" s="18">
        <f>CT124*VLOOKUP('Données projet'!$B$13,Paramètres!$A$1:$I$89,3,0)*VLOOKUP('Données projet'!$B$13,Paramètres!$A$1:$I$89,5,0)</f>
        <v>215.10528000000011</v>
      </c>
      <c r="CV124" s="14">
        <f t="shared" si="95"/>
        <v>53.049653425970071</v>
      </c>
      <c r="CW124" s="22">
        <f t="shared" si="67"/>
        <v>467.03650905023136</v>
      </c>
      <c r="CX124" s="60">
        <f t="shared" si="68"/>
        <v>749.33940144241569</v>
      </c>
      <c r="CY124" s="60">
        <f ca="1">AVERAGE(OFFSET($CX$3,0,0,'Données projet'!$E$13+1,1))-AVERAGE(OFFSET($H$3,0,0,'Données projet'!$E$13+1,1))</f>
        <v>385.5283976785621</v>
      </c>
      <c r="CZ124" s="60">
        <f t="shared" si="96"/>
        <v>173.19148969173838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3.4</v>
      </c>
      <c r="DO124" s="13">
        <f>IF('Données projet'!$A$166&gt;35,DO123+DN124-DW123,IF(A124&lt;'Données projet'!$A$166,$DL$205^A124,IF(A124='Données projet'!$A$166,'Données projet'!$B$166,DO123+DN124-DW123)))</f>
        <v>287.39999999999941</v>
      </c>
      <c r="DP124" s="18">
        <f>DO124*VLOOKUP('Données projet'!$B$14,Paramètres!$A$1:$I$89,3,0)*VLOOKUP('Données projet'!$B$14,Paramètres!$A$1:$I$89,5,0)</f>
        <v>309.35735999999935</v>
      </c>
      <c r="DQ124" s="14">
        <f t="shared" si="97"/>
        <v>73.134605157142033</v>
      </c>
      <c r="DR124" s="22">
        <f t="shared" si="70"/>
        <v>666.17350598202131</v>
      </c>
      <c r="DS124" s="60">
        <f t="shared" si="71"/>
        <v>948.4763983742057</v>
      </c>
      <c r="DT124" s="60">
        <f ca="1">AVERAGE(OFFSET($DS$3,0,0,'Données projet'!$E$14+1,1))-AVERAGE(OFFSET($H$3,0,0,'Données projet'!$E$14+1,1))</f>
        <v>543.15812193567342</v>
      </c>
      <c r="DU124" s="60">
        <f t="shared" si="98"/>
        <v>286.40725588660575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2.8421709430404007E-14</v>
      </c>
      <c r="EK124" s="18">
        <f>EJ124*VLOOKUP('Données projet'!$B$15,Paramètres!$A$1:$I$89,3,0)*VLOOKUP('Données projet'!$B$15,Paramètres!$A$1:$I$89,5,0)</f>
        <v>1.906528268591501E-14</v>
      </c>
      <c r="EL124" s="14">
        <f t="shared" si="99"/>
        <v>3.473561557570726E-13</v>
      </c>
      <c r="EM124" s="22">
        <f t="shared" si="73"/>
        <v>6.3818400528820342E-13</v>
      </c>
      <c r="EN124" s="60">
        <f t="shared" si="74"/>
        <v>282.30289239218502</v>
      </c>
      <c r="EO124" s="60">
        <f ca="1">AVERAGE(OFFSET($EN$3,0,0,'Données projet'!$E$15+1,1))-AVERAGE(OFFSET($H$3,0,0,'Données projet'!$E$15+1,1))</f>
        <v>239.52247785001794</v>
      </c>
      <c r="EP124" s="60">
        <f t="shared" si="100"/>
        <v>173.69760199651617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0.12077586138328085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0.12077586138328085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8">
        <f t="shared" si="56"/>
        <v>183.33333333333334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290.79999999999939</v>
      </c>
      <c r="O125" s="14">
        <f>N125*VLOOKUP('Données projet'!$B$9,Paramètres!$A$1:$I$89,3,0)*VLOOKUP('Données projet'!$B$9,Paramètres!$A$1:$I$89,5,0)</f>
        <v>294.87119999999942</v>
      </c>
      <c r="P125" s="14">
        <f t="shared" si="87"/>
        <v>70.100193324246931</v>
      </c>
      <c r="Q125" s="22">
        <f t="shared" si="107"/>
        <v>635.65851003972909</v>
      </c>
      <c r="R125" s="60">
        <f t="shared" si="55"/>
        <v>918.15275592187095</v>
      </c>
      <c r="S125" s="60">
        <f ca="1">AVERAGE(OFFSET($R$3,0,0,'Données projet'!$E$9+1,1))-AVERAGE(OFFSET($H$3,0,0,'Données projet'!$E$9+1,1))</f>
        <v>516.54532596122067</v>
      </c>
      <c r="T125" s="60">
        <f t="shared" si="88"/>
        <v>273.35778700650792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1.9895196601282805E-13</v>
      </c>
      <c r="AJ125" s="14">
        <f>AI125*VLOOKUP('Données projet'!$B$10,Paramètres!$A$1:$I$89,3,0)*VLOOKUP('Données projet'!$B$10,Paramètres!$A$1:$I$89,5,0)</f>
        <v>1.8932269085780715E-13</v>
      </c>
      <c r="AK125" s="14">
        <f t="shared" si="89"/>
        <v>2.6405131992468737E-12</v>
      </c>
      <c r="AL125" s="22">
        <f t="shared" si="58"/>
        <v>4.9286308419323191E-12</v>
      </c>
      <c r="AM125" s="60">
        <f t="shared" si="59"/>
        <v>282.49424588214674</v>
      </c>
      <c r="AN125" s="60">
        <f ca="1">AVERAGE(OFFSET($AM$3,0,0,'Données projet'!$E$10+1,1))-AVERAGE(OFFSET($H$3,0,0,'Données projet'!$E$10+1,1))</f>
        <v>328.36544111680962</v>
      </c>
      <c r="AO125" s="60">
        <f t="shared" si="90"/>
        <v>226.85392900722772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-9.9316821433603781E-14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296.01124173332352</v>
      </c>
      <c r="BJ125" s="60">
        <f t="shared" si="92"/>
        <v>315.50730924873733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-3.7243808037601412E-14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216.42026264996392</v>
      </c>
      <c r="CE125" s="60">
        <f t="shared" si="94"/>
        <v>216.4587454288401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2.4</v>
      </c>
      <c r="CT125" s="13">
        <f>IF('Données projet'!$A$140&gt;35,CT124+CS125-DB124,IF(A125&lt;'Données projet'!$A$140,$CQ$205^A125,IF(A125='Données projet'!$A$140,'Données projet'!$B$140,CT124+CS125-DB124)))</f>
        <v>224.8000000000001</v>
      </c>
      <c r="CU125" s="18">
        <f>CT125*VLOOKUP('Données projet'!$B$13,Paramètres!$A$1:$I$89,3,0)*VLOOKUP('Données projet'!$B$13,Paramètres!$A$1:$I$89,5,0)</f>
        <v>217.42656000000011</v>
      </c>
      <c r="CV125" s="14">
        <f t="shared" si="95"/>
        <v>53.555178800030887</v>
      </c>
      <c r="CW125" s="22">
        <f t="shared" si="67"/>
        <v>471.95986174338731</v>
      </c>
      <c r="CX125" s="60">
        <f t="shared" si="68"/>
        <v>754.4541076255291</v>
      </c>
      <c r="CY125" s="60">
        <f ca="1">AVERAGE(OFFSET($CX$3,0,0,'Données projet'!$E$13+1,1))-AVERAGE(OFFSET($H$3,0,0,'Données projet'!$E$13+1,1))</f>
        <v>385.5283976785621</v>
      </c>
      <c r="CZ125" s="60">
        <f t="shared" si="96"/>
        <v>173.19148969173838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3.4</v>
      </c>
      <c r="DO125" s="13">
        <f>IF('Données projet'!$A$166&gt;35,DO124+DN125-DW124,IF(A125&lt;'Données projet'!$A$166,$DL$205^A125,IF(A125='Données projet'!$A$166,'Données projet'!$B$166,DO124+DN125-DW124)))</f>
        <v>290.79999999999939</v>
      </c>
      <c r="DP125" s="18">
        <f>DO125*VLOOKUP('Données projet'!$B$14,Paramètres!$A$1:$I$89,3,0)*VLOOKUP('Données projet'!$B$14,Paramètres!$A$1:$I$89,5,0)</f>
        <v>313.01711999999935</v>
      </c>
      <c r="DQ125" s="14">
        <f t="shared" si="97"/>
        <v>73.898569287689199</v>
      </c>
      <c r="DR125" s="22">
        <f t="shared" si="70"/>
        <v>673.87815884272425</v>
      </c>
      <c r="DS125" s="60">
        <f t="shared" si="71"/>
        <v>956.3724047248661</v>
      </c>
      <c r="DT125" s="60">
        <f ca="1">AVERAGE(OFFSET($DS$3,0,0,'Données projet'!$E$14+1,1))-AVERAGE(OFFSET($H$3,0,0,'Données projet'!$E$14+1,1))</f>
        <v>543.15812193567342</v>
      </c>
      <c r="DU125" s="60">
        <f t="shared" si="98"/>
        <v>286.40725588660575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2.8421709430404007E-14</v>
      </c>
      <c r="EK125" s="18">
        <f>EJ125*VLOOKUP('Données projet'!$B$15,Paramètres!$A$1:$I$89,3,0)*VLOOKUP('Données projet'!$B$15,Paramètres!$A$1:$I$89,5,0)</f>
        <v>1.906528268591501E-14</v>
      </c>
      <c r="EL125" s="14">
        <f t="shared" si="99"/>
        <v>3.473561557570726E-13</v>
      </c>
      <c r="EM125" s="22">
        <f t="shared" si="73"/>
        <v>6.3818400528820342E-13</v>
      </c>
      <c r="EN125" s="60">
        <f t="shared" si="74"/>
        <v>282.49424588214242</v>
      </c>
      <c r="EO125" s="60">
        <f ca="1">AVERAGE(OFFSET($EN$3,0,0,'Données projet'!$E$15+1,1))-AVERAGE(OFFSET($H$3,0,0,'Données projet'!$E$15+1,1))</f>
        <v>239.52247785001794</v>
      </c>
      <c r="EP125" s="60">
        <f t="shared" si="100"/>
        <v>173.69760199651617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0.11747323910242852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0.11747323910242852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8">
        <f t="shared" si="56"/>
        <v>183.33333333333334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294.19999999999936</v>
      </c>
      <c r="O126" s="14">
        <f>N126*VLOOKUP('Données projet'!$B$9,Paramètres!$A$1:$I$89,3,0)*VLOOKUP('Données projet'!$B$9,Paramètres!$A$1:$I$89,5,0)</f>
        <v>298.31879999999938</v>
      </c>
      <c r="P126" s="14">
        <f t="shared" si="87"/>
        <v>70.823904189019785</v>
      </c>
      <c r="Q126" s="22">
        <f t="shared" si="107"/>
        <v>642.92354312920827</v>
      </c>
      <c r="R126" s="60">
        <f t="shared" si="55"/>
        <v>925.60582294605888</v>
      </c>
      <c r="S126" s="60">
        <f ca="1">AVERAGE(OFFSET($R$3,0,0,'Données projet'!$E$9+1,1))-AVERAGE(OFFSET($H$3,0,0,'Données projet'!$E$9+1,1))</f>
        <v>516.54532596122067</v>
      </c>
      <c r="T126" s="60">
        <f t="shared" si="88"/>
        <v>273.35778700650792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1.9895196601282805E-13</v>
      </c>
      <c r="AJ126" s="14">
        <f>AI126*VLOOKUP('Données projet'!$B$10,Paramètres!$A$1:$I$89,3,0)*VLOOKUP('Données projet'!$B$10,Paramètres!$A$1:$I$89,5,0)</f>
        <v>1.8932269085780715E-13</v>
      </c>
      <c r="AK126" s="14">
        <f t="shared" si="89"/>
        <v>2.6405131992468737E-12</v>
      </c>
      <c r="AL126" s="22">
        <f t="shared" si="58"/>
        <v>4.9286308419323191E-12</v>
      </c>
      <c r="AM126" s="60">
        <f t="shared" si="59"/>
        <v>282.68227981685561</v>
      </c>
      <c r="AN126" s="60">
        <f ca="1">AVERAGE(OFFSET($AM$3,0,0,'Données projet'!$E$10+1,1))-AVERAGE(OFFSET($H$3,0,0,'Données projet'!$E$10+1,1))</f>
        <v>328.36544111680962</v>
      </c>
      <c r="AO126" s="60">
        <f t="shared" si="90"/>
        <v>226.85392900722772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-9.9316821433603781E-14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296.01124173332352</v>
      </c>
      <c r="BJ126" s="60">
        <f t="shared" si="92"/>
        <v>315.50730924873733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-3.7243808037601412E-14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216.42026264996392</v>
      </c>
      <c r="CE126" s="60">
        <f t="shared" si="94"/>
        <v>216.4587454288401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2.4</v>
      </c>
      <c r="CT126" s="13">
        <f>IF('Données projet'!$A$140&gt;35,CT125+CS126-DB125,IF(A126&lt;'Données projet'!$A$140,$CQ$205^A126,IF(A126='Données projet'!$A$140,'Données projet'!$B$140,CT125+CS126-DB125)))</f>
        <v>227.2000000000001</v>
      </c>
      <c r="CU126" s="18">
        <f>CT126*VLOOKUP('Données projet'!$B$13,Paramètres!$A$1:$I$89,3,0)*VLOOKUP('Données projet'!$B$13,Paramètres!$A$1:$I$89,5,0)</f>
        <v>219.74784000000011</v>
      </c>
      <c r="CV126" s="14">
        <f t="shared" si="95"/>
        <v>54.060076332940611</v>
      </c>
      <c r="CW126" s="22">
        <f t="shared" si="67"/>
        <v>476.88212094653846</v>
      </c>
      <c r="CX126" s="60">
        <f t="shared" si="68"/>
        <v>759.56440076338913</v>
      </c>
      <c r="CY126" s="60">
        <f ca="1">AVERAGE(OFFSET($CX$3,0,0,'Données projet'!$E$13+1,1))-AVERAGE(OFFSET($H$3,0,0,'Données projet'!$E$13+1,1))</f>
        <v>385.5283976785621</v>
      </c>
      <c r="CZ126" s="60">
        <f t="shared" si="96"/>
        <v>173.19148969173838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3.4</v>
      </c>
      <c r="DO126" s="13">
        <f>IF('Données projet'!$A$166&gt;35,DO125+DN126-DW125,IF(A126&lt;'Données projet'!$A$166,$DL$205^A126,IF(A126='Données projet'!$A$166,'Données projet'!$B$166,DO125+DN126-DW125)))</f>
        <v>294.19999999999936</v>
      </c>
      <c r="DP126" s="18">
        <f>DO126*VLOOKUP('Données projet'!$B$14,Paramètres!$A$1:$I$89,3,0)*VLOOKUP('Données projet'!$B$14,Paramètres!$A$1:$I$89,5,0)</f>
        <v>316.6768799999993</v>
      </c>
      <c r="DQ126" s="14">
        <f t="shared" si="97"/>
        <v>74.661494394575769</v>
      </c>
      <c r="DR126" s="22">
        <f t="shared" si="70"/>
        <v>681.58100207055156</v>
      </c>
      <c r="DS126" s="60">
        <f t="shared" si="71"/>
        <v>964.26328188740217</v>
      </c>
      <c r="DT126" s="60">
        <f ca="1">AVERAGE(OFFSET($DS$3,0,0,'Données projet'!$E$14+1,1))-AVERAGE(OFFSET($H$3,0,0,'Données projet'!$E$14+1,1))</f>
        <v>543.15812193567342</v>
      </c>
      <c r="DU126" s="60">
        <f t="shared" si="98"/>
        <v>286.40725588660575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2.8421709430404007E-14</v>
      </c>
      <c r="EK126" s="18">
        <f>EJ126*VLOOKUP('Données projet'!$B$15,Paramètres!$A$1:$I$89,3,0)*VLOOKUP('Données projet'!$B$15,Paramètres!$A$1:$I$89,5,0)</f>
        <v>1.906528268591501E-14</v>
      </c>
      <c r="EL126" s="14">
        <f t="shared" si="99"/>
        <v>3.473561557570726E-13</v>
      </c>
      <c r="EM126" s="22">
        <f t="shared" si="73"/>
        <v>6.3818400528820342E-13</v>
      </c>
      <c r="EN126" s="60">
        <f t="shared" si="74"/>
        <v>282.68227981685129</v>
      </c>
      <c r="EO126" s="60">
        <f ca="1">AVERAGE(OFFSET($EN$3,0,0,'Données projet'!$E$15+1,1))-AVERAGE(OFFSET($H$3,0,0,'Données projet'!$E$15+1,1))</f>
        <v>239.52247785001794</v>
      </c>
      <c r="EP126" s="60">
        <f t="shared" si="100"/>
        <v>173.69760199651617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0.11426092720152345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0.11426092720152345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8">
        <f t="shared" si="56"/>
        <v>183.33333333333334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297.59999999999934</v>
      </c>
      <c r="O127" s="14">
        <f>N127*VLOOKUP('Données projet'!$B$9,Paramètres!$A$1:$I$89,3,0)*VLOOKUP('Données projet'!$B$9,Paramètres!$A$1:$I$89,5,0)</f>
        <v>301.76639999999935</v>
      </c>
      <c r="P127" s="14">
        <f t="shared" si="87"/>
        <v>71.546642144235236</v>
      </c>
      <c r="Q127" s="22">
        <f t="shared" si="107"/>
        <v>650.18688173454188</v>
      </c>
      <c r="R127" s="60">
        <f t="shared" si="55"/>
        <v>933.05393351771522</v>
      </c>
      <c r="S127" s="60">
        <f ca="1">AVERAGE(OFFSET($R$3,0,0,'Données projet'!$E$9+1,1))-AVERAGE(OFFSET($H$3,0,0,'Données projet'!$E$9+1,1))</f>
        <v>516.54532596122067</v>
      </c>
      <c r="T127" s="60">
        <f t="shared" si="88"/>
        <v>273.35778700650792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1.9895196601282805E-13</v>
      </c>
      <c r="AJ127" s="14">
        <f>AI127*VLOOKUP('Données projet'!$B$10,Paramètres!$A$1:$I$89,3,0)*VLOOKUP('Données projet'!$B$10,Paramètres!$A$1:$I$89,5,0)</f>
        <v>1.8932269085780715E-13</v>
      </c>
      <c r="AK127" s="14">
        <f t="shared" si="89"/>
        <v>2.6405131992468737E-12</v>
      </c>
      <c r="AL127" s="22">
        <f t="shared" si="58"/>
        <v>4.9286308419323191E-12</v>
      </c>
      <c r="AM127" s="60">
        <f t="shared" si="59"/>
        <v>282.86705178317828</v>
      </c>
      <c r="AN127" s="60">
        <f ca="1">AVERAGE(OFFSET($AM$3,0,0,'Données projet'!$E$10+1,1))-AVERAGE(OFFSET($H$3,0,0,'Données projet'!$E$10+1,1))</f>
        <v>328.36544111680962</v>
      </c>
      <c r="AO127" s="60">
        <f t="shared" si="90"/>
        <v>226.85392900722772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-9.9316821433603781E-14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296.01124173332352</v>
      </c>
      <c r="BJ127" s="60">
        <f t="shared" si="92"/>
        <v>315.50730924873733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-3.7243808037601412E-14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216.42026264996392</v>
      </c>
      <c r="CE127" s="60">
        <f t="shared" si="94"/>
        <v>216.4587454288401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2.4</v>
      </c>
      <c r="CT127" s="13">
        <f>IF('Données projet'!$A$140&gt;35,CT126+CS127-DB126,IF(A127&lt;'Données projet'!$A$140,$CQ$205^A127,IF(A127='Données projet'!$A$140,'Données projet'!$B$140,CT126+CS127-DB126)))</f>
        <v>229.60000000000011</v>
      </c>
      <c r="CU127" s="18">
        <f>CT127*VLOOKUP('Données projet'!$B$13,Paramètres!$A$1:$I$89,3,0)*VLOOKUP('Données projet'!$B$13,Paramètres!$A$1:$I$89,5,0)</f>
        <v>222.06912000000011</v>
      </c>
      <c r="CV127" s="14">
        <f t="shared" si="95"/>
        <v>54.564353424529749</v>
      </c>
      <c r="CW127" s="22">
        <f t="shared" si="67"/>
        <v>481.80329954772287</v>
      </c>
      <c r="CX127" s="60">
        <f t="shared" si="68"/>
        <v>764.67035133089621</v>
      </c>
      <c r="CY127" s="60">
        <f ca="1">AVERAGE(OFFSET($CX$3,0,0,'Données projet'!$E$13+1,1))-AVERAGE(OFFSET($H$3,0,0,'Données projet'!$E$13+1,1))</f>
        <v>385.5283976785621</v>
      </c>
      <c r="CZ127" s="60">
        <f t="shared" si="96"/>
        <v>173.19148969173838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3.4</v>
      </c>
      <c r="DO127" s="13">
        <f>IF('Données projet'!$A$166&gt;35,DO126+DN127-DW126,IF(A127&lt;'Données projet'!$A$166,$DL$205^A127,IF(A127='Données projet'!$A$166,'Données projet'!$B$166,DO126+DN127-DW126)))</f>
        <v>297.59999999999934</v>
      </c>
      <c r="DP127" s="18">
        <f>DO127*VLOOKUP('Données projet'!$B$14,Paramètres!$A$1:$I$89,3,0)*VLOOKUP('Données projet'!$B$14,Paramètres!$A$1:$I$89,5,0)</f>
        <v>320.33663999999931</v>
      </c>
      <c r="DQ127" s="14">
        <f t="shared" si="97"/>
        <v>75.423393874842361</v>
      </c>
      <c r="DR127" s="22">
        <f t="shared" si="70"/>
        <v>689.2820589986826</v>
      </c>
      <c r="DS127" s="60">
        <f t="shared" si="71"/>
        <v>972.14911078185594</v>
      </c>
      <c r="DT127" s="60">
        <f ca="1">AVERAGE(OFFSET($DS$3,0,0,'Données projet'!$E$14+1,1))-AVERAGE(OFFSET($H$3,0,0,'Données projet'!$E$14+1,1))</f>
        <v>543.15812193567342</v>
      </c>
      <c r="DU127" s="60">
        <f t="shared" si="98"/>
        <v>286.40725588660575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2.8421709430404007E-14</v>
      </c>
      <c r="EK127" s="18">
        <f>EJ127*VLOOKUP('Données projet'!$B$15,Paramètres!$A$1:$I$89,3,0)*VLOOKUP('Données projet'!$B$15,Paramètres!$A$1:$I$89,5,0)</f>
        <v>1.906528268591501E-14</v>
      </c>
      <c r="EL127" s="14">
        <f t="shared" si="99"/>
        <v>3.473561557570726E-13</v>
      </c>
      <c r="EM127" s="22">
        <f t="shared" si="73"/>
        <v>6.3818400528820342E-13</v>
      </c>
      <c r="EN127" s="60">
        <f t="shared" si="74"/>
        <v>282.86705178317396</v>
      </c>
      <c r="EO127" s="60">
        <f ca="1">AVERAGE(OFFSET($EN$3,0,0,'Données projet'!$E$15+1,1))-AVERAGE(OFFSET($H$3,0,0,'Données projet'!$E$15+1,1))</f>
        <v>239.52247785001794</v>
      </c>
      <c r="EP127" s="60">
        <f t="shared" si="100"/>
        <v>173.69760199651617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0.11113645613847678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0.11113645613847678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8">
        <f t="shared" si="56"/>
        <v>183.33333333333334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300.99999999999932</v>
      </c>
      <c r="O128" s="14">
        <f>N128*VLOOKUP('Données projet'!$B$9,Paramètres!$A$1:$I$89,3,0)*VLOOKUP('Données projet'!$B$9,Paramètres!$A$1:$I$89,5,0)</f>
        <v>305.21399999999932</v>
      </c>
      <c r="P128" s="14">
        <f t="shared" si="87"/>
        <v>72.268419591231137</v>
      </c>
      <c r="Q128" s="22">
        <f t="shared" si="107"/>
        <v>657.44854745472628</v>
      </c>
      <c r="R128" s="60">
        <f t="shared" si="55"/>
        <v>940.49716582369479</v>
      </c>
      <c r="S128" s="60">
        <f ca="1">AVERAGE(OFFSET($R$3,0,0,'Données projet'!$E$9+1,1))-AVERAGE(OFFSET($H$3,0,0,'Données projet'!$E$9+1,1))</f>
        <v>516.54532596122067</v>
      </c>
      <c r="T128" s="60">
        <f t="shared" si="88"/>
        <v>273.35778700650792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1.9895196601282805E-13</v>
      </c>
      <c r="AJ128" s="14">
        <f>AI128*VLOOKUP('Données projet'!$B$10,Paramètres!$A$1:$I$89,3,0)*VLOOKUP('Données projet'!$B$10,Paramètres!$A$1:$I$89,5,0)</f>
        <v>1.8932269085780715E-13</v>
      </c>
      <c r="AK128" s="14">
        <f t="shared" si="89"/>
        <v>2.6405131992468737E-12</v>
      </c>
      <c r="AL128" s="22">
        <f t="shared" si="58"/>
        <v>4.9286308419323191E-12</v>
      </c>
      <c r="AM128" s="60">
        <f t="shared" si="59"/>
        <v>283.04861836897345</v>
      </c>
      <c r="AN128" s="60">
        <f ca="1">AVERAGE(OFFSET($AM$3,0,0,'Données projet'!$E$10+1,1))-AVERAGE(OFFSET($H$3,0,0,'Données projet'!$E$10+1,1))</f>
        <v>328.36544111680962</v>
      </c>
      <c r="AO128" s="60">
        <f t="shared" si="90"/>
        <v>226.85392900722772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-9.9316821433603781E-14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296.01124173332352</v>
      </c>
      <c r="BJ128" s="60">
        <f t="shared" si="92"/>
        <v>315.50730924873733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-3.7243808037601412E-14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216.42026264996392</v>
      </c>
      <c r="CE128" s="60">
        <f t="shared" si="94"/>
        <v>216.4587454288401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>
        <f>VLOOKUP(A128,'Données projet'!$A$139:$I$159,2,0)</f>
        <v>232</v>
      </c>
      <c r="CR128" s="13">
        <f>VLOOKUP(A128,'Données projet'!$A$139:$I$159,9,0)</f>
        <v>2.4</v>
      </c>
      <c r="CS128" s="13">
        <f t="array" ref="CS128">INDEX(CR:CR,MIN(IF(ISNUMBER(CR128:CR324),ROW(CR128:CR324),"")))</f>
        <v>2.4</v>
      </c>
      <c r="CT128" s="13">
        <f>IF('Données projet'!$A$140&gt;35,CT127+CS128-DB127,IF(A128&lt;'Données projet'!$A$140,$CQ$205^A128,IF(A128='Données projet'!$A$140,'Données projet'!$B$140,CT127+CS128-DB127)))</f>
        <v>232.00000000000011</v>
      </c>
      <c r="CU128" s="18">
        <f>CT128*VLOOKUP('Données projet'!$B$13,Paramètres!$A$1:$I$89,3,0)*VLOOKUP('Données projet'!$B$13,Paramètres!$A$1:$I$89,5,0)</f>
        <v>224.39040000000011</v>
      </c>
      <c r="CV128" s="14">
        <f t="shared" si="95"/>
        <v>55.068017311015858</v>
      </c>
      <c r="CW128" s="22">
        <f t="shared" si="67"/>
        <v>486.72341015001945</v>
      </c>
      <c r="CX128" s="60">
        <f t="shared" si="68"/>
        <v>769.77202851898801</v>
      </c>
      <c r="CY128" s="60">
        <f ca="1">AVERAGE(OFFSET($CX$3,0,0,'Données projet'!$E$13+1,1))-AVERAGE(OFFSET($H$3,0,0,'Données projet'!$E$13+1,1))</f>
        <v>385.5283976785621</v>
      </c>
      <c r="CZ128" s="60">
        <f t="shared" si="96"/>
        <v>173.19148969173838</v>
      </c>
      <c r="DA128" s="16">
        <f>IF(ISNA(VLOOKUP(A128,'Données projet'!$A$139:$I$159,3,0)),0,VLOOKUP(A128,'Données projet'!$A$139:$I$159,3,0))</f>
        <v>10</v>
      </c>
      <c r="DB128" s="16">
        <f>IF(ISNA(VLOOKUP(A128,'Données projet'!$A$139:$I$159,4,0)),0,VLOOKUP(A128,'Données projet'!$A$139:$I$159,4,0))</f>
        <v>23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>
        <f>VLOOKUP(A128,'Données projet'!$A$165:$I$185,2,0)</f>
        <v>301</v>
      </c>
      <c r="DM128" s="13">
        <f>VLOOKUP(A128,'Données projet'!$A$165:$I$185,9,0)</f>
        <v>3.4</v>
      </c>
      <c r="DN128" s="13">
        <f t="array" ref="DN128">INDEX(DM:DM,MIN(IF(ISNUMBER(DM128:DM324),ROW(DM128:DM324),"")))</f>
        <v>3.4</v>
      </c>
      <c r="DO128" s="13">
        <f>IF('Données projet'!$A$166&gt;35,DO127+DN128-DW127,IF(A128&lt;'Données projet'!$A$166,$DL$205^A128,IF(A128='Données projet'!$A$166,'Données projet'!$B$166,DO127+DN128-DW127)))</f>
        <v>300.99999999999932</v>
      </c>
      <c r="DP128" s="18">
        <f>DO128*VLOOKUP('Données projet'!$B$14,Paramètres!$A$1:$I$89,3,0)*VLOOKUP('Données projet'!$B$14,Paramètres!$A$1:$I$89,5,0)</f>
        <v>323.99639999999926</v>
      </c>
      <c r="DQ128" s="14">
        <f t="shared" si="97"/>
        <v>76.184280801792809</v>
      </c>
      <c r="DR128" s="22">
        <f t="shared" si="70"/>
        <v>696.98135239645444</v>
      </c>
      <c r="DS128" s="60">
        <f t="shared" si="71"/>
        <v>980.02997076542295</v>
      </c>
      <c r="DT128" s="60">
        <f ca="1">AVERAGE(OFFSET($DS$3,0,0,'Données projet'!$E$14+1,1))-AVERAGE(OFFSET($H$3,0,0,'Données projet'!$E$14+1,1))</f>
        <v>543.15812193567342</v>
      </c>
      <c r="DU128" s="60">
        <f t="shared" si="98"/>
        <v>286.40725588660575</v>
      </c>
      <c r="DV128" s="16">
        <f>IF(ISNA(VLOOKUP(A128,'Données projet'!$A$165:$I$185,3,0)),0,VLOOKUP(A128,'Données projet'!$A$165:$I$185,3,0))</f>
        <v>11</v>
      </c>
      <c r="DW128" s="16">
        <f>IF(ISNA(VLOOKUP(A128,'Données projet'!$A$165:$I$185,4,0)),0,VLOOKUP(A128,'Données projet'!$A$165:$I$185,4,0))</f>
        <v>33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2.8421709430404007E-14</v>
      </c>
      <c r="EK128" s="18">
        <f>EJ128*VLOOKUP('Données projet'!$B$15,Paramètres!$A$1:$I$89,3,0)*VLOOKUP('Données projet'!$B$15,Paramètres!$A$1:$I$89,5,0)</f>
        <v>1.906528268591501E-14</v>
      </c>
      <c r="EL128" s="14">
        <f t="shared" si="99"/>
        <v>3.473561557570726E-13</v>
      </c>
      <c r="EM128" s="22">
        <f t="shared" si="73"/>
        <v>6.3818400528820342E-13</v>
      </c>
      <c r="EN128" s="60">
        <f t="shared" si="74"/>
        <v>283.04861836896913</v>
      </c>
      <c r="EO128" s="60">
        <f ca="1">AVERAGE(OFFSET($EN$3,0,0,'Données projet'!$E$15+1,1))-AVERAGE(OFFSET($H$3,0,0,'Données projet'!$E$15+1,1))</f>
        <v>239.52247785001794</v>
      </c>
      <c r="EP128" s="60">
        <f t="shared" si="100"/>
        <v>173.69760199651617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0.1080974239009579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0.1080974239009579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8">
        <f t="shared" si="56"/>
        <v>183.33333333333334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270.99999999999932</v>
      </c>
      <c r="O129" s="14">
        <f>N129*VLOOKUP('Données projet'!$B$9,Paramètres!$A$1:$I$89,3,0)*VLOOKUP('Données projet'!$B$9,Paramètres!$A$1:$I$89,5,0)</f>
        <v>274.7939999999993</v>
      </c>
      <c r="P129" s="14">
        <f t="shared" si="87"/>
        <v>65.865632600455356</v>
      </c>
      <c r="Q129" s="22">
        <f t="shared" si="107"/>
        <v>593.31552677912521</v>
      </c>
      <c r="R129" s="60">
        <f t="shared" si="55"/>
        <v>876.54256195954736</v>
      </c>
      <c r="S129" s="60">
        <f ca="1">AVERAGE(OFFSET($R$3,0,0,'Données projet'!$E$9+1,1))-AVERAGE(OFFSET($H$3,0,0,'Données projet'!$E$9+1,1))</f>
        <v>516.54532596122067</v>
      </c>
      <c r="T129" s="60">
        <f t="shared" si="88"/>
        <v>273.35778700650792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1.9895196601282805E-13</v>
      </c>
      <c r="AJ129" s="14">
        <f>AI129*VLOOKUP('Données projet'!$B$10,Paramètres!$A$1:$I$89,3,0)*VLOOKUP('Données projet'!$B$10,Paramètres!$A$1:$I$89,5,0)</f>
        <v>1.8932269085780715E-13</v>
      </c>
      <c r="AK129" s="14">
        <f t="shared" si="89"/>
        <v>2.6405131992468737E-12</v>
      </c>
      <c r="AL129" s="22">
        <f t="shared" si="58"/>
        <v>4.9286308419323191E-12</v>
      </c>
      <c r="AM129" s="60">
        <f t="shared" si="59"/>
        <v>283.22703518042715</v>
      </c>
      <c r="AN129" s="60">
        <f ca="1">AVERAGE(OFFSET($AM$3,0,0,'Données projet'!$E$10+1,1))-AVERAGE(OFFSET($H$3,0,0,'Données projet'!$E$10+1,1))</f>
        <v>328.36544111680962</v>
      </c>
      <c r="AO129" s="60">
        <f t="shared" si="90"/>
        <v>226.85392900722772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-9.9316821433603781E-14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296.01124173332352</v>
      </c>
      <c r="BJ129" s="60">
        <f t="shared" si="92"/>
        <v>315.50730924873733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-3.7243808037601412E-14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216.42026264996392</v>
      </c>
      <c r="CE129" s="60">
        <f t="shared" si="94"/>
        <v>216.4587454288401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2</v>
      </c>
      <c r="CT129" s="13">
        <f>IF('Données projet'!$A$140&gt;35,CT128+CS129-DB128,IF(A129&lt;'Données projet'!$A$140,$CQ$205^A129,IF(A129='Données projet'!$A$140,'Données projet'!$B$140,CT128+CS129-DB128)))</f>
        <v>211.00000000000011</v>
      </c>
      <c r="CU129" s="18">
        <f>CT129*VLOOKUP('Données projet'!$B$13,Paramètres!$A$1:$I$89,3,0)*VLOOKUP('Données projet'!$B$13,Paramètres!$A$1:$I$89,5,0)</f>
        <v>204.07920000000013</v>
      </c>
      <c r="CV129" s="14">
        <f t="shared" si="95"/>
        <v>50.639596241643567</v>
      </c>
      <c r="CW129" s="22">
        <f t="shared" si="67"/>
        <v>443.63523678752944</v>
      </c>
      <c r="CX129" s="60">
        <f t="shared" si="68"/>
        <v>726.86227196795164</v>
      </c>
      <c r="CY129" s="60">
        <f ca="1">AVERAGE(OFFSET($CX$3,0,0,'Données projet'!$E$13+1,1))-AVERAGE(OFFSET($H$3,0,0,'Données projet'!$E$13+1,1))</f>
        <v>385.5283976785621</v>
      </c>
      <c r="CZ129" s="60">
        <f t="shared" si="96"/>
        <v>173.19148969173838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</v>
      </c>
      <c r="DO129" s="13">
        <f>IF('Données projet'!$A$166&gt;35,DO128+DN129-DW128,IF(A129&lt;'Données projet'!$A$166,$DL$205^A129,IF(A129='Données projet'!$A$166,'Données projet'!$B$166,DO128+DN129-DW128)))</f>
        <v>270.99999999999932</v>
      </c>
      <c r="DP129" s="18">
        <f>DO129*VLOOKUP('Données projet'!$B$14,Paramètres!$A$1:$I$89,3,0)*VLOOKUP('Données projet'!$B$14,Paramètres!$A$1:$I$89,5,0)</f>
        <v>291.70439999999928</v>
      </c>
      <c r="DQ129" s="14">
        <f t="shared" si="97"/>
        <v>69.434559073015549</v>
      </c>
      <c r="DR129" s="22">
        <f t="shared" si="70"/>
        <v>628.9836870521674</v>
      </c>
      <c r="DS129" s="60">
        <f t="shared" si="71"/>
        <v>912.21072223258966</v>
      </c>
      <c r="DT129" s="60">
        <f ca="1">AVERAGE(OFFSET($DS$3,0,0,'Données projet'!$E$14+1,1))-AVERAGE(OFFSET($H$3,0,0,'Données projet'!$E$14+1,1))</f>
        <v>543.15812193567342</v>
      </c>
      <c r="DU129" s="60">
        <f t="shared" si="98"/>
        <v>286.40725588660575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2.8421709430404007E-14</v>
      </c>
      <c r="EK129" s="18">
        <f>EJ129*VLOOKUP('Données projet'!$B$15,Paramètres!$A$1:$I$89,3,0)*VLOOKUP('Données projet'!$B$15,Paramètres!$A$1:$I$89,5,0)</f>
        <v>1.906528268591501E-14</v>
      </c>
      <c r="EL129" s="14">
        <f t="shared" si="99"/>
        <v>3.473561557570726E-13</v>
      </c>
      <c r="EM129" s="22">
        <f t="shared" si="73"/>
        <v>6.3818400528820342E-13</v>
      </c>
      <c r="EN129" s="60">
        <f t="shared" si="74"/>
        <v>283.22703518042283</v>
      </c>
      <c r="EO129" s="60">
        <f ca="1">AVERAGE(OFFSET($EN$3,0,0,'Données projet'!$E$15+1,1))-AVERAGE(OFFSET($H$3,0,0,'Données projet'!$E$15+1,1))</f>
        <v>239.52247785001794</v>
      </c>
      <c r="EP129" s="60">
        <f t="shared" si="100"/>
        <v>173.69760199651617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0.10514149415978975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0.10514149415978975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8">
        <f t="shared" si="56"/>
        <v>183.33333333333334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273.99999999999932</v>
      </c>
      <c r="O130" s="14">
        <f>N130*VLOOKUP('Données projet'!$B$9,Paramètres!$A$1:$I$89,3,0)*VLOOKUP('Données projet'!$B$9,Paramètres!$A$1:$I$89,5,0)</f>
        <v>277.83599999999933</v>
      </c>
      <c r="P130" s="14">
        <f t="shared" si="87"/>
        <v>66.509487177652147</v>
      </c>
      <c r="Q130" s="22">
        <f t="shared" si="107"/>
        <v>599.73505683440965</v>
      </c>
      <c r="R130" s="60">
        <f t="shared" si="55"/>
        <v>883.13741369348713</v>
      </c>
      <c r="S130" s="60">
        <f ca="1">AVERAGE(OFFSET($R$3,0,0,'Données projet'!$E$9+1,1))-AVERAGE(OFFSET($H$3,0,0,'Données projet'!$E$9+1,1))</f>
        <v>516.54532596122067</v>
      </c>
      <c r="T130" s="60">
        <f t="shared" si="88"/>
        <v>273.35778700650792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1.9895196601282805E-13</v>
      </c>
      <c r="AJ130" s="14">
        <f>AI130*VLOOKUP('Données projet'!$B$10,Paramètres!$A$1:$I$89,3,0)*VLOOKUP('Données projet'!$B$10,Paramètres!$A$1:$I$89,5,0)</f>
        <v>1.8932269085780715E-13</v>
      </c>
      <c r="AK130" s="14">
        <f t="shared" si="89"/>
        <v>2.6405131992468737E-12</v>
      </c>
      <c r="AL130" s="22">
        <f t="shared" si="58"/>
        <v>4.9286308419323191E-12</v>
      </c>
      <c r="AM130" s="60">
        <f t="shared" si="59"/>
        <v>283.40235685908237</v>
      </c>
      <c r="AN130" s="60">
        <f ca="1">AVERAGE(OFFSET($AM$3,0,0,'Données projet'!$E$10+1,1))-AVERAGE(OFFSET($H$3,0,0,'Données projet'!$E$10+1,1))</f>
        <v>328.36544111680962</v>
      </c>
      <c r="AO130" s="60">
        <f t="shared" si="90"/>
        <v>226.85392900722772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-9.9316821433603781E-14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296.01124173332352</v>
      </c>
      <c r="BJ130" s="60">
        <f t="shared" si="92"/>
        <v>315.50730924873733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-3.7243808037601412E-14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216.42026264996392</v>
      </c>
      <c r="CE130" s="60">
        <f t="shared" si="94"/>
        <v>216.4587454288401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2</v>
      </c>
      <c r="CT130" s="13">
        <f>IF('Données projet'!$A$140&gt;35,CT129+CS130-DB129,IF(A130&lt;'Données projet'!$A$140,$CQ$205^A130,IF(A130='Données projet'!$A$140,'Données projet'!$B$140,CT129+CS130-DB129)))</f>
        <v>213.00000000000011</v>
      </c>
      <c r="CU130" s="18">
        <f>CT130*VLOOKUP('Données projet'!$B$13,Paramètres!$A$1:$I$89,3,0)*VLOOKUP('Données projet'!$B$13,Paramètres!$A$1:$I$89,5,0)</f>
        <v>206.01360000000011</v>
      </c>
      <c r="CV130" s="14">
        <f t="shared" si="95"/>
        <v>51.063487709141484</v>
      </c>
      <c r="CW130" s="22">
        <f t="shared" si="67"/>
        <v>447.74259442675498</v>
      </c>
      <c r="CX130" s="60">
        <f t="shared" si="68"/>
        <v>731.14495128583235</v>
      </c>
      <c r="CY130" s="60">
        <f ca="1">AVERAGE(OFFSET($CX$3,0,0,'Données projet'!$E$13+1,1))-AVERAGE(OFFSET($H$3,0,0,'Données projet'!$E$13+1,1))</f>
        <v>385.5283976785621</v>
      </c>
      <c r="CZ130" s="60">
        <f t="shared" si="96"/>
        <v>173.19148969173838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</v>
      </c>
      <c r="DO130" s="13">
        <f>IF('Données projet'!$A$166&gt;35,DO129+DN130-DW129,IF(A130&lt;'Données projet'!$A$166,$DL$205^A130,IF(A130='Données projet'!$A$166,'Données projet'!$B$166,DO129+DN130-DW129)))</f>
        <v>273.99999999999932</v>
      </c>
      <c r="DP130" s="18">
        <f>DO130*VLOOKUP('Données projet'!$B$14,Paramètres!$A$1:$I$89,3,0)*VLOOKUP('Données projet'!$B$14,Paramètres!$A$1:$I$89,5,0)</f>
        <v>294.93359999999927</v>
      </c>
      <c r="DQ130" s="14">
        <f t="shared" si="97"/>
        <v>70.113300882814755</v>
      </c>
      <c r="DR130" s="22">
        <f t="shared" si="70"/>
        <v>635.79001903756773</v>
      </c>
      <c r="DS130" s="60">
        <f t="shared" si="71"/>
        <v>919.19237589664522</v>
      </c>
      <c r="DT130" s="60">
        <f ca="1">AVERAGE(OFFSET($DS$3,0,0,'Données projet'!$E$14+1,1))-AVERAGE(OFFSET($H$3,0,0,'Données projet'!$E$14+1,1))</f>
        <v>543.15812193567342</v>
      </c>
      <c r="DU130" s="60">
        <f t="shared" si="98"/>
        <v>286.40725588660575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2.8421709430404007E-14</v>
      </c>
      <c r="EK130" s="18">
        <f>EJ130*VLOOKUP('Données projet'!$B$15,Paramètres!$A$1:$I$89,3,0)*VLOOKUP('Données projet'!$B$15,Paramètres!$A$1:$I$89,5,0)</f>
        <v>1.906528268591501E-14</v>
      </c>
      <c r="EL130" s="14">
        <f t="shared" si="99"/>
        <v>3.473561557570726E-13</v>
      </c>
      <c r="EM130" s="22">
        <f t="shared" si="73"/>
        <v>6.3818400528820342E-13</v>
      </c>
      <c r="EN130" s="60">
        <f t="shared" si="74"/>
        <v>283.40235685907805</v>
      </c>
      <c r="EO130" s="60">
        <f ca="1">AVERAGE(OFFSET($EN$3,0,0,'Données projet'!$E$15+1,1))-AVERAGE(OFFSET($H$3,0,0,'Données projet'!$E$15+1,1))</f>
        <v>239.52247785001794</v>
      </c>
      <c r="EP130" s="60">
        <f t="shared" si="100"/>
        <v>173.69760199651617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0.10226639447283943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0.10226639447283943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8">
        <f t="shared" si="56"/>
        <v>183.33333333333334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276.99999999999932</v>
      </c>
      <c r="O131" s="14">
        <f>N131*VLOOKUP('Données projet'!$B$9,Paramètres!$A$1:$I$89,3,0)*VLOOKUP('Données projet'!$B$9,Paramètres!$A$1:$I$89,5,0)</f>
        <v>280.8779999999993</v>
      </c>
      <c r="P131" s="14">
        <f t="shared" si="87"/>
        <v>67.152521698072178</v>
      </c>
      <c r="Q131" s="22">
        <f t="shared" ref="Q131:Q153" si="108">(O131+P131)*0.475*44/12</f>
        <v>606.15315862414116</v>
      </c>
      <c r="R131" s="60">
        <f t="shared" ref="R131:R194" si="109">Q131+(I131+J131)*44/12</f>
        <v>889.72779572270974</v>
      </c>
      <c r="S131" s="60">
        <f ca="1">AVERAGE(OFFSET($R$3,0,0,'Données projet'!$E$9+1,1))-AVERAGE(OFFSET($H$3,0,0,'Données projet'!$E$9+1,1))</f>
        <v>516.54532596122067</v>
      </c>
      <c r="T131" s="60">
        <f t="shared" si="88"/>
        <v>273.35778700650792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1.9895196601282805E-13</v>
      </c>
      <c r="AJ131" s="14">
        <f>AI131*VLOOKUP('Données projet'!$B$10,Paramètres!$A$1:$I$89,3,0)*VLOOKUP('Données projet'!$B$10,Paramètres!$A$1:$I$89,5,0)</f>
        <v>1.8932269085780715E-13</v>
      </c>
      <c r="AK131" s="14">
        <f t="shared" si="89"/>
        <v>2.6405131992468737E-12</v>
      </c>
      <c r="AL131" s="22">
        <f t="shared" si="58"/>
        <v>4.9286308419323191E-12</v>
      </c>
      <c r="AM131" s="60">
        <f t="shared" si="59"/>
        <v>283.57463709857348</v>
      </c>
      <c r="AN131" s="60">
        <f ca="1">AVERAGE(OFFSET($AM$3,0,0,'Données projet'!$E$10+1,1))-AVERAGE(OFFSET($H$3,0,0,'Données projet'!$E$10+1,1))</f>
        <v>328.36544111680962</v>
      </c>
      <c r="AO131" s="60">
        <f t="shared" si="90"/>
        <v>226.85392900722772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-9.9316821433603781E-14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296.01124173332352</v>
      </c>
      <c r="BJ131" s="60">
        <f t="shared" si="92"/>
        <v>315.50730924873733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-3.7243808037601412E-14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216.42026264996392</v>
      </c>
      <c r="CE131" s="60">
        <f t="shared" si="94"/>
        <v>216.4587454288401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2</v>
      </c>
      <c r="CT131" s="13">
        <f>IF('Données projet'!$A$140&gt;35,CT130+CS131-DB130,IF(A131&lt;'Données projet'!$A$140,$CQ$205^A131,IF(A131='Données projet'!$A$140,'Données projet'!$B$140,CT130+CS131-DB130)))</f>
        <v>215.00000000000011</v>
      </c>
      <c r="CU131" s="18">
        <f>CT131*VLOOKUP('Données projet'!$B$13,Paramètres!$A$1:$I$89,3,0)*VLOOKUP('Données projet'!$B$13,Paramètres!$A$1:$I$89,5,0)</f>
        <v>207.94800000000012</v>
      </c>
      <c r="CV131" s="14">
        <f t="shared" si="95"/>
        <v>51.486916127068881</v>
      </c>
      <c r="CW131" s="22">
        <f t="shared" si="67"/>
        <v>451.84914558797851</v>
      </c>
      <c r="CX131" s="60">
        <f t="shared" si="68"/>
        <v>735.42378268654704</v>
      </c>
      <c r="CY131" s="60">
        <f ca="1">AVERAGE(OFFSET($CX$3,0,0,'Données projet'!$E$13+1,1))-AVERAGE(OFFSET($H$3,0,0,'Données projet'!$E$13+1,1))</f>
        <v>385.5283976785621</v>
      </c>
      <c r="CZ131" s="60">
        <f t="shared" si="96"/>
        <v>173.19148969173838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</v>
      </c>
      <c r="DO131" s="13">
        <f>IF('Données projet'!$A$166&gt;35,DO130+DN131-DW130,IF(A131&lt;'Données projet'!$A$166,$DL$205^A131,IF(A131='Données projet'!$A$166,'Données projet'!$B$166,DO130+DN131-DW130)))</f>
        <v>276.99999999999932</v>
      </c>
      <c r="DP131" s="18">
        <f>DO131*VLOOKUP('Données projet'!$B$14,Paramètres!$A$1:$I$89,3,0)*VLOOKUP('Données projet'!$B$14,Paramètres!$A$1:$I$89,5,0)</f>
        <v>298.16279999999927</v>
      </c>
      <c r="DQ131" s="14">
        <f t="shared" si="97"/>
        <v>70.791178201095988</v>
      </c>
      <c r="DR131" s="22">
        <f t="shared" si="70"/>
        <v>642.59484536690752</v>
      </c>
      <c r="DS131" s="60">
        <f t="shared" si="71"/>
        <v>926.16948246547599</v>
      </c>
      <c r="DT131" s="60">
        <f ca="1">AVERAGE(OFFSET($DS$3,0,0,'Données projet'!$E$14+1,1))-AVERAGE(OFFSET($H$3,0,0,'Données projet'!$E$14+1,1))</f>
        <v>543.15812193567342</v>
      </c>
      <c r="DU131" s="60">
        <f t="shared" si="98"/>
        <v>286.40725588660575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2.8421709430404007E-14</v>
      </c>
      <c r="EK131" s="18">
        <f>EJ131*VLOOKUP('Données projet'!$B$15,Paramètres!$A$1:$I$89,3,0)*VLOOKUP('Données projet'!$B$15,Paramètres!$A$1:$I$89,5,0)</f>
        <v>1.906528268591501E-14</v>
      </c>
      <c r="EL131" s="14">
        <f t="shared" si="99"/>
        <v>3.473561557570726E-13</v>
      </c>
      <c r="EM131" s="22">
        <f t="shared" si="73"/>
        <v>6.3818400528820342E-13</v>
      </c>
      <c r="EN131" s="60">
        <f t="shared" si="74"/>
        <v>283.57463709856916</v>
      </c>
      <c r="EO131" s="60">
        <f ca="1">AVERAGE(OFFSET($EN$3,0,0,'Données projet'!$E$15+1,1))-AVERAGE(OFFSET($H$3,0,0,'Données projet'!$E$15+1,1))</f>
        <v>239.52247785001794</v>
      </c>
      <c r="EP131" s="60">
        <f t="shared" si="100"/>
        <v>173.69760199651617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9.9469914538023688E-2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9.9469914538023688E-2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8">
        <f t="shared" ref="H132:H195" si="110">(B132+E132+F132)*44/12+(C132+D132)*0.475*44/12</f>
        <v>183.33333333333334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279.99999999999932</v>
      </c>
      <c r="O132" s="14">
        <f>N132*VLOOKUP('Données projet'!$B$9,Paramètres!$A$1:$I$89,3,0)*VLOOKUP('Données projet'!$B$9,Paramètres!$A$1:$I$89,5,0)</f>
        <v>283.91999999999933</v>
      </c>
      <c r="P132" s="14">
        <f t="shared" si="87"/>
        <v>67.794746071143507</v>
      </c>
      <c r="Q132" s="22">
        <f t="shared" si="108"/>
        <v>612.56984940724044</v>
      </c>
      <c r="R132" s="60">
        <f t="shared" si="109"/>
        <v>896.31377806830574</v>
      </c>
      <c r="S132" s="60">
        <f ca="1">AVERAGE(OFFSET($R$3,0,0,'Données projet'!$E$9+1,1))-AVERAGE(OFFSET($H$3,0,0,'Données projet'!$E$9+1,1))</f>
        <v>516.54532596122067</v>
      </c>
      <c r="T132" s="60">
        <f t="shared" si="88"/>
        <v>273.35778700650792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1.9895196601282805E-13</v>
      </c>
      <c r="AJ132" s="14">
        <f>AI132*VLOOKUP('Données projet'!$B$10,Paramètres!$A$1:$I$89,3,0)*VLOOKUP('Données projet'!$B$10,Paramètres!$A$1:$I$89,5,0)</f>
        <v>1.8932269085780715E-13</v>
      </c>
      <c r="AK132" s="14">
        <f t="shared" si="89"/>
        <v>2.6405131992468737E-12</v>
      </c>
      <c r="AL132" s="22">
        <f t="shared" ref="AL132:AL153" si="112">(AJ132+AK132)*0.475*44/12</f>
        <v>4.9286308419323191E-12</v>
      </c>
      <c r="AM132" s="60">
        <f t="shared" ref="AM132:AM195" si="113">AL132+(AD132+AE132)*44/12</f>
        <v>283.7439286610703</v>
      </c>
      <c r="AN132" s="60">
        <f ca="1">AVERAGE(OFFSET($AM$3,0,0,'Données projet'!$E$10+1,1))-AVERAGE(OFFSET($H$3,0,0,'Données projet'!$E$10+1,1))</f>
        <v>328.36544111680962</v>
      </c>
      <c r="AO132" s="60">
        <f t="shared" si="90"/>
        <v>226.85392900722772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-9.9316821433603781E-14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296.01124173332352</v>
      </c>
      <c r="BJ132" s="60">
        <f t="shared" si="92"/>
        <v>315.50730924873733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-3.7243808037601412E-14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216.42026264996392</v>
      </c>
      <c r="CE132" s="60">
        <f t="shared" si="94"/>
        <v>216.4587454288401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2</v>
      </c>
      <c r="CT132" s="13">
        <f>IF('Données projet'!$A$140&gt;35,CT131+CS132-DB131,IF(A132&lt;'Données projet'!$A$140,$CQ$205^A132,IF(A132='Données projet'!$A$140,'Données projet'!$B$140,CT131+CS132-DB131)))</f>
        <v>217.00000000000011</v>
      </c>
      <c r="CU132" s="18">
        <f>CT132*VLOOKUP('Données projet'!$B$13,Paramètres!$A$1:$I$89,3,0)*VLOOKUP('Données projet'!$B$13,Paramètres!$A$1:$I$89,5,0)</f>
        <v>209.88240000000013</v>
      </c>
      <c r="CV132" s="14">
        <f t="shared" si="95"/>
        <v>51.909886301786052</v>
      </c>
      <c r="CW132" s="22">
        <f t="shared" ref="CW132:CW153" si="121">(CU132+CV132)*0.475*44/12</f>
        <v>455.95489864227756</v>
      </c>
      <c r="CX132" s="60">
        <f t="shared" ref="CX132:CX195" si="122">CW132+(CO132+CP132)*44/12</f>
        <v>739.69882730334291</v>
      </c>
      <c r="CY132" s="60">
        <f ca="1">AVERAGE(OFFSET($CX$3,0,0,'Données projet'!$E$13+1,1))-AVERAGE(OFFSET($H$3,0,0,'Données projet'!$E$13+1,1))</f>
        <v>385.5283976785621</v>
      </c>
      <c r="CZ132" s="60">
        <f t="shared" si="96"/>
        <v>173.19148969173838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</v>
      </c>
      <c r="DO132" s="13">
        <f>IF('Données projet'!$A$166&gt;35,DO131+DN132-DW131,IF(A132&lt;'Données projet'!$A$166,$DL$205^A132,IF(A132='Données projet'!$A$166,'Données projet'!$B$166,DO131+DN132-DW131)))</f>
        <v>279.99999999999932</v>
      </c>
      <c r="DP132" s="18">
        <f>DO132*VLOOKUP('Données projet'!$B$14,Paramètres!$A$1:$I$89,3,0)*VLOOKUP('Données projet'!$B$14,Paramètres!$A$1:$I$89,5,0)</f>
        <v>301.39199999999926</v>
      </c>
      <c r="DQ132" s="14">
        <f t="shared" si="97"/>
        <v>71.46820147422909</v>
      </c>
      <c r="DR132" s="22">
        <f t="shared" ref="DR132:DR153" si="124">(DP132+DQ132)*0.475*44/12</f>
        <v>649.39818423428108</v>
      </c>
      <c r="DS132" s="60">
        <f t="shared" ref="DS132:DS195" si="125">DR132+(DJ132+DK132)*44/12</f>
        <v>933.14211289534637</v>
      </c>
      <c r="DT132" s="60">
        <f ca="1">AVERAGE(OFFSET($DS$3,0,0,'Données projet'!$E$14+1,1))-AVERAGE(OFFSET($H$3,0,0,'Données projet'!$E$14+1,1))</f>
        <v>543.15812193567342</v>
      </c>
      <c r="DU132" s="60">
        <f t="shared" si="98"/>
        <v>286.40725588660575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2.8421709430404007E-14</v>
      </c>
      <c r="EK132" s="18">
        <f>EJ132*VLOOKUP('Données projet'!$B$15,Paramètres!$A$1:$I$89,3,0)*VLOOKUP('Données projet'!$B$15,Paramètres!$A$1:$I$89,5,0)</f>
        <v>1.906528268591501E-14</v>
      </c>
      <c r="EL132" s="14">
        <f t="shared" si="99"/>
        <v>3.473561557570726E-13</v>
      </c>
      <c r="EM132" s="22">
        <f t="shared" ref="EM132:EM153" si="127">(EK132+EL132)*0.475*44/12</f>
        <v>6.3818400528820342E-13</v>
      </c>
      <c r="EN132" s="60">
        <f t="shared" ref="EN132:EN195" si="128">EM132+(EE132+EF132)*44/12</f>
        <v>283.74392866106598</v>
      </c>
      <c r="EO132" s="60">
        <f ca="1">AVERAGE(OFFSET($EN$3,0,0,'Données projet'!$E$15+1,1))-AVERAGE(OFFSET($H$3,0,0,'Données projet'!$E$15+1,1))</f>
        <v>239.52247785001794</v>
      </c>
      <c r="EP132" s="60">
        <f t="shared" si="100"/>
        <v>173.69760199651617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9.6749904494085964E-2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9.6749904494085964E-2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8">
        <f t="shared" si="110"/>
        <v>183.33333333333334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282.99999999999932</v>
      </c>
      <c r="O133" s="14">
        <f>N133*VLOOKUP('Données projet'!$B$9,Paramètres!$A$1:$I$89,3,0)*VLOOKUP('Données projet'!$B$9,Paramètres!$A$1:$I$89,5,0)</f>
        <v>286.96199999999931</v>
      </c>
      <c r="P133" s="14">
        <f t="shared" ref="P133:P196" si="141">EXP(-1.0587+0.8836*LN(O133)+0.284)</f>
        <v>68.436169981717669</v>
      </c>
      <c r="Q133" s="22">
        <f t="shared" si="108"/>
        <v>618.98514605149035</v>
      </c>
      <c r="R133" s="60">
        <f t="shared" si="109"/>
        <v>902.89542944492246</v>
      </c>
      <c r="S133" s="60">
        <f ca="1">AVERAGE(OFFSET($R$3,0,0,'Données projet'!$E$9+1,1))-AVERAGE(OFFSET($H$3,0,0,'Données projet'!$E$9+1,1))</f>
        <v>516.54532596122067</v>
      </c>
      <c r="T133" s="60">
        <f t="shared" ref="T133:T196" si="142">$T$3</f>
        <v>273.35778700650792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1.9895196601282805E-13</v>
      </c>
      <c r="AJ133" s="14">
        <f>AI133*VLOOKUP('Données projet'!$B$10,Paramètres!$A$1:$I$89,3,0)*VLOOKUP('Données projet'!$B$10,Paramètres!$A$1:$I$89,5,0)</f>
        <v>1.8932269085780715E-13</v>
      </c>
      <c r="AK133" s="14">
        <f t="shared" ref="AK133:AK153" si="143">EXP(-1.0587+0.8836*LN(AJ133)+0.284)</f>
        <v>2.6405131992468737E-12</v>
      </c>
      <c r="AL133" s="22">
        <f t="shared" si="112"/>
        <v>4.9286308419323191E-12</v>
      </c>
      <c r="AM133" s="60">
        <f t="shared" si="113"/>
        <v>283.91028339343706</v>
      </c>
      <c r="AN133" s="60">
        <f ca="1">AVERAGE(OFFSET($AM$3,0,0,'Données projet'!$E$10+1,1))-AVERAGE(OFFSET($H$3,0,0,'Données projet'!$E$10+1,1))</f>
        <v>328.36544111680962</v>
      </c>
      <c r="AO133" s="60">
        <f t="shared" ref="AO133:AO196" si="144">$AO$3</f>
        <v>226.85392900722772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-9.9316821433603781E-14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296.01124173332352</v>
      </c>
      <c r="BJ133" s="60">
        <f t="shared" ref="BJ133:BJ196" si="146">$BJ$3</f>
        <v>315.50730924873733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-3.7243808037601412E-14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216.42026264996392</v>
      </c>
      <c r="CE133" s="60">
        <f t="shared" ref="CE133:CE196" si="148">$CE$3</f>
        <v>216.4587454288401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2</v>
      </c>
      <c r="CT133" s="13">
        <f>IF('Données projet'!$A$140&gt;35,CT132+CS133-DB132,IF(A133&lt;'Données projet'!$A$140,$CQ$205^A133,IF(A133='Données projet'!$A$140,'Données projet'!$B$140,CT132+CS133-DB132)))</f>
        <v>219.00000000000011</v>
      </c>
      <c r="CU133" s="18">
        <f>CT133*VLOOKUP('Données projet'!$B$13,Paramètres!$A$1:$I$89,3,0)*VLOOKUP('Données projet'!$B$13,Paramètres!$A$1:$I$89,5,0)</f>
        <v>211.81680000000009</v>
      </c>
      <c r="CV133" s="14">
        <f t="shared" ref="CV133:CV153" si="149">EXP(-1.0587+0.8836*LN(CU133)+0.284)</f>
        <v>52.332402945946832</v>
      </c>
      <c r="CW133" s="22">
        <f t="shared" si="121"/>
        <v>460.05986179752421</v>
      </c>
      <c r="CX133" s="60">
        <f t="shared" si="122"/>
        <v>743.97014519095637</v>
      </c>
      <c r="CY133" s="60">
        <f ca="1">AVERAGE(OFFSET($CX$3,0,0,'Données projet'!$E$13+1,1))-AVERAGE(OFFSET($H$3,0,0,'Données projet'!$E$13+1,1))</f>
        <v>385.5283976785621</v>
      </c>
      <c r="CZ133" s="60">
        <f t="shared" ref="CZ133:CZ196" si="150">$CZ$3</f>
        <v>173.19148969173838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3</v>
      </c>
      <c r="DO133" s="13">
        <f>IF('Données projet'!$A$166&gt;35,DO132+DN133-DW132,IF(A133&lt;'Données projet'!$A$166,$DL$205^A133,IF(A133='Données projet'!$A$166,'Données projet'!$B$166,DO132+DN133-DW132)))</f>
        <v>282.99999999999932</v>
      </c>
      <c r="DP133" s="18">
        <f>DO133*VLOOKUP('Données projet'!$B$14,Paramètres!$A$1:$I$89,3,0)*VLOOKUP('Données projet'!$B$14,Paramètres!$A$1:$I$89,5,0)</f>
        <v>304.62119999999925</v>
      </c>
      <c r="DQ133" s="14">
        <f t="shared" ref="DQ133:DQ153" si="151">EXP(-1.0587+0.8836*LN(DP133)+0.284)</f>
        <v>72.144380911839278</v>
      </c>
      <c r="DR133" s="22">
        <f t="shared" si="124"/>
        <v>656.20005342145203</v>
      </c>
      <c r="DS133" s="60">
        <f t="shared" si="125"/>
        <v>940.11033681488414</v>
      </c>
      <c r="DT133" s="60">
        <f ca="1">AVERAGE(OFFSET($DS$3,0,0,'Données projet'!$E$14+1,1))-AVERAGE(OFFSET($H$3,0,0,'Données projet'!$E$14+1,1))</f>
        <v>543.15812193567342</v>
      </c>
      <c r="DU133" s="60">
        <f t="shared" ref="DU133:DU196" si="152">$DU$3</f>
        <v>286.40725588660575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2.8421709430404007E-14</v>
      </c>
      <c r="EK133" s="18">
        <f>EJ133*VLOOKUP('Données projet'!$B$15,Paramètres!$A$1:$I$89,3,0)*VLOOKUP('Données projet'!$B$15,Paramètres!$A$1:$I$89,5,0)</f>
        <v>1.906528268591501E-14</v>
      </c>
      <c r="EL133" s="14">
        <f t="shared" ref="EL133:EL153" si="153">EXP(-1.0587+0.8836*LN(EK133)+0.284)</f>
        <v>3.473561557570726E-13</v>
      </c>
      <c r="EM133" s="22">
        <f t="shared" si="127"/>
        <v>6.3818400528820342E-13</v>
      </c>
      <c r="EN133" s="60">
        <f t="shared" si="128"/>
        <v>283.91028339343274</v>
      </c>
      <c r="EO133" s="60">
        <f ca="1">AVERAGE(OFFSET($EN$3,0,0,'Données projet'!$E$15+1,1))-AVERAGE(OFFSET($H$3,0,0,'Données projet'!$E$15+1,1))</f>
        <v>239.52247785001794</v>
      </c>
      <c r="EP133" s="60">
        <f t="shared" ref="EP133:EP196" si="154">$EP$3</f>
        <v>173.69760199651617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9.4104273267838837E-2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9.4104273267838837E-2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8">
        <f t="shared" si="110"/>
        <v>183.33333333333334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285.99999999999932</v>
      </c>
      <c r="O134" s="14">
        <f>N134*VLOOKUP('Données projet'!$B$9,Paramètres!$A$1:$I$89,3,0)*VLOOKUP('Données projet'!$B$9,Paramètres!$A$1:$I$89,5,0)</f>
        <v>290.00399999999934</v>
      </c>
      <c r="P134" s="14">
        <f t="shared" si="141"/>
        <v>69.076802897485763</v>
      </c>
      <c r="Q134" s="22">
        <f t="shared" si="108"/>
        <v>625.39906504645319</v>
      </c>
      <c r="R134" s="60">
        <f t="shared" si="109"/>
        <v>909.47281728955886</v>
      </c>
      <c r="S134" s="60">
        <f ca="1">AVERAGE(OFFSET($R$3,0,0,'Données projet'!$E$9+1,1))-AVERAGE(OFFSET($H$3,0,0,'Données projet'!$E$9+1,1))</f>
        <v>516.54532596122067</v>
      </c>
      <c r="T134" s="60">
        <f t="shared" si="142"/>
        <v>273.35778700650792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1.9895196601282805E-13</v>
      </c>
      <c r="AJ134" s="14">
        <f>AI134*VLOOKUP('Données projet'!$B$10,Paramètres!$A$1:$I$89,3,0)*VLOOKUP('Données projet'!$B$10,Paramètres!$A$1:$I$89,5,0)</f>
        <v>1.8932269085780715E-13</v>
      </c>
      <c r="AK134" s="14">
        <f t="shared" si="143"/>
        <v>2.6405131992468737E-12</v>
      </c>
      <c r="AL134" s="22">
        <f t="shared" si="112"/>
        <v>4.9286308419323191E-12</v>
      </c>
      <c r="AM134" s="60">
        <f t="shared" si="113"/>
        <v>284.07375224311068</v>
      </c>
      <c r="AN134" s="60">
        <f ca="1">AVERAGE(OFFSET($AM$3,0,0,'Données projet'!$E$10+1,1))-AVERAGE(OFFSET($H$3,0,0,'Données projet'!$E$10+1,1))</f>
        <v>328.36544111680962</v>
      </c>
      <c r="AO134" s="60">
        <f t="shared" si="144"/>
        <v>226.85392900722772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-9.9316821433603781E-14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296.01124173332352</v>
      </c>
      <c r="BJ134" s="60">
        <f t="shared" si="146"/>
        <v>315.50730924873733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-3.7243808037601412E-14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216.42026264996392</v>
      </c>
      <c r="CE134" s="60">
        <f t="shared" si="148"/>
        <v>216.4587454288401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</v>
      </c>
      <c r="CT134" s="13">
        <f>IF('Données projet'!$A$140&gt;35,CT133+CS134-DB133,IF(A134&lt;'Données projet'!$A$140,$CQ$205^A134,IF(A134='Données projet'!$A$140,'Données projet'!$B$140,CT133+CS134-DB133)))</f>
        <v>221.00000000000011</v>
      </c>
      <c r="CU134" s="18">
        <f>CT134*VLOOKUP('Données projet'!$B$13,Paramètres!$A$1:$I$89,3,0)*VLOOKUP('Données projet'!$B$13,Paramètres!$A$1:$I$89,5,0)</f>
        <v>213.75120000000013</v>
      </c>
      <c r="CV134" s="14">
        <f t="shared" si="149"/>
        <v>52.75447068116425</v>
      </c>
      <c r="CW134" s="22">
        <f t="shared" si="121"/>
        <v>464.16404310302795</v>
      </c>
      <c r="CX134" s="60">
        <f t="shared" si="122"/>
        <v>748.23779534613368</v>
      </c>
      <c r="CY134" s="60">
        <f ca="1">AVERAGE(OFFSET($CX$3,0,0,'Données projet'!$E$13+1,1))-AVERAGE(OFFSET($H$3,0,0,'Données projet'!$E$13+1,1))</f>
        <v>385.5283976785621</v>
      </c>
      <c r="CZ134" s="60">
        <f t="shared" si="150"/>
        <v>173.19148969173838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3</v>
      </c>
      <c r="DO134" s="13">
        <f>IF('Données projet'!$A$166&gt;35,DO133+DN134-DW133,IF(A134&lt;'Données projet'!$A$166,$DL$205^A134,IF(A134='Données projet'!$A$166,'Données projet'!$B$166,DO133+DN134-DW133)))</f>
        <v>285.99999999999932</v>
      </c>
      <c r="DP134" s="18">
        <f>DO134*VLOOKUP('Données projet'!$B$14,Paramètres!$A$1:$I$89,3,0)*VLOOKUP('Données projet'!$B$14,Paramètres!$A$1:$I$89,5,0)</f>
        <v>307.85039999999924</v>
      </c>
      <c r="DQ134" s="14">
        <f t="shared" si="151"/>
        <v>72.819726494623595</v>
      </c>
      <c r="DR134" s="22">
        <f t="shared" si="124"/>
        <v>663.00047031146812</v>
      </c>
      <c r="DS134" s="60">
        <f t="shared" si="125"/>
        <v>947.07422255457391</v>
      </c>
      <c r="DT134" s="60">
        <f ca="1">AVERAGE(OFFSET($DS$3,0,0,'Données projet'!$E$14+1,1))-AVERAGE(OFFSET($H$3,0,0,'Données projet'!$E$14+1,1))</f>
        <v>543.15812193567342</v>
      </c>
      <c r="DU134" s="60">
        <f t="shared" si="152"/>
        <v>286.40725588660575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2.8421709430404007E-14</v>
      </c>
      <c r="EK134" s="18">
        <f>EJ134*VLOOKUP('Données projet'!$B$15,Paramètres!$A$1:$I$89,3,0)*VLOOKUP('Données projet'!$B$15,Paramètres!$A$1:$I$89,5,0)</f>
        <v>1.906528268591501E-14</v>
      </c>
      <c r="EL134" s="14">
        <f t="shared" si="153"/>
        <v>3.473561557570726E-13</v>
      </c>
      <c r="EM134" s="22">
        <f t="shared" si="127"/>
        <v>6.3818400528820342E-13</v>
      </c>
      <c r="EN134" s="60">
        <f t="shared" si="128"/>
        <v>284.07375224310636</v>
      </c>
      <c r="EO134" s="60">
        <f ca="1">AVERAGE(OFFSET($EN$3,0,0,'Données projet'!$E$15+1,1))-AVERAGE(OFFSET($H$3,0,0,'Données projet'!$E$15+1,1))</f>
        <v>239.52247785001794</v>
      </c>
      <c r="EP134" s="60">
        <f t="shared" si="154"/>
        <v>173.69760199651617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9.1530986966601127E-2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9.1530986966601127E-2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8">
        <f t="shared" si="110"/>
        <v>183.33333333333334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288.99999999999932</v>
      </c>
      <c r="O135" s="14">
        <f>N135*VLOOKUP('Données projet'!$B$9,Paramètres!$A$1:$I$89,3,0)*VLOOKUP('Données projet'!$B$9,Paramètres!$A$1:$I$89,5,0)</f>
        <v>293.04599999999931</v>
      </c>
      <c r="P135" s="14">
        <f t="shared" si="141"/>
        <v>69.716654076072487</v>
      </c>
      <c r="Q135" s="22">
        <f t="shared" si="108"/>
        <v>631.81162251582498</v>
      </c>
      <c r="R135" s="60">
        <f t="shared" si="109"/>
        <v>916.04600778952408</v>
      </c>
      <c r="S135" s="60">
        <f ca="1">AVERAGE(OFFSET($R$3,0,0,'Données projet'!$E$9+1,1))-AVERAGE(OFFSET($H$3,0,0,'Données projet'!$E$9+1,1))</f>
        <v>516.54532596122067</v>
      </c>
      <c r="T135" s="60">
        <f t="shared" si="142"/>
        <v>273.35778700650792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1.9895196601282805E-13</v>
      </c>
      <c r="AJ135" s="14">
        <f>AI135*VLOOKUP('Données projet'!$B$10,Paramètres!$A$1:$I$89,3,0)*VLOOKUP('Données projet'!$B$10,Paramètres!$A$1:$I$89,5,0)</f>
        <v>1.8932269085780715E-13</v>
      </c>
      <c r="AK135" s="14">
        <f t="shared" si="143"/>
        <v>2.6405131992468737E-12</v>
      </c>
      <c r="AL135" s="22">
        <f t="shared" si="112"/>
        <v>4.9286308419323191E-12</v>
      </c>
      <c r="AM135" s="60">
        <f t="shared" si="113"/>
        <v>284.23438527370411</v>
      </c>
      <c r="AN135" s="60">
        <f ca="1">AVERAGE(OFFSET($AM$3,0,0,'Données projet'!$E$10+1,1))-AVERAGE(OFFSET($H$3,0,0,'Données projet'!$E$10+1,1))</f>
        <v>328.36544111680962</v>
      </c>
      <c r="AO135" s="60">
        <f t="shared" si="144"/>
        <v>226.85392900722772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-9.9316821433603781E-14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296.01124173332352</v>
      </c>
      <c r="BJ135" s="60">
        <f t="shared" si="146"/>
        <v>315.50730924873733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-3.7243808037601412E-14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216.42026264996392</v>
      </c>
      <c r="CE135" s="60">
        <f t="shared" si="148"/>
        <v>216.4587454288401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</v>
      </c>
      <c r="CT135" s="13">
        <f>IF('Données projet'!$A$140&gt;35,CT134+CS135-DB134,IF(A135&lt;'Données projet'!$A$140,$CQ$205^A135,IF(A135='Données projet'!$A$140,'Données projet'!$B$140,CT134+CS135-DB134)))</f>
        <v>223.00000000000011</v>
      </c>
      <c r="CU135" s="18">
        <f>CT135*VLOOKUP('Données projet'!$B$13,Paramètres!$A$1:$I$89,3,0)*VLOOKUP('Données projet'!$B$13,Paramètres!$A$1:$I$89,5,0)</f>
        <v>215.68560000000014</v>
      </c>
      <c r="CV135" s="14">
        <f t="shared" si="149"/>
        <v>53.176094040576729</v>
      </c>
      <c r="CW135" s="22">
        <f t="shared" si="121"/>
        <v>468.26745045400463</v>
      </c>
      <c r="CX135" s="60">
        <f t="shared" si="122"/>
        <v>752.50183572770379</v>
      </c>
      <c r="CY135" s="60">
        <f ca="1">AVERAGE(OFFSET($CX$3,0,0,'Données projet'!$E$13+1,1))-AVERAGE(OFFSET($H$3,0,0,'Données projet'!$E$13+1,1))</f>
        <v>385.5283976785621</v>
      </c>
      <c r="CZ135" s="60">
        <f t="shared" si="150"/>
        <v>173.19148969173838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3</v>
      </c>
      <c r="DO135" s="13">
        <f>IF('Données projet'!$A$166&gt;35,DO134+DN135-DW134,IF(A135&lt;'Données projet'!$A$166,$DL$205^A135,IF(A135='Données projet'!$A$166,'Données projet'!$B$166,DO134+DN135-DW134)))</f>
        <v>288.99999999999932</v>
      </c>
      <c r="DP135" s="18">
        <f>DO135*VLOOKUP('Données projet'!$B$14,Paramètres!$A$1:$I$89,3,0)*VLOOKUP('Données projet'!$B$14,Paramètres!$A$1:$I$89,5,0)</f>
        <v>311.07959999999923</v>
      </c>
      <c r="DQ135" s="14">
        <f t="shared" si="151"/>
        <v>73.494247981831052</v>
      </c>
      <c r="DR135" s="22">
        <f t="shared" si="124"/>
        <v>669.79945190168769</v>
      </c>
      <c r="DS135" s="60">
        <f t="shared" si="125"/>
        <v>954.03383717538691</v>
      </c>
      <c r="DT135" s="60">
        <f ca="1">AVERAGE(OFFSET($DS$3,0,0,'Données projet'!$E$14+1,1))-AVERAGE(OFFSET($H$3,0,0,'Données projet'!$E$14+1,1))</f>
        <v>543.15812193567342</v>
      </c>
      <c r="DU135" s="60">
        <f t="shared" si="152"/>
        <v>286.40725588660575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2.8421709430404007E-14</v>
      </c>
      <c r="EK135" s="18">
        <f>EJ135*VLOOKUP('Données projet'!$B$15,Paramètres!$A$1:$I$89,3,0)*VLOOKUP('Données projet'!$B$15,Paramètres!$A$1:$I$89,5,0)</f>
        <v>1.906528268591501E-14</v>
      </c>
      <c r="EL135" s="14">
        <f t="shared" si="153"/>
        <v>3.473561557570726E-13</v>
      </c>
      <c r="EM135" s="22">
        <f t="shared" si="127"/>
        <v>6.3818400528820342E-13</v>
      </c>
      <c r="EN135" s="60">
        <f t="shared" si="128"/>
        <v>284.23438527369979</v>
      </c>
      <c r="EO135" s="60">
        <f ca="1">AVERAGE(OFFSET($EN$3,0,0,'Données projet'!$E$15+1,1))-AVERAGE(OFFSET($H$3,0,0,'Données projet'!$E$15+1,1))</f>
        <v>239.52247785001794</v>
      </c>
      <c r="EP135" s="60">
        <f t="shared" si="154"/>
        <v>173.69760199651617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8.9028067314594006E-2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8.9028067314594006E-2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8">
        <f t="shared" si="110"/>
        <v>183.33333333333334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291.99999999999932</v>
      </c>
      <c r="O136" s="14">
        <f>N136*VLOOKUP('Données projet'!$B$9,Paramètres!$A$1:$I$89,3,0)*VLOOKUP('Données projet'!$B$9,Paramètres!$A$1:$I$89,5,0)</f>
        <v>296.08799999999934</v>
      </c>
      <c r="P136" s="14">
        <f t="shared" si="141"/>
        <v>70.355732571828923</v>
      </c>
      <c r="Q136" s="22">
        <f t="shared" si="108"/>
        <v>638.22283422926751</v>
      </c>
      <c r="R136" s="60">
        <f t="shared" si="109"/>
        <v>922.61506590960084</v>
      </c>
      <c r="S136" s="60">
        <f ca="1">AVERAGE(OFFSET($R$3,0,0,'Données projet'!$E$9+1,1))-AVERAGE(OFFSET($H$3,0,0,'Données projet'!$E$9+1,1))</f>
        <v>516.54532596122067</v>
      </c>
      <c r="T136" s="60">
        <f t="shared" si="142"/>
        <v>273.35778700650792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1.9895196601282805E-13</v>
      </c>
      <c r="AJ136" s="14">
        <f>AI136*VLOOKUP('Données projet'!$B$10,Paramètres!$A$1:$I$89,3,0)*VLOOKUP('Données projet'!$B$10,Paramètres!$A$1:$I$89,5,0)</f>
        <v>1.8932269085780715E-13</v>
      </c>
      <c r="AK136" s="14">
        <f t="shared" si="143"/>
        <v>2.6405131992468737E-12</v>
      </c>
      <c r="AL136" s="22">
        <f t="shared" si="112"/>
        <v>4.9286308419323191E-12</v>
      </c>
      <c r="AM136" s="60">
        <f t="shared" si="113"/>
        <v>284.39223168033834</v>
      </c>
      <c r="AN136" s="60">
        <f ca="1">AVERAGE(OFFSET($AM$3,0,0,'Données projet'!$E$10+1,1))-AVERAGE(OFFSET($H$3,0,0,'Données projet'!$E$10+1,1))</f>
        <v>328.36544111680962</v>
      </c>
      <c r="AO136" s="60">
        <f t="shared" si="144"/>
        <v>226.85392900722772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-9.9316821433603781E-14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296.01124173332352</v>
      </c>
      <c r="BJ136" s="60">
        <f t="shared" si="146"/>
        <v>315.50730924873733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-3.7243808037601412E-14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216.42026264996392</v>
      </c>
      <c r="CE136" s="60">
        <f t="shared" si="148"/>
        <v>216.4587454288401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</v>
      </c>
      <c r="CT136" s="13">
        <f>IF('Données projet'!$A$140&gt;35,CT135+CS136-DB135,IF(A136&lt;'Données projet'!$A$140,$CQ$205^A136,IF(A136='Données projet'!$A$140,'Données projet'!$B$140,CT135+CS136-DB135)))</f>
        <v>225.00000000000011</v>
      </c>
      <c r="CU136" s="18">
        <f>CT136*VLOOKUP('Données projet'!$B$13,Paramètres!$A$1:$I$89,3,0)*VLOOKUP('Données projet'!$B$13,Paramètres!$A$1:$I$89,5,0)</f>
        <v>217.62000000000009</v>
      </c>
      <c r="CV136" s="14">
        <f t="shared" si="149"/>
        <v>53.597277471320098</v>
      </c>
      <c r="CW136" s="22">
        <f t="shared" si="121"/>
        <v>472.37009159588268</v>
      </c>
      <c r="CX136" s="60">
        <f t="shared" si="122"/>
        <v>756.76232327621608</v>
      </c>
      <c r="CY136" s="60">
        <f ca="1">AVERAGE(OFFSET($CX$3,0,0,'Données projet'!$E$13+1,1))-AVERAGE(OFFSET($H$3,0,0,'Données projet'!$E$13+1,1))</f>
        <v>385.5283976785621</v>
      </c>
      <c r="CZ136" s="60">
        <f t="shared" si="150"/>
        <v>173.19148969173838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3</v>
      </c>
      <c r="DO136" s="13">
        <f>IF('Données projet'!$A$166&gt;35,DO135+DN136-DW135,IF(A136&lt;'Données projet'!$A$166,$DL$205^A136,IF(A136='Données projet'!$A$166,'Données projet'!$B$166,DO135+DN136-DW135)))</f>
        <v>291.99999999999932</v>
      </c>
      <c r="DP136" s="18">
        <f>DO136*VLOOKUP('Données projet'!$B$14,Paramètres!$A$1:$I$89,3,0)*VLOOKUP('Données projet'!$B$14,Paramètres!$A$1:$I$89,5,0)</f>
        <v>314.30879999999922</v>
      </c>
      <c r="DQ136" s="14">
        <f t="shared" si="151"/>
        <v>74.16795491842224</v>
      </c>
      <c r="DR136" s="22">
        <f t="shared" si="124"/>
        <v>676.59701481625063</v>
      </c>
      <c r="DS136" s="60">
        <f t="shared" si="125"/>
        <v>960.98924649658397</v>
      </c>
      <c r="DT136" s="60">
        <f ca="1">AVERAGE(OFFSET($DS$3,0,0,'Données projet'!$E$14+1,1))-AVERAGE(OFFSET($H$3,0,0,'Données projet'!$E$14+1,1))</f>
        <v>543.15812193567342</v>
      </c>
      <c r="DU136" s="60">
        <f t="shared" si="152"/>
        <v>286.40725588660575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2.8421709430404007E-14</v>
      </c>
      <c r="EK136" s="18">
        <f>EJ136*VLOOKUP('Données projet'!$B$15,Paramètres!$A$1:$I$89,3,0)*VLOOKUP('Données projet'!$B$15,Paramètres!$A$1:$I$89,5,0)</f>
        <v>1.906528268591501E-14</v>
      </c>
      <c r="EL136" s="14">
        <f t="shared" si="153"/>
        <v>3.473561557570726E-13</v>
      </c>
      <c r="EM136" s="22">
        <f t="shared" si="127"/>
        <v>6.3818400528820342E-13</v>
      </c>
      <c r="EN136" s="60">
        <f t="shared" si="128"/>
        <v>284.39223168033402</v>
      </c>
      <c r="EO136" s="60">
        <f ca="1">AVERAGE(OFFSET($EN$3,0,0,'Données projet'!$E$15+1,1))-AVERAGE(OFFSET($H$3,0,0,'Données projet'!$E$15+1,1))</f>
        <v>239.52247785001794</v>
      </c>
      <c r="EP136" s="60">
        <f t="shared" si="154"/>
        <v>173.69760199651617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8.6593590132093848E-2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8.6593590132093848E-2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8">
        <f t="shared" si="110"/>
        <v>183.33333333333334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294.99999999999932</v>
      </c>
      <c r="O137" s="14">
        <f>N137*VLOOKUP('Données projet'!$B$9,Paramètres!$A$1:$I$89,3,0)*VLOOKUP('Données projet'!$B$9,Paramètres!$A$1:$I$89,5,0)</f>
        <v>299.12999999999937</v>
      </c>
      <c r="P137" s="14">
        <f t="shared" si="141"/>
        <v>70.994047242337089</v>
      </c>
      <c r="Q137" s="22">
        <f t="shared" si="108"/>
        <v>644.63271561373597</v>
      </c>
      <c r="R137" s="60">
        <f t="shared" si="109"/>
        <v>929.18005541844025</v>
      </c>
      <c r="S137" s="60">
        <f ca="1">AVERAGE(OFFSET($R$3,0,0,'Données projet'!$E$9+1,1))-AVERAGE(OFFSET($H$3,0,0,'Données projet'!$E$9+1,1))</f>
        <v>516.54532596122067</v>
      </c>
      <c r="T137" s="60">
        <f t="shared" si="142"/>
        <v>273.35778700650792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1.9895196601282805E-13</v>
      </c>
      <c r="AJ137" s="14">
        <f>AI137*VLOOKUP('Données projet'!$B$10,Paramètres!$A$1:$I$89,3,0)*VLOOKUP('Données projet'!$B$10,Paramètres!$A$1:$I$89,5,0)</f>
        <v>1.8932269085780715E-13</v>
      </c>
      <c r="AK137" s="14">
        <f t="shared" si="143"/>
        <v>2.6405131992468737E-12</v>
      </c>
      <c r="AL137" s="22">
        <f t="shared" si="112"/>
        <v>4.9286308419323191E-12</v>
      </c>
      <c r="AM137" s="60">
        <f t="shared" si="113"/>
        <v>284.54733980470922</v>
      </c>
      <c r="AN137" s="60">
        <f ca="1">AVERAGE(OFFSET($AM$3,0,0,'Données projet'!$E$10+1,1))-AVERAGE(OFFSET($H$3,0,0,'Données projet'!$E$10+1,1))</f>
        <v>328.36544111680962</v>
      </c>
      <c r="AO137" s="60">
        <f t="shared" si="144"/>
        <v>226.85392900722772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-9.9316821433603781E-14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296.01124173332352</v>
      </c>
      <c r="BJ137" s="60">
        <f t="shared" si="146"/>
        <v>315.50730924873733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-3.7243808037601412E-14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216.42026264996392</v>
      </c>
      <c r="CE137" s="60">
        <f t="shared" si="148"/>
        <v>216.4587454288401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</v>
      </c>
      <c r="CT137" s="13">
        <f>IF('Données projet'!$A$140&gt;35,CT136+CS137-DB136,IF(A137&lt;'Données projet'!$A$140,$CQ$205^A137,IF(A137='Données projet'!$A$140,'Données projet'!$B$140,CT136+CS137-DB136)))</f>
        <v>227.00000000000011</v>
      </c>
      <c r="CU137" s="18">
        <f>CT137*VLOOKUP('Données projet'!$B$13,Paramètres!$A$1:$I$89,3,0)*VLOOKUP('Données projet'!$B$13,Paramètres!$A$1:$I$89,5,0)</f>
        <v>219.5544000000001</v>
      </c>
      <c r="CV137" s="14">
        <f t="shared" si="149"/>
        <v>54.018025336908551</v>
      </c>
      <c r="CW137" s="22">
        <f t="shared" si="121"/>
        <v>476.47197412844918</v>
      </c>
      <c r="CX137" s="60">
        <f t="shared" si="122"/>
        <v>761.0193139331534</v>
      </c>
      <c r="CY137" s="60">
        <f ca="1">AVERAGE(OFFSET($CX$3,0,0,'Données projet'!$E$13+1,1))-AVERAGE(OFFSET($H$3,0,0,'Données projet'!$E$13+1,1))</f>
        <v>385.5283976785621</v>
      </c>
      <c r="CZ137" s="60">
        <f t="shared" si="150"/>
        <v>173.19148969173838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3</v>
      </c>
      <c r="DO137" s="13">
        <f>IF('Données projet'!$A$166&gt;35,DO136+DN137-DW136,IF(A137&lt;'Données projet'!$A$166,$DL$205^A137,IF(A137='Données projet'!$A$166,'Données projet'!$B$166,DO136+DN137-DW136)))</f>
        <v>294.99999999999932</v>
      </c>
      <c r="DP137" s="18">
        <f>DO137*VLOOKUP('Données projet'!$B$14,Paramètres!$A$1:$I$89,3,0)*VLOOKUP('Données projet'!$B$14,Paramètres!$A$1:$I$89,5,0)</f>
        <v>317.53799999999922</v>
      </c>
      <c r="DQ137" s="14">
        <f t="shared" si="151"/>
        <v>74.840856641926919</v>
      </c>
      <c r="DR137" s="22">
        <f t="shared" si="124"/>
        <v>683.39317531802135</v>
      </c>
      <c r="DS137" s="60">
        <f t="shared" si="125"/>
        <v>967.94051512272563</v>
      </c>
      <c r="DT137" s="60">
        <f ca="1">AVERAGE(OFFSET($DS$3,0,0,'Données projet'!$E$14+1,1))-AVERAGE(OFFSET($H$3,0,0,'Données projet'!$E$14+1,1))</f>
        <v>543.15812193567342</v>
      </c>
      <c r="DU137" s="60">
        <f t="shared" si="152"/>
        <v>286.40725588660575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2.8421709430404007E-14</v>
      </c>
      <c r="EK137" s="18">
        <f>EJ137*VLOOKUP('Données projet'!$B$15,Paramètres!$A$1:$I$89,3,0)*VLOOKUP('Données projet'!$B$15,Paramètres!$A$1:$I$89,5,0)</f>
        <v>1.906528268591501E-14</v>
      </c>
      <c r="EL137" s="14">
        <f t="shared" si="153"/>
        <v>3.473561557570726E-13</v>
      </c>
      <c r="EM137" s="22">
        <f t="shared" si="127"/>
        <v>6.3818400528820342E-13</v>
      </c>
      <c r="EN137" s="60">
        <f t="shared" si="128"/>
        <v>284.5473398047049</v>
      </c>
      <c r="EO137" s="60">
        <f ca="1">AVERAGE(OFFSET($EN$3,0,0,'Données projet'!$E$15+1,1))-AVERAGE(OFFSET($H$3,0,0,'Données projet'!$E$15+1,1))</f>
        <v>239.52247785001794</v>
      </c>
      <c r="EP137" s="60">
        <f t="shared" si="154"/>
        <v>173.69760199651617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8.4225683856172753E-2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8.4225683856172753E-2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8">
        <f t="shared" si="110"/>
        <v>183.33333333333334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297.99999999999932</v>
      </c>
      <c r="O138" s="14">
        <f>N138*VLOOKUP('Données projet'!$B$9,Paramètres!$A$1:$I$89,3,0)*VLOOKUP('Données projet'!$B$9,Paramètres!$A$1:$I$89,5,0)</f>
        <v>302.17199999999934</v>
      </c>
      <c r="P138" s="14">
        <f t="shared" si="141"/>
        <v>71.631606754643101</v>
      </c>
      <c r="Q138" s="22">
        <f t="shared" si="108"/>
        <v>651.04128176433551</v>
      </c>
      <c r="R138" s="60">
        <f t="shared" si="109"/>
        <v>935.7410389142226</v>
      </c>
      <c r="S138" s="60">
        <f ca="1">AVERAGE(OFFSET($R$3,0,0,'Données projet'!$E$9+1,1))-AVERAGE(OFFSET($H$3,0,0,'Données projet'!$E$9+1,1))</f>
        <v>516.54532596122067</v>
      </c>
      <c r="T138" s="60">
        <f t="shared" si="142"/>
        <v>273.35778700650792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1.9895196601282805E-13</v>
      </c>
      <c r="AJ138" s="14">
        <f>AI138*VLOOKUP('Données projet'!$B$10,Paramètres!$A$1:$I$89,3,0)*VLOOKUP('Données projet'!$B$10,Paramètres!$A$1:$I$89,5,0)</f>
        <v>1.8932269085780715E-13</v>
      </c>
      <c r="AK138" s="14">
        <f t="shared" si="143"/>
        <v>2.6405131992468737E-12</v>
      </c>
      <c r="AL138" s="22">
        <f t="shared" si="112"/>
        <v>4.9286308419323191E-12</v>
      </c>
      <c r="AM138" s="60">
        <f t="shared" si="113"/>
        <v>284.69975714989209</v>
      </c>
      <c r="AN138" s="60">
        <f ca="1">AVERAGE(OFFSET($AM$3,0,0,'Données projet'!$E$10+1,1))-AVERAGE(OFFSET($H$3,0,0,'Données projet'!$E$10+1,1))</f>
        <v>328.36544111680962</v>
      </c>
      <c r="AO138" s="60">
        <f t="shared" si="144"/>
        <v>226.85392900722772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-9.9316821433603781E-14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296.01124173332352</v>
      </c>
      <c r="BJ138" s="60">
        <f t="shared" si="146"/>
        <v>315.50730924873733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-3.7243808037601412E-14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216.42026264996392</v>
      </c>
      <c r="CE138" s="60">
        <f t="shared" si="148"/>
        <v>216.4587454288401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>
        <f>VLOOKUP(A138,'Données projet'!$A$139:$I$159,2,0)</f>
        <v>229</v>
      </c>
      <c r="CR138" s="13">
        <f>VLOOKUP(A138,'Données projet'!$A$139:$I$159,9,0)</f>
        <v>2</v>
      </c>
      <c r="CS138" s="13">
        <f t="array" ref="CS138">INDEX(CR:CR,MIN(IF(ISNUMBER(CR138:CR334),ROW(CR138:CR334),"")))</f>
        <v>2</v>
      </c>
      <c r="CT138" s="13">
        <f>IF('Données projet'!$A$140&gt;35,CT137+CS138-DB137,IF(A138&lt;'Données projet'!$A$140,$CQ$205^A138,IF(A138='Données projet'!$A$140,'Données projet'!$B$140,CT137+CS138-DB137)))</f>
        <v>229.00000000000011</v>
      </c>
      <c r="CU138" s="18">
        <f>CT138*VLOOKUP('Données projet'!$B$13,Paramètres!$A$1:$I$89,3,0)*VLOOKUP('Données projet'!$B$13,Paramètres!$A$1:$I$89,5,0)</f>
        <v>221.48880000000011</v>
      </c>
      <c r="CV138" s="14">
        <f t="shared" si="149"/>
        <v>54.43834191952984</v>
      </c>
      <c r="CW138" s="22">
        <f t="shared" si="121"/>
        <v>480.57310550984795</v>
      </c>
      <c r="CX138" s="60">
        <f t="shared" si="122"/>
        <v>765.2728626597351</v>
      </c>
      <c r="CY138" s="60">
        <f ca="1">AVERAGE(OFFSET($CX$3,0,0,'Données projet'!$E$13+1,1))-AVERAGE(OFFSET($H$3,0,0,'Données projet'!$E$13+1,1))</f>
        <v>385.5283976785621</v>
      </c>
      <c r="CZ138" s="60">
        <f t="shared" si="150"/>
        <v>173.19148969173838</v>
      </c>
      <c r="DA138" s="16">
        <f>IF(ISNA(VLOOKUP(A138,'Données projet'!$A$139:$I$159,3,0)),0,VLOOKUP(A138,'Données projet'!$A$139:$I$159,3,0))</f>
        <v>11</v>
      </c>
      <c r="DB138" s="16">
        <f>IF(ISNA(VLOOKUP(A138,'Données projet'!$A$139:$I$159,4,0)),0,VLOOKUP(A138,'Données projet'!$A$139:$I$159,4,0))</f>
        <v>19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>
        <f>VLOOKUP(A138,'Données projet'!$A$165:$I$185,2,0)</f>
        <v>298</v>
      </c>
      <c r="DM138" s="13">
        <f>VLOOKUP(A138,'Données projet'!$A$165:$I$185,9,0)</f>
        <v>3</v>
      </c>
      <c r="DN138" s="13">
        <f t="array" ref="DN138">INDEX(DM:DM,MIN(IF(ISNUMBER(DM138:DM334),ROW(DM138:DM334),"")))</f>
        <v>3</v>
      </c>
      <c r="DO138" s="13">
        <f>IF('Données projet'!$A$166&gt;35,DO137+DN138-DW137,IF(A138&lt;'Données projet'!$A$166,$DL$205^A138,IF(A138='Données projet'!$A$166,'Données projet'!$B$166,DO137+DN138-DW137)))</f>
        <v>297.99999999999932</v>
      </c>
      <c r="DP138" s="18">
        <f>DO138*VLOOKUP('Données projet'!$B$14,Paramètres!$A$1:$I$89,3,0)*VLOOKUP('Données projet'!$B$14,Paramètres!$A$1:$I$89,5,0)</f>
        <v>320.76719999999926</v>
      </c>
      <c r="DQ138" s="14">
        <f t="shared" si="151"/>
        <v>75.512962289014695</v>
      </c>
      <c r="DR138" s="22">
        <f t="shared" si="124"/>
        <v>690.18794932003266</v>
      </c>
      <c r="DS138" s="60">
        <f t="shared" si="125"/>
        <v>974.88770646991975</v>
      </c>
      <c r="DT138" s="60">
        <f ca="1">AVERAGE(OFFSET($DS$3,0,0,'Données projet'!$E$14+1,1))-AVERAGE(OFFSET($H$3,0,0,'Données projet'!$E$14+1,1))</f>
        <v>543.15812193567342</v>
      </c>
      <c r="DU138" s="60">
        <f t="shared" si="152"/>
        <v>286.40725588660575</v>
      </c>
      <c r="DV138" s="16">
        <f>IF(ISNA(VLOOKUP(A138,'Données projet'!$A$165:$I$185,3,0)),0,VLOOKUP(A138,'Données projet'!$A$165:$I$185,3,0))</f>
        <v>12</v>
      </c>
      <c r="DW138" s="16">
        <f>IF(ISNA(VLOOKUP(A138,'Données projet'!$A$165:$I$185,4,0)),0,VLOOKUP(A138,'Données projet'!$A$165:$I$185,4,0))</f>
        <v>29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2.8421709430404007E-14</v>
      </c>
      <c r="EK138" s="18">
        <f>EJ138*VLOOKUP('Données projet'!$B$15,Paramètres!$A$1:$I$89,3,0)*VLOOKUP('Données projet'!$B$15,Paramètres!$A$1:$I$89,5,0)</f>
        <v>1.906528268591501E-14</v>
      </c>
      <c r="EL138" s="14">
        <f t="shared" si="153"/>
        <v>3.473561557570726E-13</v>
      </c>
      <c r="EM138" s="22">
        <f t="shared" si="127"/>
        <v>6.3818400528820342E-13</v>
      </c>
      <c r="EN138" s="60">
        <f t="shared" si="128"/>
        <v>284.69975714988777</v>
      </c>
      <c r="EO138" s="60">
        <f ca="1">AVERAGE(OFFSET($EN$3,0,0,'Données projet'!$E$15+1,1))-AVERAGE(OFFSET($H$3,0,0,'Données projet'!$E$15+1,1))</f>
        <v>239.52247785001794</v>
      </c>
      <c r="EP138" s="60">
        <f t="shared" si="154"/>
        <v>173.69760199651617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8.1922528101889491E-2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8.1922528101889491E-2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8">
        <f t="shared" si="110"/>
        <v>183.33333333333334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2.6</v>
      </c>
      <c r="N139" s="14">
        <f>IF('Données projet'!$A$36&gt;35,N138+M139-V138,IF(A139&lt;'Données projet'!$A$36,$K$205^A139,IF(A139='Données projet'!$A$36,'Données projet'!$B$36,N138+M139-V138)))</f>
        <v>271.59999999999934</v>
      </c>
      <c r="O139" s="14">
        <f>N139*VLOOKUP('Données projet'!$B$9,Paramètres!$A$1:$I$89,3,0)*VLOOKUP('Données projet'!$B$9,Paramètres!$A$1:$I$89,5,0)</f>
        <v>275.40239999999932</v>
      </c>
      <c r="P139" s="14">
        <f t="shared" si="141"/>
        <v>65.994469603831334</v>
      </c>
      <c r="Q139" s="22">
        <f t="shared" si="108"/>
        <v>594.59954789333835</v>
      </c>
      <c r="R139" s="60">
        <f t="shared" si="109"/>
        <v>879.44907828822352</v>
      </c>
      <c r="S139" s="60">
        <f ca="1">AVERAGE(OFFSET($R$3,0,0,'Données projet'!$E$9+1,1))-AVERAGE(OFFSET($H$3,0,0,'Données projet'!$E$9+1,1))</f>
        <v>516.54532596122067</v>
      </c>
      <c r="T139" s="60">
        <f t="shared" si="142"/>
        <v>273.35778700650792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1.9895196601282805E-13</v>
      </c>
      <c r="AJ139" s="14">
        <f>AI139*VLOOKUP('Données projet'!$B$10,Paramètres!$A$1:$I$89,3,0)*VLOOKUP('Données projet'!$B$10,Paramètres!$A$1:$I$89,5,0)</f>
        <v>1.8932269085780715E-13</v>
      </c>
      <c r="AK139" s="14">
        <f t="shared" si="143"/>
        <v>2.6405131992468737E-12</v>
      </c>
      <c r="AL139" s="22">
        <f t="shared" si="112"/>
        <v>4.9286308419323191E-12</v>
      </c>
      <c r="AM139" s="60">
        <f t="shared" si="113"/>
        <v>284.84953039489017</v>
      </c>
      <c r="AN139" s="60">
        <f ca="1">AVERAGE(OFFSET($AM$3,0,0,'Données projet'!$E$10+1,1))-AVERAGE(OFFSET($H$3,0,0,'Données projet'!$E$10+1,1))</f>
        <v>328.36544111680962</v>
      </c>
      <c r="AO139" s="60">
        <f t="shared" si="144"/>
        <v>226.85392900722772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-9.9316821433603781E-14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296.01124173332352</v>
      </c>
      <c r="BJ139" s="60">
        <f t="shared" si="146"/>
        <v>315.50730924873733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-3.7243808037601412E-14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216.42026264996392</v>
      </c>
      <c r="CE139" s="60">
        <f t="shared" si="148"/>
        <v>216.4587454288401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1.6</v>
      </c>
      <c r="CT139" s="13">
        <f>IF('Données projet'!$A$140&gt;35,CT138+CS139-DB138,IF(A139&lt;'Données projet'!$A$140,$CQ$205^A139,IF(A139='Données projet'!$A$140,'Données projet'!$B$140,CT138+CS139-DB138)))</f>
        <v>211.60000000000011</v>
      </c>
      <c r="CU139" s="18">
        <f>CT139*VLOOKUP('Données projet'!$B$13,Paramètres!$A$1:$I$89,3,0)*VLOOKUP('Données projet'!$B$13,Paramètres!$A$1:$I$89,5,0)</f>
        <v>204.6595200000001</v>
      </c>
      <c r="CV139" s="14">
        <f t="shared" si="149"/>
        <v>50.766812591921394</v>
      </c>
      <c r="CW139" s="22">
        <f t="shared" si="121"/>
        <v>444.86752926426328</v>
      </c>
      <c r="CX139" s="60">
        <f t="shared" si="122"/>
        <v>729.7170596591485</v>
      </c>
      <c r="CY139" s="60">
        <f ca="1">AVERAGE(OFFSET($CX$3,0,0,'Données projet'!$E$13+1,1))-AVERAGE(OFFSET($H$3,0,0,'Données projet'!$E$13+1,1))</f>
        <v>385.5283976785621</v>
      </c>
      <c r="CZ139" s="60">
        <f t="shared" si="150"/>
        <v>173.19148969173838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2.6</v>
      </c>
      <c r="DO139" s="13">
        <f>IF('Données projet'!$A$166&gt;35,DO138+DN139-DW138,IF(A139&lt;'Données projet'!$A$166,$DL$205^A139,IF(A139='Données projet'!$A$166,'Données projet'!$B$166,DO138+DN139-DW138)))</f>
        <v>271.59999999999934</v>
      </c>
      <c r="DP139" s="18">
        <f>DO139*VLOOKUP('Données projet'!$B$14,Paramètres!$A$1:$I$89,3,0)*VLOOKUP('Données projet'!$B$14,Paramètres!$A$1:$I$89,5,0)</f>
        <v>292.3502399999993</v>
      </c>
      <c r="DQ139" s="14">
        <f t="shared" si="151"/>
        <v>69.570377103884013</v>
      </c>
      <c r="DR139" s="22">
        <f t="shared" si="124"/>
        <v>630.34507478926355</v>
      </c>
      <c r="DS139" s="60">
        <f t="shared" si="125"/>
        <v>915.19460518414871</v>
      </c>
      <c r="DT139" s="60">
        <f ca="1">AVERAGE(OFFSET($DS$3,0,0,'Données projet'!$E$14+1,1))-AVERAGE(OFFSET($H$3,0,0,'Données projet'!$E$14+1,1))</f>
        <v>543.15812193567342</v>
      </c>
      <c r="DU139" s="60">
        <f t="shared" si="152"/>
        <v>286.40725588660575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2.8421709430404007E-14</v>
      </c>
      <c r="EK139" s="18">
        <f>EJ139*VLOOKUP('Données projet'!$B$15,Paramètres!$A$1:$I$89,3,0)*VLOOKUP('Données projet'!$B$15,Paramètres!$A$1:$I$89,5,0)</f>
        <v>1.906528268591501E-14</v>
      </c>
      <c r="EL139" s="14">
        <f t="shared" si="153"/>
        <v>3.473561557570726E-13</v>
      </c>
      <c r="EM139" s="22">
        <f t="shared" si="127"/>
        <v>6.3818400528820342E-13</v>
      </c>
      <c r="EN139" s="60">
        <f t="shared" si="128"/>
        <v>284.84953039488585</v>
      </c>
      <c r="EO139" s="60">
        <f ca="1">AVERAGE(OFFSET($EN$3,0,0,'Données projet'!$E$15+1,1))-AVERAGE(OFFSET($H$3,0,0,'Données projet'!$E$15+1,1))</f>
        <v>239.52247785001794</v>
      </c>
      <c r="EP139" s="60">
        <f t="shared" si="154"/>
        <v>173.69760199651617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7.9682352262824802E-2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7.9682352262824802E-2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8">
        <f t="shared" si="110"/>
        <v>183.33333333333334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2.6</v>
      </c>
      <c r="N140" s="14">
        <f>IF('Données projet'!$A$36&gt;35,N139+M140-V139,IF(A140&lt;'Données projet'!$A$36,$K$205^A140,IF(A140='Données projet'!$A$36,'Données projet'!$B$36,N139+M140-V139)))</f>
        <v>274.19999999999936</v>
      </c>
      <c r="O140" s="14">
        <f>N140*VLOOKUP('Données projet'!$B$9,Paramètres!$A$1:$I$89,3,0)*VLOOKUP('Données projet'!$B$9,Paramètres!$A$1:$I$89,5,0)</f>
        <v>278.03879999999936</v>
      </c>
      <c r="P140" s="14">
        <f t="shared" si="141"/>
        <v>66.552381547717616</v>
      </c>
      <c r="Q140" s="22">
        <f t="shared" si="108"/>
        <v>600.16297452894037</v>
      </c>
      <c r="R140" s="60">
        <f t="shared" si="109"/>
        <v>885.1596799378658</v>
      </c>
      <c r="S140" s="60">
        <f ca="1">AVERAGE(OFFSET($R$3,0,0,'Données projet'!$E$9+1,1))-AVERAGE(OFFSET($H$3,0,0,'Données projet'!$E$9+1,1))</f>
        <v>516.54532596122067</v>
      </c>
      <c r="T140" s="60">
        <f t="shared" si="142"/>
        <v>273.35778700650792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1.9895196601282805E-13</v>
      </c>
      <c r="AJ140" s="14">
        <f>AI140*VLOOKUP('Données projet'!$B$10,Paramètres!$A$1:$I$89,3,0)*VLOOKUP('Données projet'!$B$10,Paramètres!$A$1:$I$89,5,0)</f>
        <v>1.8932269085780715E-13</v>
      </c>
      <c r="AK140" s="14">
        <f t="shared" si="143"/>
        <v>2.6405131992468737E-12</v>
      </c>
      <c r="AL140" s="22">
        <f t="shared" si="112"/>
        <v>4.9286308419323191E-12</v>
      </c>
      <c r="AM140" s="60">
        <f t="shared" si="113"/>
        <v>284.99670540893032</v>
      </c>
      <c r="AN140" s="60">
        <f ca="1">AVERAGE(OFFSET($AM$3,0,0,'Données projet'!$E$10+1,1))-AVERAGE(OFFSET($H$3,0,0,'Données projet'!$E$10+1,1))</f>
        <v>328.36544111680962</v>
      </c>
      <c r="AO140" s="60">
        <f t="shared" si="144"/>
        <v>226.85392900722772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-9.9316821433603781E-14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296.01124173332352</v>
      </c>
      <c r="BJ140" s="60">
        <f t="shared" si="146"/>
        <v>315.50730924873733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-3.7243808037601412E-14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216.42026264996392</v>
      </c>
      <c r="CE140" s="60">
        <f t="shared" si="148"/>
        <v>216.4587454288401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1.6</v>
      </c>
      <c r="CT140" s="13">
        <f>IF('Données projet'!$A$140&gt;35,CT139+CS140-DB139,IF(A140&lt;'Données projet'!$A$140,$CQ$205^A140,IF(A140='Données projet'!$A$140,'Données projet'!$B$140,CT139+CS140-DB139)))</f>
        <v>213.2000000000001</v>
      </c>
      <c r="CU140" s="18">
        <f>CT140*VLOOKUP('Données projet'!$B$13,Paramètres!$A$1:$I$89,3,0)*VLOOKUP('Données projet'!$B$13,Paramètres!$A$1:$I$89,5,0)</f>
        <v>206.20704000000009</v>
      </c>
      <c r="CV140" s="14">
        <f t="shared" si="149"/>
        <v>51.105851308113131</v>
      </c>
      <c r="CW140" s="22">
        <f t="shared" si="121"/>
        <v>448.15328569496381</v>
      </c>
      <c r="CX140" s="60">
        <f t="shared" si="122"/>
        <v>733.14999110388919</v>
      </c>
      <c r="CY140" s="60">
        <f ca="1">AVERAGE(OFFSET($CX$3,0,0,'Données projet'!$E$13+1,1))-AVERAGE(OFFSET($H$3,0,0,'Données projet'!$E$13+1,1))</f>
        <v>385.5283976785621</v>
      </c>
      <c r="CZ140" s="60">
        <f t="shared" si="150"/>
        <v>173.19148969173838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2.6</v>
      </c>
      <c r="DO140" s="13">
        <f>IF('Données projet'!$A$166&gt;35,DO139+DN140-DW139,IF(A140&lt;'Données projet'!$A$166,$DL$205^A140,IF(A140='Données projet'!$A$166,'Données projet'!$B$166,DO139+DN140-DW139)))</f>
        <v>274.19999999999936</v>
      </c>
      <c r="DP140" s="18">
        <f>DO140*VLOOKUP('Données projet'!$B$14,Paramètres!$A$1:$I$89,3,0)*VLOOKUP('Données projet'!$B$14,Paramètres!$A$1:$I$89,5,0)</f>
        <v>295.14887999999934</v>
      </c>
      <c r="DQ140" s="14">
        <f t="shared" si="151"/>
        <v>70.158519482479221</v>
      </c>
      <c r="DR140" s="22">
        <f t="shared" si="124"/>
        <v>636.24372076531688</v>
      </c>
      <c r="DS140" s="60">
        <f t="shared" si="125"/>
        <v>921.2404261742422</v>
      </c>
      <c r="DT140" s="60">
        <f ca="1">AVERAGE(OFFSET($DS$3,0,0,'Données projet'!$E$14+1,1))-AVERAGE(OFFSET($H$3,0,0,'Données projet'!$E$14+1,1))</f>
        <v>543.15812193567342</v>
      </c>
      <c r="DU140" s="60">
        <f t="shared" si="152"/>
        <v>286.40725588660575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2.8421709430404007E-14</v>
      </c>
      <c r="EK140" s="18">
        <f>EJ140*VLOOKUP('Données projet'!$B$15,Paramètres!$A$1:$I$89,3,0)*VLOOKUP('Données projet'!$B$15,Paramètres!$A$1:$I$89,5,0)</f>
        <v>1.906528268591501E-14</v>
      </c>
      <c r="EL140" s="14">
        <f t="shared" si="153"/>
        <v>3.473561557570726E-13</v>
      </c>
      <c r="EM140" s="22">
        <f t="shared" si="127"/>
        <v>6.3818400528820342E-13</v>
      </c>
      <c r="EN140" s="60">
        <f t="shared" si="128"/>
        <v>284.996705408926</v>
      </c>
      <c r="EO140" s="60">
        <f ca="1">AVERAGE(OFFSET($EN$3,0,0,'Données projet'!$E$15+1,1))-AVERAGE(OFFSET($H$3,0,0,'Données projet'!$E$15+1,1))</f>
        <v>239.52247785001794</v>
      </c>
      <c r="EP140" s="60">
        <f t="shared" si="154"/>
        <v>173.69760199651617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7.7503434149885073E-2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7.7503434149885073E-2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8">
        <f t="shared" si="110"/>
        <v>183.33333333333334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2.6</v>
      </c>
      <c r="N141" s="14">
        <f>IF('Données projet'!$A$36&gt;35,N140+M141-V140,IF(A141&lt;'Données projet'!$A$36,$K$205^A141,IF(A141='Données projet'!$A$36,'Données projet'!$B$36,N140+M141-V140)))</f>
        <v>276.79999999999939</v>
      </c>
      <c r="O141" s="14">
        <f>N141*VLOOKUP('Données projet'!$B$9,Paramètres!$A$1:$I$89,3,0)*VLOOKUP('Données projet'!$B$9,Paramètres!$A$1:$I$89,5,0)</f>
        <v>280.67519999999939</v>
      </c>
      <c r="P141" s="14">
        <f t="shared" si="141"/>
        <v>67.109678043026364</v>
      </c>
      <c r="Q141" s="22">
        <f t="shared" si="108"/>
        <v>605.72532925826988</v>
      </c>
      <c r="R141" s="60">
        <f t="shared" si="109"/>
        <v>890.86665652377587</v>
      </c>
      <c r="S141" s="60">
        <f ca="1">AVERAGE(OFFSET($R$3,0,0,'Données projet'!$E$9+1,1))-AVERAGE(OFFSET($H$3,0,0,'Données projet'!$E$9+1,1))</f>
        <v>516.54532596122067</v>
      </c>
      <c r="T141" s="60">
        <f t="shared" si="142"/>
        <v>273.35778700650792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1.9895196601282805E-13</v>
      </c>
      <c r="AJ141" s="14">
        <f>AI141*VLOOKUP('Données projet'!$B$10,Paramètres!$A$1:$I$89,3,0)*VLOOKUP('Données projet'!$B$10,Paramètres!$A$1:$I$89,5,0)</f>
        <v>1.8932269085780715E-13</v>
      </c>
      <c r="AK141" s="14">
        <f t="shared" si="143"/>
        <v>2.6405131992468737E-12</v>
      </c>
      <c r="AL141" s="22">
        <f t="shared" si="112"/>
        <v>4.9286308419323191E-12</v>
      </c>
      <c r="AM141" s="60">
        <f t="shared" si="113"/>
        <v>285.14132726551088</v>
      </c>
      <c r="AN141" s="60">
        <f ca="1">AVERAGE(OFFSET($AM$3,0,0,'Données projet'!$E$10+1,1))-AVERAGE(OFFSET($H$3,0,0,'Données projet'!$E$10+1,1))</f>
        <v>328.36544111680962</v>
      </c>
      <c r="AO141" s="60">
        <f t="shared" si="144"/>
        <v>226.85392900722772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-9.9316821433603781E-14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296.01124173332352</v>
      </c>
      <c r="BJ141" s="60">
        <f t="shared" si="146"/>
        <v>315.50730924873733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-3.7243808037601412E-14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216.42026264996392</v>
      </c>
      <c r="CE141" s="60">
        <f t="shared" si="148"/>
        <v>216.4587454288401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1.6</v>
      </c>
      <c r="CT141" s="13">
        <f>IF('Données projet'!$A$140&gt;35,CT140+CS141-DB140,IF(A141&lt;'Données projet'!$A$140,$CQ$205^A141,IF(A141='Données projet'!$A$140,'Données projet'!$B$140,CT140+CS141-DB140)))</f>
        <v>214.8000000000001</v>
      </c>
      <c r="CU141" s="18">
        <f>CT141*VLOOKUP('Données projet'!$B$13,Paramètres!$A$1:$I$89,3,0)*VLOOKUP('Données projet'!$B$13,Paramètres!$A$1:$I$89,5,0)</f>
        <v>207.75456000000011</v>
      </c>
      <c r="CV141" s="14">
        <f t="shared" si="149"/>
        <v>51.44459398478218</v>
      </c>
      <c r="CW141" s="22">
        <f t="shared" si="121"/>
        <v>451.4385265234958</v>
      </c>
      <c r="CX141" s="60">
        <f t="shared" si="122"/>
        <v>736.57985378900173</v>
      </c>
      <c r="CY141" s="60">
        <f ca="1">AVERAGE(OFFSET($CX$3,0,0,'Données projet'!$E$13+1,1))-AVERAGE(OFFSET($H$3,0,0,'Données projet'!$E$13+1,1))</f>
        <v>385.5283976785621</v>
      </c>
      <c r="CZ141" s="60">
        <f t="shared" si="150"/>
        <v>173.19148969173838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2.6</v>
      </c>
      <c r="DO141" s="13">
        <f>IF('Données projet'!$A$166&gt;35,DO140+DN141-DW140,IF(A141&lt;'Données projet'!$A$166,$DL$205^A141,IF(A141='Données projet'!$A$166,'Données projet'!$B$166,DO140+DN141-DW140)))</f>
        <v>276.79999999999939</v>
      </c>
      <c r="DP141" s="18">
        <f>DO141*VLOOKUP('Données projet'!$B$14,Paramètres!$A$1:$I$89,3,0)*VLOOKUP('Données projet'!$B$14,Paramètres!$A$1:$I$89,5,0)</f>
        <v>297.94751999999932</v>
      </c>
      <c r="DQ141" s="14">
        <f t="shared" si="151"/>
        <v>70.746013064442209</v>
      </c>
      <c r="DR141" s="22">
        <f t="shared" si="124"/>
        <v>642.14123675390226</v>
      </c>
      <c r="DS141" s="60">
        <f t="shared" si="125"/>
        <v>927.28256401940826</v>
      </c>
      <c r="DT141" s="60">
        <f ca="1">AVERAGE(OFFSET($DS$3,0,0,'Données projet'!$E$14+1,1))-AVERAGE(OFFSET($H$3,0,0,'Données projet'!$E$14+1,1))</f>
        <v>543.15812193567342</v>
      </c>
      <c r="DU141" s="60">
        <f t="shared" si="152"/>
        <v>286.40725588660575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2.8421709430404007E-14</v>
      </c>
      <c r="EK141" s="18">
        <f>EJ141*VLOOKUP('Données projet'!$B$15,Paramètres!$A$1:$I$89,3,0)*VLOOKUP('Données projet'!$B$15,Paramètres!$A$1:$I$89,5,0)</f>
        <v>1.906528268591501E-14</v>
      </c>
      <c r="EL141" s="14">
        <f t="shared" si="153"/>
        <v>3.473561557570726E-13</v>
      </c>
      <c r="EM141" s="22">
        <f t="shared" si="127"/>
        <v>6.3818400528820342E-13</v>
      </c>
      <c r="EN141" s="60">
        <f t="shared" si="128"/>
        <v>285.14132726550656</v>
      </c>
      <c r="EO141" s="60">
        <f ca="1">AVERAGE(OFFSET($EN$3,0,0,'Données projet'!$E$15+1,1))-AVERAGE(OFFSET($H$3,0,0,'Données projet'!$E$15+1,1))</f>
        <v>239.52247785001794</v>
      </c>
      <c r="EP141" s="60">
        <f t="shared" si="154"/>
        <v>173.69760199651617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7.5384098667327995E-2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7.5384098667327995E-2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8">
        <f t="shared" si="110"/>
        <v>183.33333333333334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2.6</v>
      </c>
      <c r="N142" s="14">
        <f>IF('Données projet'!$A$36&gt;35,N141+M142-V141,IF(A142&lt;'Données projet'!$A$36,$K$205^A142,IF(A142='Données projet'!$A$36,'Données projet'!$B$36,N141+M142-V141)))</f>
        <v>279.39999999999941</v>
      </c>
      <c r="O142" s="14">
        <f>N142*VLOOKUP('Données projet'!$B$9,Paramètres!$A$1:$I$89,3,0)*VLOOKUP('Données projet'!$B$9,Paramètres!$A$1:$I$89,5,0)</f>
        <v>283.31159999999943</v>
      </c>
      <c r="P142" s="14">
        <f t="shared" si="141"/>
        <v>67.666365540271144</v>
      </c>
      <c r="Q142" s="22">
        <f t="shared" si="108"/>
        <v>611.28662331597127</v>
      </c>
      <c r="R142" s="60">
        <f t="shared" si="109"/>
        <v>896.5700635721721</v>
      </c>
      <c r="S142" s="60">
        <f ca="1">AVERAGE(OFFSET($R$3,0,0,'Données projet'!$E$9+1,1))-AVERAGE(OFFSET($H$3,0,0,'Données projet'!$E$9+1,1))</f>
        <v>516.54532596122067</v>
      </c>
      <c r="T142" s="60">
        <f t="shared" si="142"/>
        <v>273.35778700650792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1.9895196601282805E-13</v>
      </c>
      <c r="AJ142" s="14">
        <f>AI142*VLOOKUP('Données projet'!$B$10,Paramètres!$A$1:$I$89,3,0)*VLOOKUP('Données projet'!$B$10,Paramètres!$A$1:$I$89,5,0)</f>
        <v>1.8932269085780715E-13</v>
      </c>
      <c r="AK142" s="14">
        <f t="shared" si="143"/>
        <v>2.6405131992468737E-12</v>
      </c>
      <c r="AL142" s="22">
        <f t="shared" si="112"/>
        <v>4.9286308419323191E-12</v>
      </c>
      <c r="AM142" s="60">
        <f t="shared" si="113"/>
        <v>285.28344025620584</v>
      </c>
      <c r="AN142" s="60">
        <f ca="1">AVERAGE(OFFSET($AM$3,0,0,'Données projet'!$E$10+1,1))-AVERAGE(OFFSET($H$3,0,0,'Données projet'!$E$10+1,1))</f>
        <v>328.36544111680962</v>
      </c>
      <c r="AO142" s="60">
        <f t="shared" si="144"/>
        <v>226.85392900722772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-9.9316821433603781E-14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296.01124173332352</v>
      </c>
      <c r="BJ142" s="60">
        <f t="shared" si="146"/>
        <v>315.50730924873733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-3.7243808037601412E-14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216.42026264996392</v>
      </c>
      <c r="CE142" s="60">
        <f t="shared" si="148"/>
        <v>216.4587454288401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1.6</v>
      </c>
      <c r="CT142" s="13">
        <f>IF('Données projet'!$A$140&gt;35,CT141+CS142-DB141,IF(A142&lt;'Données projet'!$A$140,$CQ$205^A142,IF(A142='Données projet'!$A$140,'Données projet'!$B$140,CT141+CS142-DB141)))</f>
        <v>216.40000000000009</v>
      </c>
      <c r="CU142" s="18">
        <f>CT142*VLOOKUP('Données projet'!$B$13,Paramètres!$A$1:$I$89,3,0)*VLOOKUP('Données projet'!$B$13,Paramètres!$A$1:$I$89,5,0)</f>
        <v>209.3020800000001</v>
      </c>
      <c r="CV142" s="14">
        <f t="shared" si="149"/>
        <v>51.78304308272125</v>
      </c>
      <c r="CW142" s="22">
        <f t="shared" si="121"/>
        <v>454.72325603573967</v>
      </c>
      <c r="CX142" s="60">
        <f t="shared" si="122"/>
        <v>740.00669629194056</v>
      </c>
      <c r="CY142" s="60">
        <f ca="1">AVERAGE(OFFSET($CX$3,0,0,'Données projet'!$E$13+1,1))-AVERAGE(OFFSET($H$3,0,0,'Données projet'!$E$13+1,1))</f>
        <v>385.5283976785621</v>
      </c>
      <c r="CZ142" s="60">
        <f t="shared" si="150"/>
        <v>173.19148969173838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2.6</v>
      </c>
      <c r="DO142" s="13">
        <f>IF('Données projet'!$A$166&gt;35,DO141+DN142-DW141,IF(A142&lt;'Données projet'!$A$166,$DL$205^A142,IF(A142='Données projet'!$A$166,'Données projet'!$B$166,DO141+DN142-DW141)))</f>
        <v>279.39999999999941</v>
      </c>
      <c r="DP142" s="18">
        <f>DO142*VLOOKUP('Données projet'!$B$14,Paramètres!$A$1:$I$89,3,0)*VLOOKUP('Données projet'!$B$14,Paramètres!$A$1:$I$89,5,0)</f>
        <v>300.74615999999935</v>
      </c>
      <c r="DQ142" s="14">
        <f t="shared" si="151"/>
        <v>71.332864649807306</v>
      </c>
      <c r="DR142" s="22">
        <f t="shared" si="124"/>
        <v>648.03763459841321</v>
      </c>
      <c r="DS142" s="60">
        <f t="shared" si="125"/>
        <v>933.32107485461415</v>
      </c>
      <c r="DT142" s="60">
        <f ca="1">AVERAGE(OFFSET($DS$3,0,0,'Données projet'!$E$14+1,1))-AVERAGE(OFFSET($H$3,0,0,'Données projet'!$E$14+1,1))</f>
        <v>543.15812193567342</v>
      </c>
      <c r="DU142" s="60">
        <f t="shared" si="152"/>
        <v>286.40725588660575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2.8421709430404007E-14</v>
      </c>
      <c r="EK142" s="18">
        <f>EJ142*VLOOKUP('Données projet'!$B$15,Paramètres!$A$1:$I$89,3,0)*VLOOKUP('Données projet'!$B$15,Paramètres!$A$1:$I$89,5,0)</f>
        <v>1.906528268591501E-14</v>
      </c>
      <c r="EL142" s="14">
        <f t="shared" si="153"/>
        <v>3.473561557570726E-13</v>
      </c>
      <c r="EM142" s="22">
        <f t="shared" si="127"/>
        <v>6.3818400528820342E-13</v>
      </c>
      <c r="EN142" s="60">
        <f t="shared" si="128"/>
        <v>285.28344025620152</v>
      </c>
      <c r="EO142" s="60">
        <f ca="1">AVERAGE(OFFSET($EN$3,0,0,'Données projet'!$E$15+1,1))-AVERAGE(OFFSET($H$3,0,0,'Données projet'!$E$15+1,1))</f>
        <v>239.52247785001794</v>
      </c>
      <c r="EP142" s="60">
        <f t="shared" si="154"/>
        <v>173.69760199651617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7.3322716524992448E-2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7.3322716524992448E-2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8">
        <f t="shared" si="110"/>
        <v>183.33333333333334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2.6</v>
      </c>
      <c r="N143" s="14">
        <f>IF('Données projet'!$A$36&gt;35,N142+M143-V142,IF(A143&lt;'Données projet'!$A$36,$K$205^A143,IF(A143='Données projet'!$A$36,'Données projet'!$B$36,N142+M143-V142)))</f>
        <v>281.99999999999943</v>
      </c>
      <c r="O143" s="14">
        <f>N143*VLOOKUP('Données projet'!$B$9,Paramètres!$A$1:$I$89,3,0)*VLOOKUP('Données projet'!$B$9,Paramètres!$A$1:$I$89,5,0)</f>
        <v>285.94799999999947</v>
      </c>
      <c r="P143" s="14">
        <f t="shared" si="141"/>
        <v>68.222450362989306</v>
      </c>
      <c r="Q143" s="22">
        <f t="shared" si="108"/>
        <v>616.84686771553879</v>
      </c>
      <c r="R143" s="60">
        <f t="shared" si="109"/>
        <v>902.2699556197631</v>
      </c>
      <c r="S143" s="60">
        <f ca="1">AVERAGE(OFFSET($R$3,0,0,'Données projet'!$E$9+1,1))-AVERAGE(OFFSET($H$3,0,0,'Données projet'!$E$9+1,1))</f>
        <v>516.54532596122067</v>
      </c>
      <c r="T143" s="60">
        <f t="shared" si="142"/>
        <v>273.35778700650792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1.9895196601282805E-13</v>
      </c>
      <c r="AJ143" s="14">
        <f>AI143*VLOOKUP('Données projet'!$B$10,Paramètres!$A$1:$I$89,3,0)*VLOOKUP('Données projet'!$B$10,Paramètres!$A$1:$I$89,5,0)</f>
        <v>1.8932269085780715E-13</v>
      </c>
      <c r="AK143" s="14">
        <f t="shared" si="143"/>
        <v>2.6405131992468737E-12</v>
      </c>
      <c r="AL143" s="22">
        <f t="shared" si="112"/>
        <v>4.9286308419323191E-12</v>
      </c>
      <c r="AM143" s="60">
        <f t="shared" si="113"/>
        <v>285.42308790422931</v>
      </c>
      <c r="AN143" s="60">
        <f ca="1">AVERAGE(OFFSET($AM$3,0,0,'Données projet'!$E$10+1,1))-AVERAGE(OFFSET($H$3,0,0,'Données projet'!$E$10+1,1))</f>
        <v>328.36544111680962</v>
      </c>
      <c r="AO143" s="60">
        <f t="shared" si="144"/>
        <v>226.85392900722772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-9.9316821433603781E-14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296.01124173332352</v>
      </c>
      <c r="BJ143" s="60">
        <f t="shared" si="146"/>
        <v>315.50730924873733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-3.7243808037601412E-14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216.42026264996392</v>
      </c>
      <c r="CE143" s="60">
        <f t="shared" si="148"/>
        <v>216.4587454288401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1.6</v>
      </c>
      <c r="CT143" s="13">
        <f>IF('Données projet'!$A$140&gt;35,CT142+CS143-DB142,IF(A143&lt;'Données projet'!$A$140,$CQ$205^A143,IF(A143='Données projet'!$A$140,'Données projet'!$B$140,CT142+CS143-DB142)))</f>
        <v>218.00000000000009</v>
      </c>
      <c r="CU143" s="18">
        <f>CT143*VLOOKUP('Données projet'!$B$13,Paramètres!$A$1:$I$89,3,0)*VLOOKUP('Données projet'!$B$13,Paramètres!$A$1:$I$89,5,0)</f>
        <v>210.84960000000009</v>
      </c>
      <c r="CV143" s="14">
        <f t="shared" si="149"/>
        <v>52.121201024231922</v>
      </c>
      <c r="CW143" s="22">
        <f t="shared" si="121"/>
        <v>458.00747845053735</v>
      </c>
      <c r="CX143" s="60">
        <f t="shared" si="122"/>
        <v>743.43056635476171</v>
      </c>
      <c r="CY143" s="60">
        <f ca="1">AVERAGE(OFFSET($CX$3,0,0,'Données projet'!$E$13+1,1))-AVERAGE(OFFSET($H$3,0,0,'Données projet'!$E$13+1,1))</f>
        <v>385.5283976785621</v>
      </c>
      <c r="CZ143" s="60">
        <f t="shared" si="150"/>
        <v>173.19148969173838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2.6</v>
      </c>
      <c r="DO143" s="13">
        <f>IF('Données projet'!$A$166&gt;35,DO142+DN143-DW142,IF(A143&lt;'Données projet'!$A$166,$DL$205^A143,IF(A143='Données projet'!$A$166,'Données projet'!$B$166,DO142+DN143-DW142)))</f>
        <v>281.99999999999943</v>
      </c>
      <c r="DP143" s="18">
        <f>DO143*VLOOKUP('Données projet'!$B$14,Paramètres!$A$1:$I$89,3,0)*VLOOKUP('Données projet'!$B$14,Paramètres!$A$1:$I$89,5,0)</f>
        <v>303.54479999999938</v>
      </c>
      <c r="DQ143" s="14">
        <f t="shared" si="151"/>
        <v>71.919080904752448</v>
      </c>
      <c r="DR143" s="22">
        <f t="shared" si="124"/>
        <v>653.93292590910937</v>
      </c>
      <c r="DS143" s="60">
        <f t="shared" si="125"/>
        <v>939.35601381333367</v>
      </c>
      <c r="DT143" s="60">
        <f ca="1">AVERAGE(OFFSET($DS$3,0,0,'Données projet'!$E$14+1,1))-AVERAGE(OFFSET($H$3,0,0,'Données projet'!$E$14+1,1))</f>
        <v>543.15812193567342</v>
      </c>
      <c r="DU143" s="60">
        <f t="shared" si="152"/>
        <v>286.40725588660575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2.8421709430404007E-14</v>
      </c>
      <c r="EK143" s="18">
        <f>EJ143*VLOOKUP('Données projet'!$B$15,Paramètres!$A$1:$I$89,3,0)*VLOOKUP('Données projet'!$B$15,Paramètres!$A$1:$I$89,5,0)</f>
        <v>1.906528268591501E-14</v>
      </c>
      <c r="EL143" s="14">
        <f t="shared" si="153"/>
        <v>3.473561557570726E-13</v>
      </c>
      <c r="EM143" s="22">
        <f t="shared" si="127"/>
        <v>6.3818400528820342E-13</v>
      </c>
      <c r="EN143" s="60">
        <f t="shared" si="128"/>
        <v>285.42308790422499</v>
      </c>
      <c r="EO143" s="60">
        <f ca="1">AVERAGE(OFFSET($EN$3,0,0,'Données projet'!$E$15+1,1))-AVERAGE(OFFSET($H$3,0,0,'Données projet'!$E$15+1,1))</f>
        <v>239.52247785001794</v>
      </c>
      <c r="EP143" s="60">
        <f t="shared" si="154"/>
        <v>173.69760199651617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7.1317702985742443E-2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7.1317702985742443E-2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8">
        <f t="shared" si="110"/>
        <v>183.33333333333334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2.6</v>
      </c>
      <c r="N144" s="14">
        <f>IF('Données projet'!$A$36&gt;35,N143+M144-V143,IF(A144&lt;'Données projet'!$A$36,$K$205^A144,IF(A144='Données projet'!$A$36,'Données projet'!$B$36,N143+M144-V143)))</f>
        <v>284.59999999999945</v>
      </c>
      <c r="O144" s="14">
        <f>N144*VLOOKUP('Données projet'!$B$9,Paramètres!$A$1:$I$89,3,0)*VLOOKUP('Données projet'!$B$9,Paramètres!$A$1:$I$89,5,0)</f>
        <v>288.58439999999945</v>
      </c>
      <c r="P144" s="14">
        <f t="shared" si="141"/>
        <v>68.777938711388487</v>
      </c>
      <c r="Q144" s="22">
        <f t="shared" si="108"/>
        <v>622.40607325566725</v>
      </c>
      <c r="R144" s="60">
        <f t="shared" si="109"/>
        <v>907.96638623342733</v>
      </c>
      <c r="S144" s="60">
        <f ca="1">AVERAGE(OFFSET($R$3,0,0,'Données projet'!$E$9+1,1))-AVERAGE(OFFSET($H$3,0,0,'Données projet'!$E$9+1,1))</f>
        <v>516.54532596122067</v>
      </c>
      <c r="T144" s="60">
        <f t="shared" si="142"/>
        <v>273.35778700650792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1.9895196601282805E-13</v>
      </c>
      <c r="AJ144" s="14">
        <f>AI144*VLOOKUP('Données projet'!$B$10,Paramètres!$A$1:$I$89,3,0)*VLOOKUP('Données projet'!$B$10,Paramètres!$A$1:$I$89,5,0)</f>
        <v>1.8932269085780715E-13</v>
      </c>
      <c r="AK144" s="14">
        <f t="shared" si="143"/>
        <v>2.6405131992468737E-12</v>
      </c>
      <c r="AL144" s="22">
        <f t="shared" si="112"/>
        <v>4.9286308419323191E-12</v>
      </c>
      <c r="AM144" s="60">
        <f t="shared" si="113"/>
        <v>285.56031297776497</v>
      </c>
      <c r="AN144" s="60">
        <f ca="1">AVERAGE(OFFSET($AM$3,0,0,'Données projet'!$E$10+1,1))-AVERAGE(OFFSET($H$3,0,0,'Données projet'!$E$10+1,1))</f>
        <v>328.36544111680962</v>
      </c>
      <c r="AO144" s="60">
        <f t="shared" si="144"/>
        <v>226.85392900722772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-9.9316821433603781E-14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296.01124173332352</v>
      </c>
      <c r="BJ144" s="60">
        <f t="shared" si="146"/>
        <v>315.50730924873733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-3.7243808037601412E-14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216.42026264996392</v>
      </c>
      <c r="CE144" s="60">
        <f t="shared" si="148"/>
        <v>216.4587454288401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1.6</v>
      </c>
      <c r="CT144" s="13">
        <f>IF('Données projet'!$A$140&gt;35,CT143+CS144-DB143,IF(A144&lt;'Données projet'!$A$140,$CQ$205^A144,IF(A144='Données projet'!$A$140,'Données projet'!$B$140,CT143+CS144-DB143)))</f>
        <v>219.60000000000008</v>
      </c>
      <c r="CU144" s="18">
        <f>CT144*VLOOKUP('Données projet'!$B$13,Paramètres!$A$1:$I$89,3,0)*VLOOKUP('Données projet'!$B$13,Paramètres!$A$1:$I$89,5,0)</f>
        <v>212.39712000000009</v>
      </c>
      <c r="CV144" s="14">
        <f t="shared" si="149"/>
        <v>52.459070194004759</v>
      </c>
      <c r="CW144" s="22">
        <f t="shared" si="121"/>
        <v>461.29119792122509</v>
      </c>
      <c r="CX144" s="60">
        <f t="shared" si="122"/>
        <v>746.85151089898511</v>
      </c>
      <c r="CY144" s="60">
        <f ca="1">AVERAGE(OFFSET($CX$3,0,0,'Données projet'!$E$13+1,1))-AVERAGE(OFFSET($H$3,0,0,'Données projet'!$E$13+1,1))</f>
        <v>385.5283976785621</v>
      </c>
      <c r="CZ144" s="60">
        <f t="shared" si="150"/>
        <v>173.19148969173838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2.6</v>
      </c>
      <c r="DO144" s="13">
        <f>IF('Données projet'!$A$166&gt;35,DO143+DN144-DW143,IF(A144&lt;'Données projet'!$A$166,$DL$205^A144,IF(A144='Données projet'!$A$166,'Données projet'!$B$166,DO143+DN144-DW143)))</f>
        <v>284.59999999999945</v>
      </c>
      <c r="DP144" s="18">
        <f>DO144*VLOOKUP('Données projet'!$B$14,Paramètres!$A$1:$I$89,3,0)*VLOOKUP('Données projet'!$B$14,Paramètres!$A$1:$I$89,5,0)</f>
        <v>306.34343999999936</v>
      </c>
      <c r="DQ144" s="14">
        <f t="shared" si="151"/>
        <v>72.504668365443322</v>
      </c>
      <c r="DR144" s="22">
        <f t="shared" si="124"/>
        <v>659.82712206981262</v>
      </c>
      <c r="DS144" s="60">
        <f t="shared" si="125"/>
        <v>945.38743504757258</v>
      </c>
      <c r="DT144" s="60">
        <f ca="1">AVERAGE(OFFSET($DS$3,0,0,'Données projet'!$E$14+1,1))-AVERAGE(OFFSET($H$3,0,0,'Données projet'!$E$14+1,1))</f>
        <v>543.15812193567342</v>
      </c>
      <c r="DU144" s="60">
        <f t="shared" si="152"/>
        <v>286.40725588660575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2.8421709430404007E-14</v>
      </c>
      <c r="EK144" s="18">
        <f>EJ144*VLOOKUP('Données projet'!$B$15,Paramètres!$A$1:$I$89,3,0)*VLOOKUP('Données projet'!$B$15,Paramètres!$A$1:$I$89,5,0)</f>
        <v>1.906528268591501E-14</v>
      </c>
      <c r="EL144" s="14">
        <f t="shared" si="153"/>
        <v>3.473561557570726E-13</v>
      </c>
      <c r="EM144" s="22">
        <f t="shared" si="127"/>
        <v>6.3818400528820342E-13</v>
      </c>
      <c r="EN144" s="60">
        <f t="shared" si="128"/>
        <v>285.56031297776065</v>
      </c>
      <c r="EO144" s="60">
        <f ca="1">AVERAGE(OFFSET($EN$3,0,0,'Données projet'!$E$15+1,1))-AVERAGE(OFFSET($H$3,0,0,'Données projet'!$E$15+1,1))</f>
        <v>239.52247785001794</v>
      </c>
      <c r="EP144" s="60">
        <f t="shared" si="154"/>
        <v>173.69760199651617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6.9367516647162314E-2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6.9367516647162314E-2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8">
        <f t="shared" si="110"/>
        <v>183.33333333333334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2.6</v>
      </c>
      <c r="N145" s="14">
        <f>IF('Données projet'!$A$36&gt;35,N144+M145-V144,IF(A145&lt;'Données projet'!$A$36,$K$205^A145,IF(A145='Données projet'!$A$36,'Données projet'!$B$36,N144+M145-V144)))</f>
        <v>287.19999999999948</v>
      </c>
      <c r="O145" s="14">
        <f>N145*VLOOKUP('Données projet'!$B$9,Paramètres!$A$1:$I$89,3,0)*VLOOKUP('Données projet'!$B$9,Paramètres!$A$1:$I$89,5,0)</f>
        <v>291.22079999999949</v>
      </c>
      <c r="P145" s="14">
        <f t="shared" si="141"/>
        <v>69.332836665856547</v>
      </c>
      <c r="Q145" s="22">
        <f t="shared" si="108"/>
        <v>627.96425052636596</v>
      </c>
      <c r="R145" s="60">
        <f t="shared" si="109"/>
        <v>913.65940802942509</v>
      </c>
      <c r="S145" s="60">
        <f ca="1">AVERAGE(OFFSET($R$3,0,0,'Données projet'!$E$9+1,1))-AVERAGE(OFFSET($H$3,0,0,'Données projet'!$E$9+1,1))</f>
        <v>516.54532596122067</v>
      </c>
      <c r="T145" s="60">
        <f t="shared" si="142"/>
        <v>273.35778700650792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1.9895196601282805E-13</v>
      </c>
      <c r="AJ145" s="14">
        <f>AI145*VLOOKUP('Données projet'!$B$10,Paramètres!$A$1:$I$89,3,0)*VLOOKUP('Données projet'!$B$10,Paramètres!$A$1:$I$89,5,0)</f>
        <v>1.8932269085780715E-13</v>
      </c>
      <c r="AK145" s="14">
        <f t="shared" si="143"/>
        <v>2.6405131992468737E-12</v>
      </c>
      <c r="AL145" s="22">
        <f t="shared" si="112"/>
        <v>4.9286308419323191E-12</v>
      </c>
      <c r="AM145" s="60">
        <f t="shared" si="113"/>
        <v>285.69515750306402</v>
      </c>
      <c r="AN145" s="60">
        <f ca="1">AVERAGE(OFFSET($AM$3,0,0,'Données projet'!$E$10+1,1))-AVERAGE(OFFSET($H$3,0,0,'Données projet'!$E$10+1,1))</f>
        <v>328.36544111680962</v>
      </c>
      <c r="AO145" s="60">
        <f t="shared" si="144"/>
        <v>226.85392900722772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-9.9316821433603781E-14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296.01124173332352</v>
      </c>
      <c r="BJ145" s="60">
        <f t="shared" si="146"/>
        <v>315.50730924873733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-3.7243808037601412E-14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216.42026264996392</v>
      </c>
      <c r="CE145" s="60">
        <f t="shared" si="148"/>
        <v>216.4587454288401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1.6</v>
      </c>
      <c r="CT145" s="13">
        <f>IF('Données projet'!$A$140&gt;35,CT144+CS145-DB144,IF(A145&lt;'Données projet'!$A$140,$CQ$205^A145,IF(A145='Données projet'!$A$140,'Données projet'!$B$140,CT144+CS145-DB144)))</f>
        <v>221.20000000000007</v>
      </c>
      <c r="CU145" s="18">
        <f>CT145*VLOOKUP('Données projet'!$B$13,Paramètres!$A$1:$I$89,3,0)*VLOOKUP('Données projet'!$B$13,Paramètres!$A$1:$I$89,5,0)</f>
        <v>213.94464000000005</v>
      </c>
      <c r="CV145" s="14">
        <f t="shared" si="149"/>
        <v>52.796652939972887</v>
      </c>
      <c r="CW145" s="22">
        <f t="shared" si="121"/>
        <v>464.57441853711953</v>
      </c>
      <c r="CX145" s="60">
        <f t="shared" si="122"/>
        <v>750.26957604017866</v>
      </c>
      <c r="CY145" s="60">
        <f ca="1">AVERAGE(OFFSET($CX$3,0,0,'Données projet'!$E$13+1,1))-AVERAGE(OFFSET($H$3,0,0,'Données projet'!$E$13+1,1))</f>
        <v>385.5283976785621</v>
      </c>
      <c r="CZ145" s="60">
        <f t="shared" si="150"/>
        <v>173.19148969173838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2.6</v>
      </c>
      <c r="DO145" s="13">
        <f>IF('Données projet'!$A$166&gt;35,DO144+DN145-DW144,IF(A145&lt;'Données projet'!$A$166,$DL$205^A145,IF(A145='Données projet'!$A$166,'Données projet'!$B$166,DO144+DN145-DW144)))</f>
        <v>287.19999999999948</v>
      </c>
      <c r="DP145" s="18">
        <f>DO145*VLOOKUP('Données projet'!$B$14,Paramètres!$A$1:$I$89,3,0)*VLOOKUP('Données projet'!$B$14,Paramètres!$A$1:$I$89,5,0)</f>
        <v>309.14207999999945</v>
      </c>
      <c r="DQ145" s="14">
        <f t="shared" si="151"/>
        <v>73.089633441733085</v>
      </c>
      <c r="DR145" s="22">
        <f t="shared" si="124"/>
        <v>665.72023424435088</v>
      </c>
      <c r="DS145" s="60">
        <f t="shared" si="125"/>
        <v>951.41539174741001</v>
      </c>
      <c r="DT145" s="60">
        <f ca="1">AVERAGE(OFFSET($DS$3,0,0,'Données projet'!$E$14+1,1))-AVERAGE(OFFSET($H$3,0,0,'Données projet'!$E$14+1,1))</f>
        <v>543.15812193567342</v>
      </c>
      <c r="DU145" s="60">
        <f t="shared" si="152"/>
        <v>286.40725588660575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2.8421709430404007E-14</v>
      </c>
      <c r="EK145" s="18">
        <f>EJ145*VLOOKUP('Données projet'!$B$15,Paramètres!$A$1:$I$89,3,0)*VLOOKUP('Données projet'!$B$15,Paramètres!$A$1:$I$89,5,0)</f>
        <v>1.906528268591501E-14</v>
      </c>
      <c r="EL145" s="14">
        <f t="shared" si="153"/>
        <v>3.473561557570726E-13</v>
      </c>
      <c r="EM145" s="22">
        <f t="shared" si="127"/>
        <v>6.3818400528820342E-13</v>
      </c>
      <c r="EN145" s="60">
        <f t="shared" si="128"/>
        <v>285.6951575030597</v>
      </c>
      <c r="EO145" s="60">
        <f ca="1">AVERAGE(OFFSET($EN$3,0,0,'Données projet'!$E$15+1,1))-AVERAGE(OFFSET($H$3,0,0,'Données projet'!$E$15+1,1))</f>
        <v>239.52247785001794</v>
      </c>
      <c r="EP145" s="60">
        <f t="shared" si="154"/>
        <v>173.69760199651617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6.7470658256566507E-2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6.7470658256566507E-2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8">
        <f t="shared" si="110"/>
        <v>183.33333333333334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2.6</v>
      </c>
      <c r="N146" s="14">
        <f>IF('Données projet'!$A$36&gt;35,N145+M146-V145,IF(A146&lt;'Données projet'!$A$36,$K$205^A146,IF(A146='Données projet'!$A$36,'Données projet'!$B$36,N145+M146-V145)))</f>
        <v>289.7999999999995</v>
      </c>
      <c r="O146" s="14">
        <f>N146*VLOOKUP('Données projet'!$B$9,Paramètres!$A$1:$I$89,3,0)*VLOOKUP('Données projet'!$B$9,Paramètres!$A$1:$I$89,5,0)</f>
        <v>293.85719999999952</v>
      </c>
      <c r="P146" s="14">
        <f t="shared" si="141"/>
        <v>69.88715019033971</v>
      </c>
      <c r="Q146" s="22">
        <f t="shared" si="108"/>
        <v>633.52140991484077</v>
      </c>
      <c r="R146" s="60">
        <f t="shared" si="109"/>
        <v>919.34907269215228</v>
      </c>
      <c r="S146" s="60">
        <f ca="1">AVERAGE(OFFSET($R$3,0,0,'Données projet'!$E$9+1,1))-AVERAGE(OFFSET($H$3,0,0,'Données projet'!$E$9+1,1))</f>
        <v>516.54532596122067</v>
      </c>
      <c r="T146" s="60">
        <f t="shared" si="142"/>
        <v>273.35778700650792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1.9895196601282805E-13</v>
      </c>
      <c r="AJ146" s="14">
        <f>AI146*VLOOKUP('Données projet'!$B$10,Paramètres!$A$1:$I$89,3,0)*VLOOKUP('Données projet'!$B$10,Paramètres!$A$1:$I$89,5,0)</f>
        <v>1.8932269085780715E-13</v>
      </c>
      <c r="AK146" s="14">
        <f t="shared" si="143"/>
        <v>2.6405131992468737E-12</v>
      </c>
      <c r="AL146" s="22">
        <f t="shared" si="112"/>
        <v>4.9286308419323191E-12</v>
      </c>
      <c r="AM146" s="60">
        <f t="shared" si="113"/>
        <v>285.82766277731639</v>
      </c>
      <c r="AN146" s="60">
        <f ca="1">AVERAGE(OFFSET($AM$3,0,0,'Données projet'!$E$10+1,1))-AVERAGE(OFFSET($H$3,0,0,'Données projet'!$E$10+1,1))</f>
        <v>328.36544111680962</v>
      </c>
      <c r="AO146" s="60">
        <f t="shared" si="144"/>
        <v>226.85392900722772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-9.9316821433603781E-14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296.01124173332352</v>
      </c>
      <c r="BJ146" s="60">
        <f t="shared" si="146"/>
        <v>315.50730924873733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-3.7243808037601412E-14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216.42026264996392</v>
      </c>
      <c r="CE146" s="60">
        <f t="shared" si="148"/>
        <v>216.4587454288401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1.6</v>
      </c>
      <c r="CT146" s="13">
        <f>IF('Données projet'!$A$140&gt;35,CT145+CS146-DB145,IF(A146&lt;'Données projet'!$A$140,$CQ$205^A146,IF(A146='Données projet'!$A$140,'Données projet'!$B$140,CT145+CS146-DB145)))</f>
        <v>222.80000000000007</v>
      </c>
      <c r="CU146" s="18">
        <f>CT146*VLOOKUP('Données projet'!$B$13,Paramètres!$A$1:$I$89,3,0)*VLOOKUP('Données projet'!$B$13,Paramètres!$A$1:$I$89,5,0)</f>
        <v>215.4921600000001</v>
      </c>
      <c r="CV146" s="14">
        <f t="shared" si="149"/>
        <v>53.133951574140234</v>
      </c>
      <c r="CW146" s="22">
        <f t="shared" si="121"/>
        <v>467.8571443249611</v>
      </c>
      <c r="CX146" s="60">
        <f t="shared" si="122"/>
        <v>753.68480710227254</v>
      </c>
      <c r="CY146" s="60">
        <f ca="1">AVERAGE(OFFSET($CX$3,0,0,'Données projet'!$E$13+1,1))-AVERAGE(OFFSET($H$3,0,0,'Données projet'!$E$13+1,1))</f>
        <v>385.5283976785621</v>
      </c>
      <c r="CZ146" s="60">
        <f t="shared" si="150"/>
        <v>173.19148969173838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2.6</v>
      </c>
      <c r="DO146" s="13">
        <f>IF('Données projet'!$A$166&gt;35,DO145+DN146-DW145,IF(A146&lt;'Données projet'!$A$166,$DL$205^A146,IF(A146='Données projet'!$A$166,'Données projet'!$B$166,DO145+DN146-DW145)))</f>
        <v>289.7999999999995</v>
      </c>
      <c r="DP146" s="18">
        <f>DO146*VLOOKUP('Données projet'!$B$14,Paramètres!$A$1:$I$89,3,0)*VLOOKUP('Données projet'!$B$14,Paramètres!$A$1:$I$89,5,0)</f>
        <v>311.94071999999949</v>
      </c>
      <c r="DQ146" s="14">
        <f t="shared" si="151"/>
        <v>73.673982420724542</v>
      </c>
      <c r="DR146" s="22">
        <f t="shared" si="124"/>
        <v>671.61227338276092</v>
      </c>
      <c r="DS146" s="60">
        <f t="shared" si="125"/>
        <v>957.43993616007242</v>
      </c>
      <c r="DT146" s="60">
        <f ca="1">AVERAGE(OFFSET($DS$3,0,0,'Données projet'!$E$14+1,1))-AVERAGE(OFFSET($H$3,0,0,'Données projet'!$E$14+1,1))</f>
        <v>543.15812193567342</v>
      </c>
      <c r="DU146" s="60">
        <f t="shared" si="152"/>
        <v>286.40725588660575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2.8421709430404007E-14</v>
      </c>
      <c r="EK146" s="18">
        <f>EJ146*VLOOKUP('Données projet'!$B$15,Paramètres!$A$1:$I$89,3,0)*VLOOKUP('Données projet'!$B$15,Paramètres!$A$1:$I$89,5,0)</f>
        <v>1.906528268591501E-14</v>
      </c>
      <c r="EL146" s="14">
        <f t="shared" si="153"/>
        <v>3.473561557570726E-13</v>
      </c>
      <c r="EM146" s="22">
        <f t="shared" si="127"/>
        <v>6.3818400528820342E-13</v>
      </c>
      <c r="EN146" s="60">
        <f t="shared" si="128"/>
        <v>285.82766277731207</v>
      </c>
      <c r="EO146" s="60">
        <f ca="1">AVERAGE(OFFSET($EN$3,0,0,'Données projet'!$E$15+1,1))-AVERAGE(OFFSET($H$3,0,0,'Données projet'!$E$15+1,1))</f>
        <v>239.52247785001794</v>
      </c>
      <c r="EP146" s="60">
        <f t="shared" si="154"/>
        <v>173.69760199651617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6.562566955841298E-2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6.562566955841298E-2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8">
        <f t="shared" si="110"/>
        <v>183.33333333333334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2.6</v>
      </c>
      <c r="N147" s="14">
        <f>IF('Données projet'!$A$36&gt;35,N146+M147-V146,IF(A147&lt;'Données projet'!$A$36,$K$205^A147,IF(A147='Données projet'!$A$36,'Données projet'!$B$36,N146+M147-V146)))</f>
        <v>292.39999999999952</v>
      </c>
      <c r="O147" s="14">
        <f>N147*VLOOKUP('Données projet'!$B$9,Paramètres!$A$1:$I$89,3,0)*VLOOKUP('Données projet'!$B$9,Paramètres!$A$1:$I$89,5,0)</f>
        <v>296.4935999999995</v>
      </c>
      <c r="P147" s="14">
        <f t="shared" si="141"/>
        <v>70.440885135597512</v>
      </c>
      <c r="Q147" s="22">
        <f t="shared" si="108"/>
        <v>639.07756161116481</v>
      </c>
      <c r="R147" s="60">
        <f t="shared" si="109"/>
        <v>925.03543099245769</v>
      </c>
      <c r="S147" s="60">
        <f ca="1">AVERAGE(OFFSET($R$3,0,0,'Données projet'!$E$9+1,1))-AVERAGE(OFFSET($H$3,0,0,'Données projet'!$E$9+1,1))</f>
        <v>516.54532596122067</v>
      </c>
      <c r="T147" s="60">
        <f t="shared" si="142"/>
        <v>273.35778700650792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1.9895196601282805E-13</v>
      </c>
      <c r="AJ147" s="14">
        <f>AI147*VLOOKUP('Données projet'!$B$10,Paramètres!$A$1:$I$89,3,0)*VLOOKUP('Données projet'!$B$10,Paramètres!$A$1:$I$89,5,0)</f>
        <v>1.8932269085780715E-13</v>
      </c>
      <c r="AK147" s="14">
        <f t="shared" si="143"/>
        <v>2.6405131992468737E-12</v>
      </c>
      <c r="AL147" s="22">
        <f t="shared" si="112"/>
        <v>4.9286308419323191E-12</v>
      </c>
      <c r="AM147" s="60">
        <f t="shared" si="113"/>
        <v>285.95786938129783</v>
      </c>
      <c r="AN147" s="60">
        <f ca="1">AVERAGE(OFFSET($AM$3,0,0,'Données projet'!$E$10+1,1))-AVERAGE(OFFSET($H$3,0,0,'Données projet'!$E$10+1,1))</f>
        <v>328.36544111680962</v>
      </c>
      <c r="AO147" s="60">
        <f t="shared" si="144"/>
        <v>226.85392900722772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-9.9316821433603781E-14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296.01124173332352</v>
      </c>
      <c r="BJ147" s="60">
        <f t="shared" si="146"/>
        <v>315.50730924873733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-3.7243808037601412E-14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216.42026264996392</v>
      </c>
      <c r="CE147" s="60">
        <f t="shared" si="148"/>
        <v>216.4587454288401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1.6</v>
      </c>
      <c r="CT147" s="13">
        <f>IF('Données projet'!$A$140&gt;35,CT146+CS147-DB146,IF(A147&lt;'Données projet'!$A$140,$CQ$205^A147,IF(A147='Données projet'!$A$140,'Données projet'!$B$140,CT146+CS147-DB146)))</f>
        <v>224.40000000000006</v>
      </c>
      <c r="CU147" s="18">
        <f>CT147*VLOOKUP('Données projet'!$B$13,Paramètres!$A$1:$I$89,3,0)*VLOOKUP('Données projet'!$B$13,Paramètres!$A$1:$I$89,5,0)</f>
        <v>217.03968000000006</v>
      </c>
      <c r="CV147" s="14">
        <f t="shared" si="149"/>
        <v>53.470968373385539</v>
      </c>
      <c r="CW147" s="22">
        <f t="shared" si="121"/>
        <v>471.13937925031331</v>
      </c>
      <c r="CX147" s="60">
        <f t="shared" si="122"/>
        <v>757.09724863160613</v>
      </c>
      <c r="CY147" s="60">
        <f ca="1">AVERAGE(OFFSET($CX$3,0,0,'Données projet'!$E$13+1,1))-AVERAGE(OFFSET($H$3,0,0,'Données projet'!$E$13+1,1))</f>
        <v>385.5283976785621</v>
      </c>
      <c r="CZ147" s="60">
        <f t="shared" si="150"/>
        <v>173.19148969173838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2.6</v>
      </c>
      <c r="DO147" s="13">
        <f>IF('Données projet'!$A$166&gt;35,DO146+DN147-DW146,IF(A147&lt;'Données projet'!$A$166,$DL$205^A147,IF(A147='Données projet'!$A$166,'Données projet'!$B$166,DO146+DN147-DW146)))</f>
        <v>292.39999999999952</v>
      </c>
      <c r="DP147" s="18">
        <f>DO147*VLOOKUP('Données projet'!$B$14,Paramètres!$A$1:$I$89,3,0)*VLOOKUP('Données projet'!$B$14,Paramètres!$A$1:$I$89,5,0)</f>
        <v>314.73935999999946</v>
      </c>
      <c r="DQ147" s="14">
        <f t="shared" si="151"/>
        <v>74.257721470200096</v>
      </c>
      <c r="DR147" s="22">
        <f t="shared" si="124"/>
        <v>677.50325022726418</v>
      </c>
      <c r="DS147" s="60">
        <f t="shared" si="125"/>
        <v>963.46111960855706</v>
      </c>
      <c r="DT147" s="60">
        <f ca="1">AVERAGE(OFFSET($DS$3,0,0,'Données projet'!$E$14+1,1))-AVERAGE(OFFSET($H$3,0,0,'Données projet'!$E$14+1,1))</f>
        <v>543.15812193567342</v>
      </c>
      <c r="DU147" s="60">
        <f t="shared" si="152"/>
        <v>286.40725588660575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2.8421709430404007E-14</v>
      </c>
      <c r="EK147" s="18">
        <f>EJ147*VLOOKUP('Données projet'!$B$15,Paramètres!$A$1:$I$89,3,0)*VLOOKUP('Données projet'!$B$15,Paramètres!$A$1:$I$89,5,0)</f>
        <v>1.906528268591501E-14</v>
      </c>
      <c r="EL147" s="14">
        <f t="shared" si="153"/>
        <v>3.473561557570726E-13</v>
      </c>
      <c r="EM147" s="22">
        <f t="shared" si="127"/>
        <v>6.3818400528820342E-13</v>
      </c>
      <c r="EN147" s="60">
        <f t="shared" si="128"/>
        <v>285.95786938129351</v>
      </c>
      <c r="EO147" s="60">
        <f ca="1">AVERAGE(OFFSET($EN$3,0,0,'Données projet'!$E$15+1,1))-AVERAGE(OFFSET($H$3,0,0,'Données projet'!$E$15+1,1))</f>
        <v>239.52247785001794</v>
      </c>
      <c r="EP147" s="60">
        <f t="shared" si="154"/>
        <v>173.69760199651617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6.3831132173234204E-2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6.3831132173234204E-2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8">
        <f t="shared" si="110"/>
        <v>183.33333333333334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>
        <f>VLOOKUP(A148,'Données projet'!$A$35:$I$55,2,0)</f>
        <v>295</v>
      </c>
      <c r="L148" s="13">
        <f>VLOOKUP(A148,'Données projet'!$A$35:$I$55,9,0)</f>
        <v>2.6</v>
      </c>
      <c r="M148" s="13">
        <f t="array" ref="M148">INDEX(L:L,MIN(IF(ISNUMBER(L148:L344),ROW(L148:L344),"")))</f>
        <v>2.6</v>
      </c>
      <c r="N148" s="14">
        <f>IF('Données projet'!$A$36&gt;35,N147+M148-V147,IF(A148&lt;'Données projet'!$A$36,$K$205^A148,IF(A148='Données projet'!$A$36,'Données projet'!$B$36,N147+M148-V147)))</f>
        <v>294.99999999999955</v>
      </c>
      <c r="O148" s="14">
        <f>N148*VLOOKUP('Données projet'!$B$9,Paramètres!$A$1:$I$89,3,0)*VLOOKUP('Données projet'!$B$9,Paramètres!$A$1:$I$89,5,0)</f>
        <v>299.12999999999954</v>
      </c>
      <c r="P148" s="14">
        <f t="shared" si="141"/>
        <v>70.994047242337146</v>
      </c>
      <c r="Q148" s="22">
        <f t="shared" si="108"/>
        <v>644.63271561373642</v>
      </c>
      <c r="R148" s="60">
        <f t="shared" si="109"/>
        <v>930.71853280553</v>
      </c>
      <c r="S148" s="60">
        <f ca="1">AVERAGE(OFFSET($R$3,0,0,'Données projet'!$E$9+1,1))-AVERAGE(OFFSET($H$3,0,0,'Données projet'!$E$9+1,1))</f>
        <v>516.54532596122067</v>
      </c>
      <c r="T148" s="60">
        <f t="shared" si="142"/>
        <v>273.35778700650792</v>
      </c>
      <c r="U148" s="16">
        <f>IF(ISNA(VLOOKUP(A148,'Données projet'!$A$35:$I$55,3,0)),0,VLOOKUP(A148,'Données projet'!$A$35:$I$55,3,0))</f>
        <v>13</v>
      </c>
      <c r="V148" s="16">
        <f>IF(ISNA(VLOOKUP(A148,'Données projet'!$A$35:$I$55,4,0)),0,VLOOKUP(A148,'Données projet'!$A$35:$I$55,4,0))</f>
        <v>26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1.9895196601282805E-13</v>
      </c>
      <c r="AJ148" s="14">
        <f>AI148*VLOOKUP('Données projet'!$B$10,Paramètres!$A$1:$I$89,3,0)*VLOOKUP('Données projet'!$B$10,Paramètres!$A$1:$I$89,5,0)</f>
        <v>1.8932269085780715E-13</v>
      </c>
      <c r="AK148" s="14">
        <f t="shared" si="143"/>
        <v>2.6405131992468737E-12</v>
      </c>
      <c r="AL148" s="22">
        <f t="shared" si="112"/>
        <v>4.9286308419323191E-12</v>
      </c>
      <c r="AM148" s="60">
        <f t="shared" si="113"/>
        <v>286.08581719179853</v>
      </c>
      <c r="AN148" s="60">
        <f ca="1">AVERAGE(OFFSET($AM$3,0,0,'Données projet'!$E$10+1,1))-AVERAGE(OFFSET($H$3,0,0,'Données projet'!$E$10+1,1))</f>
        <v>328.36544111680962</v>
      </c>
      <c r="AO148" s="60">
        <f t="shared" si="144"/>
        <v>226.85392900722772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-9.9316821433603781E-14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296.01124173332352</v>
      </c>
      <c r="BJ148" s="60">
        <f t="shared" si="146"/>
        <v>315.50730924873733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-3.7243808037601412E-14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216.42026264996392</v>
      </c>
      <c r="CE148" s="60">
        <f t="shared" si="148"/>
        <v>216.4587454288401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>
        <f>VLOOKUP(A148,'Données projet'!$A$139:$I$159,2,0)</f>
        <v>226</v>
      </c>
      <c r="CR148" s="13">
        <f>VLOOKUP(A148,'Données projet'!$A$139:$I$159,9,0)</f>
        <v>1.6</v>
      </c>
      <c r="CS148" s="13">
        <f t="array" ref="CS148">INDEX(CR:CR,MIN(IF(ISNUMBER(CR148:CR344),ROW(CR148:CR344),"")))</f>
        <v>1.6</v>
      </c>
      <c r="CT148" s="13">
        <f>IF('Données projet'!$A$140&gt;35,CT147+CS148-DB147,IF(A148&lt;'Données projet'!$A$140,$CQ$205^A148,IF(A148='Données projet'!$A$140,'Données projet'!$B$140,CT147+CS148-DB147)))</f>
        <v>226.00000000000006</v>
      </c>
      <c r="CU148" s="18">
        <f>CT148*VLOOKUP('Données projet'!$B$13,Paramètres!$A$1:$I$89,3,0)*VLOOKUP('Données projet'!$B$13,Paramètres!$A$1:$I$89,5,0)</f>
        <v>218.58720000000005</v>
      </c>
      <c r="CV148" s="14">
        <f t="shared" si="149"/>
        <v>53.807705580242171</v>
      </c>
      <c r="CW148" s="22">
        <f t="shared" si="121"/>
        <v>474.42112721892181</v>
      </c>
      <c r="CX148" s="60">
        <f t="shared" si="122"/>
        <v>760.50694441071539</v>
      </c>
      <c r="CY148" s="60">
        <f ca="1">AVERAGE(OFFSET($CX$3,0,0,'Données projet'!$E$13+1,1))-AVERAGE(OFFSET($H$3,0,0,'Données projet'!$E$13+1,1))</f>
        <v>385.5283976785621</v>
      </c>
      <c r="CZ148" s="60">
        <f t="shared" si="150"/>
        <v>173.19148969173838</v>
      </c>
      <c r="DA148" s="16">
        <f>IF(ISNA(VLOOKUP(A148,'Données projet'!$A$139:$I$159,3,0)),0,VLOOKUP(A148,'Données projet'!$A$139:$I$159,3,0))</f>
        <v>12</v>
      </c>
      <c r="DB148" s="16">
        <f>IF(ISNA(VLOOKUP(A148,'Données projet'!$A$139:$I$159,4,0)),0,VLOOKUP(A148,'Données projet'!$A$139:$I$159,4,0))</f>
        <v>15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>
        <f>VLOOKUP(A148,'Données projet'!$A$165:$I$185,2,0)</f>
        <v>295</v>
      </c>
      <c r="DM148" s="13">
        <f>VLOOKUP(A148,'Données projet'!$A$165:$I$185,9,0)</f>
        <v>2.6</v>
      </c>
      <c r="DN148" s="13">
        <f t="array" ref="DN148">INDEX(DM:DM,MIN(IF(ISNUMBER(DM148:DM344),ROW(DM148:DM344),"")))</f>
        <v>2.6</v>
      </c>
      <c r="DO148" s="13">
        <f>IF('Données projet'!$A$166&gt;35,DO147+DN148-DW147,IF(A148&lt;'Données projet'!$A$166,$DL$205^A148,IF(A148='Données projet'!$A$166,'Données projet'!$B$166,DO147+DN148-DW147)))</f>
        <v>294.99999999999955</v>
      </c>
      <c r="DP148" s="18">
        <f>DO148*VLOOKUP('Données projet'!$B$14,Paramètres!$A$1:$I$89,3,0)*VLOOKUP('Données projet'!$B$14,Paramètres!$A$1:$I$89,5,0)</f>
        <v>317.5379999999995</v>
      </c>
      <c r="DQ148" s="14">
        <f t="shared" si="151"/>
        <v>74.84085664192699</v>
      </c>
      <c r="DR148" s="22">
        <f t="shared" si="124"/>
        <v>683.39317531802192</v>
      </c>
      <c r="DS148" s="60">
        <f t="shared" si="125"/>
        <v>969.4789925098155</v>
      </c>
      <c r="DT148" s="60">
        <f ca="1">AVERAGE(OFFSET($DS$3,0,0,'Données projet'!$E$14+1,1))-AVERAGE(OFFSET($H$3,0,0,'Données projet'!$E$14+1,1))</f>
        <v>543.15812193567342</v>
      </c>
      <c r="DU148" s="60">
        <f t="shared" si="152"/>
        <v>286.40725588660575</v>
      </c>
      <c r="DV148" s="16">
        <f>IF(ISNA(VLOOKUP(A148,'Données projet'!$A$165:$I$185,3,0)),0,VLOOKUP(A148,'Données projet'!$A$165:$I$185,3,0))</f>
        <v>13</v>
      </c>
      <c r="DW148" s="16">
        <f>IF(ISNA(VLOOKUP(A148,'Données projet'!$A$165:$I$185,4,0)),0,VLOOKUP(A148,'Données projet'!$A$165:$I$185,4,0))</f>
        <v>26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2.8421709430404007E-14</v>
      </c>
      <c r="EK148" s="18">
        <f>EJ148*VLOOKUP('Données projet'!$B$15,Paramètres!$A$1:$I$89,3,0)*VLOOKUP('Données projet'!$B$15,Paramètres!$A$1:$I$89,5,0)</f>
        <v>1.906528268591501E-14</v>
      </c>
      <c r="EL148" s="14">
        <f t="shared" si="153"/>
        <v>3.473561557570726E-13</v>
      </c>
      <c r="EM148" s="22">
        <f t="shared" si="127"/>
        <v>6.3818400528820342E-13</v>
      </c>
      <c r="EN148" s="60">
        <f t="shared" si="128"/>
        <v>286.08581719179421</v>
      </c>
      <c r="EO148" s="60">
        <f ca="1">AVERAGE(OFFSET($EN$3,0,0,'Données projet'!$E$15+1,1))-AVERAGE(OFFSET($H$3,0,0,'Données projet'!$E$15+1,1))</f>
        <v>239.52247785001794</v>
      </c>
      <c r="EP148" s="60">
        <f t="shared" si="154"/>
        <v>173.69760199651617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6.2085666507223761E-2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6.2085666507223761E-2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8">
        <f t="shared" si="110"/>
        <v>183.33333333333334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4.8</v>
      </c>
      <c r="N149" s="14">
        <f>IF('Données projet'!$A$36&gt;35,N148+M149-V148,IF(A149&lt;'Données projet'!$A$36,$K$205^A149,IF(A149='Données projet'!$A$36,'Données projet'!$B$36,N148+M149-V148)))</f>
        <v>273.79999999999956</v>
      </c>
      <c r="O149" s="14">
        <f>N149*VLOOKUP('Données projet'!$B$9,Paramètres!$A$1:$I$89,3,0)*VLOOKUP('Données projet'!$B$9,Paramètres!$A$1:$I$89,5,0)</f>
        <v>277.63319999999959</v>
      </c>
      <c r="P149" s="14">
        <f t="shared" si="141"/>
        <v>66.466589162975581</v>
      </c>
      <c r="Q149" s="22">
        <f t="shared" si="108"/>
        <v>599.30713279218173</v>
      </c>
      <c r="R149" s="60">
        <f t="shared" si="109"/>
        <v>885.51867818601238</v>
      </c>
      <c r="S149" s="60">
        <f ca="1">AVERAGE(OFFSET($R$3,0,0,'Données projet'!$E$9+1,1))-AVERAGE(OFFSET($H$3,0,0,'Données projet'!$E$9+1,1))</f>
        <v>516.54532596122067</v>
      </c>
      <c r="T149" s="60">
        <f t="shared" si="142"/>
        <v>273.35778700650792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1.9895196601282805E-13</v>
      </c>
      <c r="AJ149" s="14">
        <f>AI149*VLOOKUP('Données projet'!$B$10,Paramètres!$A$1:$I$89,3,0)*VLOOKUP('Données projet'!$B$10,Paramètres!$A$1:$I$89,5,0)</f>
        <v>1.8932269085780715E-13</v>
      </c>
      <c r="AK149" s="14">
        <f t="shared" si="143"/>
        <v>2.6405131992468737E-12</v>
      </c>
      <c r="AL149" s="22">
        <f t="shared" si="112"/>
        <v>4.9286308419323191E-12</v>
      </c>
      <c r="AM149" s="60">
        <f t="shared" si="113"/>
        <v>286.21154539383559</v>
      </c>
      <c r="AN149" s="60">
        <f ca="1">AVERAGE(OFFSET($AM$3,0,0,'Données projet'!$E$10+1,1))-AVERAGE(OFFSET($H$3,0,0,'Données projet'!$E$10+1,1))</f>
        <v>328.36544111680962</v>
      </c>
      <c r="AO149" s="60">
        <f t="shared" si="144"/>
        <v>226.85392900722772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-9.9316821433603781E-14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296.01124173332352</v>
      </c>
      <c r="BJ149" s="60">
        <f t="shared" si="146"/>
        <v>315.50730924873733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-3.7243808037601412E-14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216.42026264996392</v>
      </c>
      <c r="CE149" s="60">
        <f t="shared" si="148"/>
        <v>216.4587454288401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1.2</v>
      </c>
      <c r="CT149" s="13">
        <f>IF('Données projet'!$A$140&gt;35,CT148+CS149-DB148,IF(A149&lt;'Données projet'!$A$140,$CQ$205^A149,IF(A149='Données projet'!$A$140,'Données projet'!$B$140,CT148+CS149-DB148)))</f>
        <v>212.20000000000005</v>
      </c>
      <c r="CU149" s="18">
        <f>CT149*VLOOKUP('Données projet'!$B$13,Paramètres!$A$1:$I$89,3,0)*VLOOKUP('Données projet'!$B$13,Paramètres!$A$1:$I$89,5,0)</f>
        <v>205.23984000000004</v>
      </c>
      <c r="CV149" s="14">
        <f t="shared" si="149"/>
        <v>50.893986960458122</v>
      </c>
      <c r="CW149" s="22">
        <f t="shared" si="121"/>
        <v>446.09974862279796</v>
      </c>
      <c r="CX149" s="60">
        <f t="shared" si="122"/>
        <v>732.31129401662861</v>
      </c>
      <c r="CY149" s="60">
        <f ca="1">AVERAGE(OFFSET($CX$3,0,0,'Données projet'!$E$13+1,1))-AVERAGE(OFFSET($H$3,0,0,'Données projet'!$E$13+1,1))</f>
        <v>385.5283976785621</v>
      </c>
      <c r="CZ149" s="60">
        <f t="shared" si="150"/>
        <v>173.19148969173838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4.8</v>
      </c>
      <c r="DO149" s="13">
        <f>IF('Données projet'!$A$166&gt;35,DO148+DN149-DW148,IF(A149&lt;'Données projet'!$A$166,$DL$205^A149,IF(A149='Données projet'!$A$166,'Données projet'!$B$166,DO148+DN149-DW148)))</f>
        <v>273.79999999999956</v>
      </c>
      <c r="DP149" s="18">
        <f>DO149*VLOOKUP('Données projet'!$B$14,Paramètres!$A$1:$I$89,3,0)*VLOOKUP('Données projet'!$B$14,Paramètres!$A$1:$I$89,5,0)</f>
        <v>294.71831999999949</v>
      </c>
      <c r="DQ149" s="14">
        <f t="shared" si="151"/>
        <v>70.068078441055988</v>
      </c>
      <c r="DR149" s="22">
        <f t="shared" si="124"/>
        <v>635.33631061817164</v>
      </c>
      <c r="DS149" s="60">
        <f t="shared" si="125"/>
        <v>921.54785601200228</v>
      </c>
      <c r="DT149" s="60">
        <f ca="1">AVERAGE(OFFSET($DS$3,0,0,'Données projet'!$E$14+1,1))-AVERAGE(OFFSET($H$3,0,0,'Données projet'!$E$14+1,1))</f>
        <v>543.15812193567342</v>
      </c>
      <c r="DU149" s="60">
        <f t="shared" si="152"/>
        <v>286.40725588660575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2.8421709430404007E-14</v>
      </c>
      <c r="EK149" s="18">
        <f>EJ149*VLOOKUP('Données projet'!$B$15,Paramètres!$A$1:$I$89,3,0)*VLOOKUP('Données projet'!$B$15,Paramètres!$A$1:$I$89,5,0)</f>
        <v>1.906528268591501E-14</v>
      </c>
      <c r="EL149" s="14">
        <f t="shared" si="153"/>
        <v>3.473561557570726E-13</v>
      </c>
      <c r="EM149" s="22">
        <f t="shared" si="127"/>
        <v>6.3818400528820342E-13</v>
      </c>
      <c r="EN149" s="60">
        <f t="shared" si="128"/>
        <v>286.21154539383127</v>
      </c>
      <c r="EO149" s="60">
        <f ca="1">AVERAGE(OFFSET($EN$3,0,0,'Données projet'!$E$15+1,1))-AVERAGE(OFFSET($H$3,0,0,'Données projet'!$E$15+1,1))</f>
        <v>239.52247785001794</v>
      </c>
      <c r="EP149" s="60">
        <f t="shared" si="154"/>
        <v>173.69760199651617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6.0387930691640425E-2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6.0387930691640425E-2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8">
        <f t="shared" si="110"/>
        <v>183.33333333333334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4.8</v>
      </c>
      <c r="N150" s="14">
        <f>IF('Données projet'!$A$36&gt;35,N149+M150-V149,IF(A150&lt;'Données projet'!$A$36,$K$205^A150,IF(A150='Données projet'!$A$36,'Données projet'!$B$36,N149+M150-V149)))</f>
        <v>278.59999999999957</v>
      </c>
      <c r="O150" s="14">
        <f>N150*VLOOKUP('Données projet'!$B$9,Paramètres!$A$1:$I$89,3,0)*VLOOKUP('Données projet'!$B$9,Paramètres!$A$1:$I$89,5,0)</f>
        <v>282.50039999999956</v>
      </c>
      <c r="P150" s="14">
        <f t="shared" si="141"/>
        <v>67.495141560894311</v>
      </c>
      <c r="Q150" s="22">
        <f t="shared" si="108"/>
        <v>609.57556821855678</v>
      </c>
      <c r="R150" s="60">
        <f t="shared" si="109"/>
        <v>895.9106607112052</v>
      </c>
      <c r="S150" s="60">
        <f ca="1">AVERAGE(OFFSET($R$3,0,0,'Données projet'!$E$9+1,1))-AVERAGE(OFFSET($H$3,0,0,'Données projet'!$E$9+1,1))</f>
        <v>516.54532596122067</v>
      </c>
      <c r="T150" s="60">
        <f t="shared" si="142"/>
        <v>273.35778700650792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1.9895196601282805E-13</v>
      </c>
      <c r="AJ150" s="14">
        <f>AI150*VLOOKUP('Données projet'!$B$10,Paramètres!$A$1:$I$89,3,0)*VLOOKUP('Données projet'!$B$10,Paramètres!$A$1:$I$89,5,0)</f>
        <v>1.8932269085780715E-13</v>
      </c>
      <c r="AK150" s="14">
        <f t="shared" si="143"/>
        <v>2.6405131992468737E-12</v>
      </c>
      <c r="AL150" s="22">
        <f t="shared" si="112"/>
        <v>4.9286308419323191E-12</v>
      </c>
      <c r="AM150" s="60">
        <f t="shared" si="113"/>
        <v>286.33509249265336</v>
      </c>
      <c r="AN150" s="60">
        <f ca="1">AVERAGE(OFFSET($AM$3,0,0,'Données projet'!$E$10+1,1))-AVERAGE(OFFSET($H$3,0,0,'Données projet'!$E$10+1,1))</f>
        <v>328.36544111680962</v>
      </c>
      <c r="AO150" s="60">
        <f t="shared" si="144"/>
        <v>226.85392900722772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-9.9316821433603781E-14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296.01124173332352</v>
      </c>
      <c r="BJ150" s="60">
        <f t="shared" si="146"/>
        <v>315.50730924873733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-3.7243808037601412E-14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216.42026264996392</v>
      </c>
      <c r="CE150" s="60">
        <f t="shared" si="148"/>
        <v>216.4587454288401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1.2</v>
      </c>
      <c r="CT150" s="13">
        <f>IF('Données projet'!$A$140&gt;35,CT149+CS150-DB149,IF(A150&lt;'Données projet'!$A$140,$CQ$205^A150,IF(A150='Données projet'!$A$140,'Données projet'!$B$140,CT149+CS150-DB149)))</f>
        <v>213.40000000000003</v>
      </c>
      <c r="CU150" s="18">
        <f>CT150*VLOOKUP('Données projet'!$B$13,Paramètres!$A$1:$I$89,3,0)*VLOOKUP('Données projet'!$B$13,Paramètres!$A$1:$I$89,5,0)</f>
        <v>206.40048000000004</v>
      </c>
      <c r="CV150" s="14">
        <f t="shared" si="149"/>
        <v>51.148210281517692</v>
      </c>
      <c r="CW150" s="22">
        <f t="shared" si="121"/>
        <v>448.5639689069767</v>
      </c>
      <c r="CX150" s="60">
        <f t="shared" si="122"/>
        <v>734.89906139962511</v>
      </c>
      <c r="CY150" s="60">
        <f ca="1">AVERAGE(OFFSET($CX$3,0,0,'Données projet'!$E$13+1,1))-AVERAGE(OFFSET($H$3,0,0,'Données projet'!$E$13+1,1))</f>
        <v>385.5283976785621</v>
      </c>
      <c r="CZ150" s="60">
        <f t="shared" si="150"/>
        <v>173.19148969173838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4.8</v>
      </c>
      <c r="DO150" s="13">
        <f>IF('Données projet'!$A$166&gt;35,DO149+DN150-DW149,IF(A150&lt;'Données projet'!$A$166,$DL$205^A150,IF(A150='Données projet'!$A$166,'Données projet'!$B$166,DO149+DN150-DW149)))</f>
        <v>278.59999999999957</v>
      </c>
      <c r="DP150" s="18">
        <f>DO150*VLOOKUP('Données projet'!$B$14,Paramètres!$A$1:$I$89,3,0)*VLOOKUP('Données projet'!$B$14,Paramètres!$A$1:$I$89,5,0)</f>
        <v>299.88503999999955</v>
      </c>
      <c r="DQ150" s="14">
        <f t="shared" si="151"/>
        <v>71.152362906464518</v>
      </c>
      <c r="DR150" s="22">
        <f t="shared" si="124"/>
        <v>646.22347672875821</v>
      </c>
      <c r="DS150" s="60">
        <f t="shared" si="125"/>
        <v>932.55856922140663</v>
      </c>
      <c r="DT150" s="60">
        <f ca="1">AVERAGE(OFFSET($DS$3,0,0,'Données projet'!$E$14+1,1))-AVERAGE(OFFSET($H$3,0,0,'Données projet'!$E$14+1,1))</f>
        <v>543.15812193567342</v>
      </c>
      <c r="DU150" s="60">
        <f t="shared" si="152"/>
        <v>286.40725588660575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2.8421709430404007E-14</v>
      </c>
      <c r="EK150" s="18">
        <f>EJ150*VLOOKUP('Données projet'!$B$15,Paramètres!$A$1:$I$89,3,0)*VLOOKUP('Données projet'!$B$15,Paramètres!$A$1:$I$89,5,0)</f>
        <v>1.906528268591501E-14</v>
      </c>
      <c r="EL150" s="14">
        <f t="shared" si="153"/>
        <v>3.473561557570726E-13</v>
      </c>
      <c r="EM150" s="22">
        <f t="shared" si="127"/>
        <v>6.3818400528820342E-13</v>
      </c>
      <c r="EN150" s="60">
        <f t="shared" si="128"/>
        <v>286.33509249264904</v>
      </c>
      <c r="EO150" s="60">
        <f ca="1">AVERAGE(OFFSET($EN$3,0,0,'Données projet'!$E$15+1,1))-AVERAGE(OFFSET($H$3,0,0,'Données projet'!$E$15+1,1))</f>
        <v>239.52247785001794</v>
      </c>
      <c r="EP150" s="60">
        <f t="shared" si="154"/>
        <v>173.69760199651617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5.8736619551214259E-2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5.8736619551214259E-2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8">
        <f t="shared" si="110"/>
        <v>183.33333333333334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4.8</v>
      </c>
      <c r="N151" s="14">
        <f>IF('Données projet'!$A$36&gt;35,N150+M151-V150,IF(A151&lt;'Données projet'!$A$36,$K$205^A151,IF(A151='Données projet'!$A$36,'Données projet'!$B$36,N150+M151-V150)))</f>
        <v>283.39999999999958</v>
      </c>
      <c r="O151" s="14">
        <f>N151*VLOOKUP('Données projet'!$B$9,Paramètres!$A$1:$I$89,3,0)*VLOOKUP('Données projet'!$B$9,Paramètres!$A$1:$I$89,5,0)</f>
        <v>287.36759999999958</v>
      </c>
      <c r="P151" s="14">
        <f t="shared" si="141"/>
        <v>68.521633201565052</v>
      </c>
      <c r="Q151" s="22">
        <f t="shared" si="108"/>
        <v>619.84041449272502</v>
      </c>
      <c r="R151" s="60">
        <f t="shared" si="109"/>
        <v>906.29691081823671</v>
      </c>
      <c r="S151" s="60">
        <f ca="1">AVERAGE(OFFSET($R$3,0,0,'Données projet'!$E$9+1,1))-AVERAGE(OFFSET($H$3,0,0,'Données projet'!$E$9+1,1))</f>
        <v>516.54532596122067</v>
      </c>
      <c r="T151" s="60">
        <f t="shared" si="142"/>
        <v>273.35778700650792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1.9895196601282805E-13</v>
      </c>
      <c r="AJ151" s="14">
        <f>AI151*VLOOKUP('Données projet'!$B$10,Paramètres!$A$1:$I$89,3,0)*VLOOKUP('Données projet'!$B$10,Paramètres!$A$1:$I$89,5,0)</f>
        <v>1.8932269085780715E-13</v>
      </c>
      <c r="AK151" s="14">
        <f t="shared" si="143"/>
        <v>2.6405131992468737E-12</v>
      </c>
      <c r="AL151" s="22">
        <f t="shared" si="112"/>
        <v>4.9286308419323191E-12</v>
      </c>
      <c r="AM151" s="60">
        <f t="shared" si="113"/>
        <v>286.45649632551664</v>
      </c>
      <c r="AN151" s="60">
        <f ca="1">AVERAGE(OFFSET($AM$3,0,0,'Données projet'!$E$10+1,1))-AVERAGE(OFFSET($H$3,0,0,'Données projet'!$E$10+1,1))</f>
        <v>328.36544111680962</v>
      </c>
      <c r="AO151" s="60">
        <f t="shared" si="144"/>
        <v>226.85392900722772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-9.9316821433603781E-14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296.01124173332352</v>
      </c>
      <c r="BJ151" s="60">
        <f t="shared" si="146"/>
        <v>315.50730924873733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-3.7243808037601412E-14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216.42026264996392</v>
      </c>
      <c r="CE151" s="60">
        <f t="shared" si="148"/>
        <v>216.4587454288401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1.2</v>
      </c>
      <c r="CT151" s="13">
        <f>IF('Données projet'!$A$140&gt;35,CT150+CS151-DB150,IF(A151&lt;'Données projet'!$A$140,$CQ$205^A151,IF(A151='Données projet'!$A$140,'Données projet'!$B$140,CT150+CS151-DB150)))</f>
        <v>214.60000000000002</v>
      </c>
      <c r="CU151" s="18">
        <f>CT151*VLOOKUP('Données projet'!$B$13,Paramètres!$A$1:$I$89,3,0)*VLOOKUP('Données projet'!$B$13,Paramètres!$A$1:$I$89,5,0)</f>
        <v>207.56112000000005</v>
      </c>
      <c r="CV151" s="14">
        <f t="shared" si="149"/>
        <v>51.40226725537714</v>
      </c>
      <c r="CW151" s="22">
        <f t="shared" si="121"/>
        <v>451.02789946978191</v>
      </c>
      <c r="CX151" s="60">
        <f t="shared" si="122"/>
        <v>737.48439579529361</v>
      </c>
      <c r="CY151" s="60">
        <f ca="1">AVERAGE(OFFSET($CX$3,0,0,'Données projet'!$E$13+1,1))-AVERAGE(OFFSET($H$3,0,0,'Données projet'!$E$13+1,1))</f>
        <v>385.5283976785621</v>
      </c>
      <c r="CZ151" s="60">
        <f t="shared" si="150"/>
        <v>173.19148969173838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4.8</v>
      </c>
      <c r="DO151" s="13">
        <f>IF('Données projet'!$A$166&gt;35,DO150+DN151-DW150,IF(A151&lt;'Données projet'!$A$166,$DL$205^A151,IF(A151='Données projet'!$A$166,'Données projet'!$B$166,DO150+DN151-DW150)))</f>
        <v>283.39999999999958</v>
      </c>
      <c r="DP151" s="18">
        <f>DO151*VLOOKUP('Données projet'!$B$14,Paramètres!$A$1:$I$89,3,0)*VLOOKUP('Données projet'!$B$14,Paramètres!$A$1:$I$89,5,0)</f>
        <v>305.05175999999955</v>
      </c>
      <c r="DQ151" s="14">
        <f t="shared" si="151"/>
        <v>72.234474952582119</v>
      </c>
      <c r="DR151" s="22">
        <f t="shared" si="124"/>
        <v>657.10685920907974</v>
      </c>
      <c r="DS151" s="60">
        <f t="shared" si="125"/>
        <v>943.56335553459144</v>
      </c>
      <c r="DT151" s="60">
        <f ca="1">AVERAGE(OFFSET($DS$3,0,0,'Données projet'!$E$14+1,1))-AVERAGE(OFFSET($H$3,0,0,'Données projet'!$E$14+1,1))</f>
        <v>543.15812193567342</v>
      </c>
      <c r="DU151" s="60">
        <f t="shared" si="152"/>
        <v>286.40725588660575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2.8421709430404007E-14</v>
      </c>
      <c r="EK151" s="18">
        <f>EJ151*VLOOKUP('Données projet'!$B$15,Paramètres!$A$1:$I$89,3,0)*VLOOKUP('Données projet'!$B$15,Paramètres!$A$1:$I$89,5,0)</f>
        <v>1.906528268591501E-14</v>
      </c>
      <c r="EL151" s="14">
        <f t="shared" si="153"/>
        <v>3.473561557570726E-13</v>
      </c>
      <c r="EM151" s="22">
        <f t="shared" si="127"/>
        <v>6.3818400528820342E-13</v>
      </c>
      <c r="EN151" s="60">
        <f t="shared" si="128"/>
        <v>286.45649632551232</v>
      </c>
      <c r="EO151" s="60">
        <f ca="1">AVERAGE(OFFSET($EN$3,0,0,'Données projet'!$E$15+1,1))-AVERAGE(OFFSET($H$3,0,0,'Données projet'!$E$15+1,1))</f>
        <v>239.52247785001794</v>
      </c>
      <c r="EP151" s="60">
        <f t="shared" si="154"/>
        <v>173.69760199651617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5.7130463600761724E-2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5.7130463600761724E-2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8">
        <f t="shared" si="110"/>
        <v>183.33333333333334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4.8</v>
      </c>
      <c r="N152" s="14">
        <f>IF('Données projet'!$A$36&gt;35,N151+M152-V151,IF(A152&lt;'Données projet'!$A$36,$K$205^A152,IF(A152='Données projet'!$A$36,'Données projet'!$B$36,N151+M152-V151)))</f>
        <v>288.19999999999959</v>
      </c>
      <c r="O152" s="14">
        <f>N152*VLOOKUP('Données projet'!$B$9,Paramètres!$A$1:$I$89,3,0)*VLOOKUP('Données projet'!$B$9,Paramètres!$A$1:$I$89,5,0)</f>
        <v>292.23479999999961</v>
      </c>
      <c r="P152" s="14">
        <f t="shared" si="141"/>
        <v>69.546103016553644</v>
      </c>
      <c r="Q152" s="22">
        <f t="shared" si="108"/>
        <v>630.10173942049676</v>
      </c>
      <c r="R152" s="60">
        <f t="shared" si="109"/>
        <v>916.67753349378984</v>
      </c>
      <c r="S152" s="60">
        <f ca="1">AVERAGE(OFFSET($R$3,0,0,'Données projet'!$E$9+1,1))-AVERAGE(OFFSET($H$3,0,0,'Données projet'!$E$9+1,1))</f>
        <v>516.54532596122067</v>
      </c>
      <c r="T152" s="60">
        <f t="shared" si="142"/>
        <v>273.35778700650792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1.9895196601282805E-13</v>
      </c>
      <c r="AJ152" s="14">
        <f>AI152*VLOOKUP('Données projet'!$B$10,Paramètres!$A$1:$I$89,3,0)*VLOOKUP('Données projet'!$B$10,Paramètres!$A$1:$I$89,5,0)</f>
        <v>1.8932269085780715E-13</v>
      </c>
      <c r="AK152" s="14">
        <f t="shared" si="143"/>
        <v>2.6405131992468737E-12</v>
      </c>
      <c r="AL152" s="22">
        <f t="shared" si="112"/>
        <v>4.9286308419323191E-12</v>
      </c>
      <c r="AM152" s="60">
        <f t="shared" si="113"/>
        <v>286.57579407329803</v>
      </c>
      <c r="AN152" s="60">
        <f ca="1">AVERAGE(OFFSET($AM$3,0,0,'Données projet'!$E$10+1,1))-AVERAGE(OFFSET($H$3,0,0,'Données projet'!$E$10+1,1))</f>
        <v>328.36544111680962</v>
      </c>
      <c r="AO152" s="60">
        <f t="shared" si="144"/>
        <v>226.85392900722772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-9.9316821433603781E-14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296.01124173332352</v>
      </c>
      <c r="BJ152" s="60">
        <f t="shared" si="146"/>
        <v>315.50730924873733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-3.7243808037601412E-14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216.42026264996392</v>
      </c>
      <c r="CE152" s="60">
        <f t="shared" si="148"/>
        <v>216.4587454288401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1.2</v>
      </c>
      <c r="CT152" s="13">
        <f>IF('Données projet'!$A$140&gt;35,CT151+CS152-DB151,IF(A152&lt;'Données projet'!$A$140,$CQ$205^A152,IF(A152='Données projet'!$A$140,'Données projet'!$B$140,CT151+CS152-DB151)))</f>
        <v>215.8</v>
      </c>
      <c r="CU152" s="18">
        <f>CT152*VLOOKUP('Données projet'!$B$13,Paramètres!$A$1:$I$89,3,0)*VLOOKUP('Données projet'!$B$13,Paramètres!$A$1:$I$89,5,0)</f>
        <v>208.72175999999999</v>
      </c>
      <c r="CV152" s="14">
        <f t="shared" si="149"/>
        <v>51.656158920162433</v>
      </c>
      <c r="CW152" s="22">
        <f t="shared" si="121"/>
        <v>453.49154211928288</v>
      </c>
      <c r="CX152" s="60">
        <f t="shared" si="122"/>
        <v>740.06733619257602</v>
      </c>
      <c r="CY152" s="60">
        <f ca="1">AVERAGE(OFFSET($CX$3,0,0,'Données projet'!$E$13+1,1))-AVERAGE(OFFSET($H$3,0,0,'Données projet'!$E$13+1,1))</f>
        <v>385.5283976785621</v>
      </c>
      <c r="CZ152" s="60">
        <f t="shared" si="150"/>
        <v>173.19148969173838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4.8</v>
      </c>
      <c r="DO152" s="13">
        <f>IF('Données projet'!$A$166&gt;35,DO151+DN152-DW151,IF(A152&lt;'Données projet'!$A$166,$DL$205^A152,IF(A152='Données projet'!$A$166,'Données projet'!$B$166,DO151+DN152-DW151)))</f>
        <v>288.19999999999959</v>
      </c>
      <c r="DP152" s="18">
        <f>DO152*VLOOKUP('Données projet'!$B$14,Paramètres!$A$1:$I$89,3,0)*VLOOKUP('Données projet'!$B$14,Paramètres!$A$1:$I$89,5,0)</f>
        <v>310.21847999999954</v>
      </c>
      <c r="DQ152" s="14">
        <f t="shared" si="151"/>
        <v>73.314455620479848</v>
      </c>
      <c r="DR152" s="22">
        <f t="shared" si="124"/>
        <v>667.98652953900159</v>
      </c>
      <c r="DS152" s="60">
        <f t="shared" si="125"/>
        <v>954.56232361229468</v>
      </c>
      <c r="DT152" s="60">
        <f ca="1">AVERAGE(OFFSET($DS$3,0,0,'Données projet'!$E$14+1,1))-AVERAGE(OFFSET($H$3,0,0,'Données projet'!$E$14+1,1))</f>
        <v>543.15812193567342</v>
      </c>
      <c r="DU152" s="60">
        <f t="shared" si="152"/>
        <v>286.40725588660575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2.8421709430404007E-14</v>
      </c>
      <c r="EK152" s="18">
        <f>EJ152*VLOOKUP('Données projet'!$B$15,Paramètres!$A$1:$I$89,3,0)*VLOOKUP('Données projet'!$B$15,Paramètres!$A$1:$I$89,5,0)</f>
        <v>1.906528268591501E-14</v>
      </c>
      <c r="EL152" s="14">
        <f t="shared" si="153"/>
        <v>3.473561557570726E-13</v>
      </c>
      <c r="EM152" s="22">
        <f t="shared" si="127"/>
        <v>6.3818400528820342E-13</v>
      </c>
      <c r="EN152" s="60">
        <f t="shared" si="128"/>
        <v>286.57579407329371</v>
      </c>
      <c r="EO152" s="60">
        <f ca="1">AVERAGE(OFFSET($EN$3,0,0,'Données projet'!$E$15+1,1))-AVERAGE(OFFSET($H$3,0,0,'Données projet'!$E$15+1,1))</f>
        <v>239.52247785001794</v>
      </c>
      <c r="EP152" s="60">
        <f t="shared" si="154"/>
        <v>173.69760199651617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5.556822806923839E-2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5.556822806923839E-2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8">
        <f t="shared" si="110"/>
        <v>183.33333333333334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4.8</v>
      </c>
      <c r="M153" s="13">
        <f t="array" ref="M153">INDEX(L:L,MIN(IF(ISNUMBER(L153:L349),ROW(L153:L349),"")))</f>
        <v>4.8</v>
      </c>
      <c r="N153" s="14">
        <f>IF('Données projet'!$A$36&gt;35,N152+M153-V152,IF(A153&lt;'Données projet'!$A$36,$K$205^A153,IF(A153='Données projet'!$A$36,'Données projet'!$B$36,N152+M153-V152)))</f>
        <v>292.9999999999996</v>
      </c>
      <c r="O153" s="14">
        <f>N153*VLOOKUP('Données projet'!$B$9,Paramètres!$A$1:$I$89,3,0)*VLOOKUP('Données projet'!$B$9,Paramètres!$A$1:$I$89,5,0)</f>
        <v>297.10199999999963</v>
      </c>
      <c r="P153" s="14">
        <f t="shared" si="141"/>
        <v>70.568588566272751</v>
      </c>
      <c r="Q153" s="22">
        <f t="shared" si="108"/>
        <v>640.35960841959104</v>
      </c>
      <c r="R153" s="60">
        <f t="shared" si="109"/>
        <v>927.05263069145144</v>
      </c>
      <c r="S153" s="60">
        <f ca="1">AVERAGE(OFFSET($R$3,0,0,'Données projet'!$E$9+1,1))-AVERAGE(OFFSET($H$3,0,0,'Données projet'!$E$9+1,1))</f>
        <v>516.54532596122067</v>
      </c>
      <c r="T153" s="60">
        <f t="shared" si="142"/>
        <v>273.35778700650792</v>
      </c>
      <c r="U153" s="16">
        <f>IF(ISNA(VLOOKUP(A153,'Données projet'!$A$35:$I$55,3,0)),0,VLOOKUP(A153,'Données projet'!$A$35:$I$55,3,0))</f>
        <v>14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1.9895196601282805E-13</v>
      </c>
      <c r="AJ153" s="14">
        <f>AI153*VLOOKUP('Données projet'!$B$10,Paramètres!$A$1:$I$89,3,0)*VLOOKUP('Données projet'!$B$10,Paramètres!$A$1:$I$89,5,0)</f>
        <v>1.8932269085780715E-13</v>
      </c>
      <c r="AK153" s="14">
        <f t="shared" si="143"/>
        <v>2.6405131992468737E-12</v>
      </c>
      <c r="AL153" s="22">
        <f t="shared" si="112"/>
        <v>4.9286308419323191E-12</v>
      </c>
      <c r="AM153" s="60">
        <f t="shared" si="113"/>
        <v>286.69302227186529</v>
      </c>
      <c r="AN153" s="60">
        <f ca="1">AVERAGE(OFFSET($AM$3,0,0,'Données projet'!$E$10+1,1))-AVERAGE(OFFSET($H$3,0,0,'Données projet'!$E$10+1,1))</f>
        <v>328.36544111680962</v>
      </c>
      <c r="AO153" s="60">
        <f t="shared" si="144"/>
        <v>226.85392900722772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-9.9316821433603781E-14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296.01124173332352</v>
      </c>
      <c r="BJ153" s="60">
        <f t="shared" si="146"/>
        <v>315.50730924873733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-3.7243808037601412E-14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216.42026264996392</v>
      </c>
      <c r="CE153" s="60">
        <f t="shared" si="148"/>
        <v>216.4587454288401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217</v>
      </c>
      <c r="CR153" s="13">
        <f>VLOOKUP(A153,'Données projet'!$A$139:$I$159,9,0)</f>
        <v>1.2</v>
      </c>
      <c r="CS153" s="13">
        <f t="array" ref="CS153">INDEX(CR:CR,MIN(IF(ISNUMBER(CR153:CR349),ROW(CR153:CR349),"")))</f>
        <v>1.2</v>
      </c>
      <c r="CT153" s="13">
        <f>IF('Données projet'!$A$140&gt;35,CT152+CS153-DB152,IF(A153&lt;'Données projet'!$A$140,$CQ$205^A153,IF(A153='Données projet'!$A$140,'Données projet'!$B$140,CT152+CS153-DB152)))</f>
        <v>217</v>
      </c>
      <c r="CU153" s="18">
        <f>CT153*VLOOKUP('Données projet'!$B$13,Paramètres!$A$1:$I$89,3,0)*VLOOKUP('Données projet'!$B$13,Paramètres!$A$1:$I$89,5,0)</f>
        <v>209.88239999999999</v>
      </c>
      <c r="CV153" s="14">
        <f t="shared" si="149"/>
        <v>51.909886301786052</v>
      </c>
      <c r="CW153" s="22">
        <f t="shared" si="121"/>
        <v>455.95489864227733</v>
      </c>
      <c r="CX153" s="60">
        <f t="shared" si="122"/>
        <v>742.64792091413767</v>
      </c>
      <c r="CY153" s="60">
        <f ca="1">AVERAGE(OFFSET($CX$3,0,0,'Données projet'!$E$13+1,1))-AVERAGE(OFFSET($H$3,0,0,'Données projet'!$E$13+1,1))</f>
        <v>385.5283976785621</v>
      </c>
      <c r="CZ153" s="60">
        <f t="shared" si="150"/>
        <v>173.19148969173838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217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4.8</v>
      </c>
      <c r="DN153" s="13">
        <f t="array" ref="DN153">INDEX(DM:DM,MIN(IF(ISNUMBER(DM153:DM349),ROW(DM153:DM349),"")))</f>
        <v>4.8</v>
      </c>
      <c r="DO153" s="13">
        <f>IF('Données projet'!$A$166&gt;35,DO152+DN153-DW152,IF(A153&lt;'Données projet'!$A$166,$DL$205^A153,IF(A153='Données projet'!$A$166,'Données projet'!$B$166,DO152+DN153-DW152)))</f>
        <v>292.9999999999996</v>
      </c>
      <c r="DP153" s="18">
        <f>DO153*VLOOKUP('Données projet'!$B$14,Paramètres!$A$1:$I$89,3,0)*VLOOKUP('Données projet'!$B$14,Paramètres!$A$1:$I$89,5,0)</f>
        <v>315.38519999999954</v>
      </c>
      <c r="DQ153" s="14">
        <f t="shared" si="151"/>
        <v>74.392344505779732</v>
      </c>
      <c r="DR153" s="22">
        <f t="shared" si="124"/>
        <v>678.86255668089882</v>
      </c>
      <c r="DS153" s="60">
        <f t="shared" si="125"/>
        <v>965.55557895275911</v>
      </c>
      <c r="DT153" s="60">
        <f ca="1">AVERAGE(OFFSET($DS$3,0,0,'Données projet'!$E$14+1,1))-AVERAGE(OFFSET($H$3,0,0,'Données projet'!$E$14+1,1))</f>
        <v>543.15812193567342</v>
      </c>
      <c r="DU153" s="60">
        <f t="shared" si="152"/>
        <v>286.40725588660575</v>
      </c>
      <c r="DV153" s="16">
        <f>IF(ISNA(VLOOKUP(A153,'Données projet'!$A$165:$I$185,3,0)),0,VLOOKUP(A153,'Données projet'!$A$165:$I$185,3,0))</f>
        <v>14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2.8421709430404007E-14</v>
      </c>
      <c r="EK153" s="18">
        <f>EJ153*VLOOKUP('Données projet'!$B$15,Paramètres!$A$1:$I$89,3,0)*VLOOKUP('Données projet'!$B$15,Paramètres!$A$1:$I$89,5,0)</f>
        <v>1.906528268591501E-14</v>
      </c>
      <c r="EL153" s="14">
        <f t="shared" si="153"/>
        <v>3.473561557570726E-13</v>
      </c>
      <c r="EM153" s="22">
        <f t="shared" si="127"/>
        <v>6.3818400528820342E-13</v>
      </c>
      <c r="EN153" s="60">
        <f t="shared" si="128"/>
        <v>286.69302227186097</v>
      </c>
      <c r="EO153" s="60">
        <f ca="1">AVERAGE(OFFSET($EN$3,0,0,'Données projet'!$E$15+1,1))-AVERAGE(OFFSET($H$3,0,0,'Données projet'!$E$15+1,1))</f>
        <v>239.52247785001794</v>
      </c>
      <c r="EP153" s="60">
        <f t="shared" si="154"/>
        <v>173.69760199651617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5.4048711950478952E-2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5.4048711950478952E-2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8">
        <f t="shared" si="110"/>
        <v>183.33333333333334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-3.979039320256561E-13</v>
      </c>
      <c r="O154" s="14">
        <f>N154*VLOOKUP('Données projet'!$B$9,Paramètres!$A$1:$I$89,3,0)*VLOOKUP('Données projet'!$B$9,Paramètres!$A$1:$I$89,5,0)</f>
        <v>-4.0347458707401528E-13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516.54532596122067</v>
      </c>
      <c r="T154" s="60">
        <f t="shared" si="142"/>
        <v>273.35778700650792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1.9895196601282805E-13</v>
      </c>
      <c r="AJ154" s="14">
        <f>AI154*VLOOKUP('Données projet'!$B$10,Paramètres!$A$1:$I$89,3,0)*VLOOKUP('Données projet'!$B$10,Paramètres!$A$1:$I$89,5,0)</f>
        <v>1.8932269085780715E-13</v>
      </c>
      <c r="AK154" s="14">
        <f t="shared" ref="AK154:AK203" si="164">EXP(-1.0587+0.8836*LN(AJ154)+0.284)</f>
        <v>2.6405131992468737E-12</v>
      </c>
      <c r="AL154" s="22">
        <f t="shared" ref="AL154:AL203" si="165">(AJ154+AK154)*0.475*44/12</f>
        <v>4.9286308419323191E-12</v>
      </c>
      <c r="AM154" s="60">
        <f t="shared" si="113"/>
        <v>286.8082168232703</v>
      </c>
      <c r="AN154" s="60">
        <f ca="1">AVERAGE(OFFSET($AM$3,0,0,'Données projet'!$E$10+1,1))-AVERAGE(OFFSET($H$3,0,0,'Données projet'!$E$10+1,1))</f>
        <v>328.36544111680962</v>
      </c>
      <c r="AO154" s="60">
        <f t="shared" si="144"/>
        <v>226.85392900722772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-9.9316821433603781E-14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296.01124173332352</v>
      </c>
      <c r="BJ154" s="60">
        <f t="shared" si="146"/>
        <v>315.50730924873733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-3.7243808037601412E-14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216.42026264996392</v>
      </c>
      <c r="CE154" s="60">
        <f t="shared" si="148"/>
        <v>216.4587454288401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385.5283976785621</v>
      </c>
      <c r="CZ154" s="60">
        <f t="shared" si="150"/>
        <v>173.19148969173838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-3.979039320256561E-13</v>
      </c>
      <c r="DP154" s="18">
        <f>DO154*VLOOKUP('Données projet'!$B$14,Paramètres!$A$1:$I$89,3,0)*VLOOKUP('Données projet'!$B$14,Paramètres!$A$1:$I$89,5,0)</f>
        <v>-4.2830379243241627E-13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543.15812193567342</v>
      </c>
      <c r="DU154" s="60">
        <f t="shared" si="152"/>
        <v>286.40725588660575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2.8421709430404007E-14</v>
      </c>
      <c r="EK154" s="18">
        <f>EJ154*VLOOKUP('Données projet'!$B$15,Paramètres!$A$1:$I$89,3,0)*VLOOKUP('Données projet'!$B$15,Paramètres!$A$1:$I$89,5,0)</f>
        <v>1.906528268591501E-14</v>
      </c>
      <c r="EL154" s="14">
        <f t="shared" ref="EL154:EL203" si="179">EXP(-1.0587+0.8836*LN(EK154)+0.284)</f>
        <v>3.473561557570726E-13</v>
      </c>
      <c r="EM154" s="22">
        <f t="shared" ref="EM154:EM203" si="180">(EK154+EL154)*0.475*44/12</f>
        <v>6.3818400528820342E-13</v>
      </c>
      <c r="EN154" s="60">
        <f t="shared" si="128"/>
        <v>286.80821682326598</v>
      </c>
      <c r="EO154" s="60">
        <f ca="1">AVERAGE(OFFSET($EN$3,0,0,'Données projet'!$E$15+1,1))-AVERAGE(OFFSET($H$3,0,0,'Données projet'!$E$15+1,1))</f>
        <v>239.52247785001794</v>
      </c>
      <c r="EP154" s="60">
        <f t="shared" si="154"/>
        <v>173.69760199651617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5.2570747079894876E-2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5.2570747079894876E-2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8">
        <f t="shared" si="110"/>
        <v>183.33333333333334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-3.979039320256561E-13</v>
      </c>
      <c r="O155" s="14">
        <f>N155*VLOOKUP('Données projet'!$B$9,Paramètres!$A$1:$I$89,3,0)*VLOOKUP('Données projet'!$B$9,Paramètres!$A$1:$I$89,5,0)</f>
        <v>-4.0347458707401528E-13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516.54532596122067</v>
      </c>
      <c r="T155" s="60">
        <f t="shared" si="142"/>
        <v>273.35778700650792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1.9895196601282805E-13</v>
      </c>
      <c r="AJ155" s="14">
        <f>AI155*VLOOKUP('Données projet'!$B$10,Paramètres!$A$1:$I$89,3,0)*VLOOKUP('Données projet'!$B$10,Paramètres!$A$1:$I$89,5,0)</f>
        <v>1.8932269085780715E-13</v>
      </c>
      <c r="AK155" s="14">
        <f t="shared" si="164"/>
        <v>2.6405131992468737E-12</v>
      </c>
      <c r="AL155" s="22">
        <f t="shared" si="165"/>
        <v>4.9286308419323191E-12</v>
      </c>
      <c r="AM155" s="60">
        <f t="shared" si="113"/>
        <v>286.92141300674484</v>
      </c>
      <c r="AN155" s="60">
        <f ca="1">AVERAGE(OFFSET($AM$3,0,0,'Données projet'!$E$10+1,1))-AVERAGE(OFFSET($H$3,0,0,'Données projet'!$E$10+1,1))</f>
        <v>328.36544111680962</v>
      </c>
      <c r="AO155" s="60">
        <f t="shared" si="144"/>
        <v>226.85392900722772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-9.9316821433603781E-14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296.01124173332352</v>
      </c>
      <c r="BJ155" s="60">
        <f t="shared" si="146"/>
        <v>315.50730924873733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-3.7243808037601412E-14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216.42026264996392</v>
      </c>
      <c r="CE155" s="60">
        <f t="shared" si="148"/>
        <v>216.4587454288401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385.5283976785621</v>
      </c>
      <c r="CZ155" s="60">
        <f t="shared" si="150"/>
        <v>173.19148969173838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-3.979039320256561E-13</v>
      </c>
      <c r="DP155" s="18">
        <f>DO155*VLOOKUP('Données projet'!$B$14,Paramètres!$A$1:$I$89,3,0)*VLOOKUP('Données projet'!$B$14,Paramètres!$A$1:$I$89,5,0)</f>
        <v>-4.2830379243241627E-13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543.15812193567342</v>
      </c>
      <c r="DU155" s="60">
        <f t="shared" si="152"/>
        <v>286.40725588660575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2.8421709430404007E-14</v>
      </c>
      <c r="EK155" s="18">
        <f>EJ155*VLOOKUP('Données projet'!$B$15,Paramètres!$A$1:$I$89,3,0)*VLOOKUP('Données projet'!$B$15,Paramètres!$A$1:$I$89,5,0)</f>
        <v>1.906528268591501E-14</v>
      </c>
      <c r="EL155" s="14">
        <f t="shared" si="179"/>
        <v>3.473561557570726E-13</v>
      </c>
      <c r="EM155" s="22">
        <f t="shared" si="180"/>
        <v>6.3818400528820342E-13</v>
      </c>
      <c r="EN155" s="60">
        <f t="shared" si="128"/>
        <v>286.92141300674052</v>
      </c>
      <c r="EO155" s="60">
        <f ca="1">AVERAGE(OFFSET($EN$3,0,0,'Données projet'!$E$15+1,1))-AVERAGE(OFFSET($H$3,0,0,'Données projet'!$E$15+1,1))</f>
        <v>239.52247785001794</v>
      </c>
      <c r="EP155" s="60">
        <f t="shared" si="154"/>
        <v>173.69760199651617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5.1133197236419715E-2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5.1133197236419715E-2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8">
        <f t="shared" si="110"/>
        <v>183.33333333333334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-3.979039320256561E-13</v>
      </c>
      <c r="O156" s="14">
        <f>N156*VLOOKUP('Données projet'!$B$9,Paramètres!$A$1:$I$89,3,0)*VLOOKUP('Données projet'!$B$9,Paramètres!$A$1:$I$89,5,0)</f>
        <v>-4.0347458707401528E-13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516.54532596122067</v>
      </c>
      <c r="T156" s="60">
        <f t="shared" si="142"/>
        <v>273.35778700650792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1.9895196601282805E-13</v>
      </c>
      <c r="AJ156" s="14">
        <f>AI156*VLOOKUP('Données projet'!$B$10,Paramètres!$A$1:$I$89,3,0)*VLOOKUP('Données projet'!$B$10,Paramètres!$A$1:$I$89,5,0)</f>
        <v>1.8932269085780715E-13</v>
      </c>
      <c r="AK156" s="14">
        <f t="shared" si="164"/>
        <v>2.6405131992468737E-12</v>
      </c>
      <c r="AL156" s="22">
        <f t="shared" si="165"/>
        <v>4.9286308419323191E-12</v>
      </c>
      <c r="AM156" s="60">
        <f t="shared" si="113"/>
        <v>287.03264548950494</v>
      </c>
      <c r="AN156" s="60">
        <f ca="1">AVERAGE(OFFSET($AM$3,0,0,'Données projet'!$E$10+1,1))-AVERAGE(OFFSET($H$3,0,0,'Données projet'!$E$10+1,1))</f>
        <v>328.36544111680962</v>
      </c>
      <c r="AO156" s="60">
        <f t="shared" si="144"/>
        <v>226.85392900722772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-9.9316821433603781E-14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296.01124173332352</v>
      </c>
      <c r="BJ156" s="60">
        <f t="shared" si="146"/>
        <v>315.50730924873733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-3.7243808037601412E-14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216.42026264996392</v>
      </c>
      <c r="CE156" s="60">
        <f t="shared" si="148"/>
        <v>216.4587454288401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385.5283976785621</v>
      </c>
      <c r="CZ156" s="60">
        <f t="shared" si="150"/>
        <v>173.19148969173838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-3.979039320256561E-13</v>
      </c>
      <c r="DP156" s="18">
        <f>DO156*VLOOKUP('Données projet'!$B$14,Paramètres!$A$1:$I$89,3,0)*VLOOKUP('Données projet'!$B$14,Paramètres!$A$1:$I$89,5,0)</f>
        <v>-4.2830379243241627E-13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543.15812193567342</v>
      </c>
      <c r="DU156" s="60">
        <f t="shared" si="152"/>
        <v>286.40725588660575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2.8421709430404007E-14</v>
      </c>
      <c r="EK156" s="18">
        <f>EJ156*VLOOKUP('Données projet'!$B$15,Paramètres!$A$1:$I$89,3,0)*VLOOKUP('Données projet'!$B$15,Paramètres!$A$1:$I$89,5,0)</f>
        <v>1.906528268591501E-14</v>
      </c>
      <c r="EL156" s="14">
        <f t="shared" si="179"/>
        <v>3.473561557570726E-13</v>
      </c>
      <c r="EM156" s="22">
        <f t="shared" si="180"/>
        <v>6.3818400528820342E-13</v>
      </c>
      <c r="EN156" s="60">
        <f t="shared" si="128"/>
        <v>287.03264548950062</v>
      </c>
      <c r="EO156" s="60">
        <f ca="1">AVERAGE(OFFSET($EN$3,0,0,'Données projet'!$E$15+1,1))-AVERAGE(OFFSET($H$3,0,0,'Données projet'!$E$15+1,1))</f>
        <v>239.52247785001794</v>
      </c>
      <c r="EP156" s="60">
        <f t="shared" si="154"/>
        <v>173.69760199651617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4.9734957269011844E-2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4.9734957269011844E-2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8">
        <f t="shared" si="110"/>
        <v>183.33333333333334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-3.979039320256561E-13</v>
      </c>
      <c r="O157" s="14">
        <f>N157*VLOOKUP('Données projet'!$B$9,Paramètres!$A$1:$I$89,3,0)*VLOOKUP('Données projet'!$B$9,Paramètres!$A$1:$I$89,5,0)</f>
        <v>-4.0347458707401528E-13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516.54532596122067</v>
      </c>
      <c r="T157" s="60">
        <f t="shared" si="142"/>
        <v>273.35778700650792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1.9895196601282805E-13</v>
      </c>
      <c r="AJ157" s="14">
        <f>AI157*VLOOKUP('Données projet'!$B$10,Paramètres!$A$1:$I$89,3,0)*VLOOKUP('Données projet'!$B$10,Paramètres!$A$1:$I$89,5,0)</f>
        <v>1.8932269085780715E-13</v>
      </c>
      <c r="AK157" s="14">
        <f t="shared" si="164"/>
        <v>2.6405131992468737E-12</v>
      </c>
      <c r="AL157" s="22">
        <f t="shared" si="165"/>
        <v>4.9286308419323191E-12</v>
      </c>
      <c r="AM157" s="60">
        <f t="shared" si="113"/>
        <v>287.14194833736769</v>
      </c>
      <c r="AN157" s="60">
        <f ca="1">AVERAGE(OFFSET($AM$3,0,0,'Données projet'!$E$10+1,1))-AVERAGE(OFFSET($H$3,0,0,'Données projet'!$E$10+1,1))</f>
        <v>328.36544111680962</v>
      </c>
      <c r="AO157" s="60">
        <f t="shared" si="144"/>
        <v>226.85392900722772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-9.9316821433603781E-14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296.01124173332352</v>
      </c>
      <c r="BJ157" s="60">
        <f t="shared" si="146"/>
        <v>315.50730924873733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-3.7243808037601412E-14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216.42026264996392</v>
      </c>
      <c r="CE157" s="60">
        <f t="shared" si="148"/>
        <v>216.4587454288401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385.5283976785621</v>
      </c>
      <c r="CZ157" s="60">
        <f t="shared" si="150"/>
        <v>173.19148969173838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-3.979039320256561E-13</v>
      </c>
      <c r="DP157" s="18">
        <f>DO157*VLOOKUP('Données projet'!$B$14,Paramètres!$A$1:$I$89,3,0)*VLOOKUP('Données projet'!$B$14,Paramètres!$A$1:$I$89,5,0)</f>
        <v>-4.2830379243241627E-13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543.15812193567342</v>
      </c>
      <c r="DU157" s="60">
        <f t="shared" si="152"/>
        <v>286.40725588660575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2.8421709430404007E-14</v>
      </c>
      <c r="EK157" s="18">
        <f>EJ157*VLOOKUP('Données projet'!$B$15,Paramètres!$A$1:$I$89,3,0)*VLOOKUP('Données projet'!$B$15,Paramètres!$A$1:$I$89,5,0)</f>
        <v>1.906528268591501E-14</v>
      </c>
      <c r="EL157" s="14">
        <f t="shared" si="179"/>
        <v>3.473561557570726E-13</v>
      </c>
      <c r="EM157" s="22">
        <f t="shared" si="180"/>
        <v>6.3818400528820342E-13</v>
      </c>
      <c r="EN157" s="60">
        <f t="shared" si="128"/>
        <v>287.14194833736337</v>
      </c>
      <c r="EO157" s="60">
        <f ca="1">AVERAGE(OFFSET($EN$3,0,0,'Données projet'!$E$15+1,1))-AVERAGE(OFFSET($H$3,0,0,'Données projet'!$E$15+1,1))</f>
        <v>239.52247785001794</v>
      </c>
      <c r="EP157" s="60">
        <f t="shared" si="154"/>
        <v>173.69760199651617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4.8374952247042982E-2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4.8374952247042982E-2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8">
        <f t="shared" si="110"/>
        <v>183.33333333333334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-3.979039320256561E-13</v>
      </c>
      <c r="O158" s="14">
        <f>N158*VLOOKUP('Données projet'!$B$9,Paramètres!$A$1:$I$89,3,0)*VLOOKUP('Données projet'!$B$9,Paramètres!$A$1:$I$89,5,0)</f>
        <v>-4.0347458707401528E-13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516.54532596122067</v>
      </c>
      <c r="T158" s="60">
        <f t="shared" si="142"/>
        <v>273.35778700650792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1.9895196601282805E-13</v>
      </c>
      <c r="AJ158" s="14">
        <f>AI158*VLOOKUP('Données projet'!$B$10,Paramètres!$A$1:$I$89,3,0)*VLOOKUP('Données projet'!$B$10,Paramètres!$A$1:$I$89,5,0)</f>
        <v>1.8932269085780715E-13</v>
      </c>
      <c r="AK158" s="14">
        <f t="shared" si="164"/>
        <v>2.6405131992468737E-12</v>
      </c>
      <c r="AL158" s="22">
        <f t="shared" si="165"/>
        <v>4.9286308419323191E-12</v>
      </c>
      <c r="AM158" s="60">
        <f t="shared" si="113"/>
        <v>287.24935502518463</v>
      </c>
      <c r="AN158" s="60">
        <f ca="1">AVERAGE(OFFSET($AM$3,0,0,'Données projet'!$E$10+1,1))-AVERAGE(OFFSET($H$3,0,0,'Données projet'!$E$10+1,1))</f>
        <v>328.36544111680962</v>
      </c>
      <c r="AO158" s="60">
        <f t="shared" si="144"/>
        <v>226.85392900722772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-9.9316821433603781E-14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296.01124173332352</v>
      </c>
      <c r="BJ158" s="60">
        <f t="shared" si="146"/>
        <v>315.50730924873733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-3.7243808037601412E-14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216.42026264996392</v>
      </c>
      <c r="CE158" s="60">
        <f t="shared" si="148"/>
        <v>216.4587454288401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385.5283976785621</v>
      </c>
      <c r="CZ158" s="60">
        <f t="shared" si="150"/>
        <v>173.19148969173838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-3.979039320256561E-13</v>
      </c>
      <c r="DP158" s="18">
        <f>DO158*VLOOKUP('Données projet'!$B$14,Paramètres!$A$1:$I$89,3,0)*VLOOKUP('Données projet'!$B$14,Paramètres!$A$1:$I$89,5,0)</f>
        <v>-4.2830379243241627E-13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543.15812193567342</v>
      </c>
      <c r="DU158" s="60">
        <f t="shared" si="152"/>
        <v>286.40725588660575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2.8421709430404007E-14</v>
      </c>
      <c r="EK158" s="18">
        <f>EJ158*VLOOKUP('Données projet'!$B$15,Paramètres!$A$1:$I$89,3,0)*VLOOKUP('Données projet'!$B$15,Paramètres!$A$1:$I$89,5,0)</f>
        <v>1.906528268591501E-14</v>
      </c>
      <c r="EL158" s="14">
        <f t="shared" si="179"/>
        <v>3.473561557570726E-13</v>
      </c>
      <c r="EM158" s="22">
        <f t="shared" si="180"/>
        <v>6.3818400528820342E-13</v>
      </c>
      <c r="EN158" s="60">
        <f t="shared" si="128"/>
        <v>287.24935502518031</v>
      </c>
      <c r="EO158" s="60">
        <f ca="1">AVERAGE(OFFSET($EN$3,0,0,'Données projet'!$E$15+1,1))-AVERAGE(OFFSET($H$3,0,0,'Données projet'!$E$15+1,1))</f>
        <v>239.52247785001794</v>
      </c>
      <c r="EP158" s="60">
        <f t="shared" si="154"/>
        <v>173.69760199651617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4.7052136633919418E-2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4.7052136633919418E-2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8">
        <f t="shared" si="110"/>
        <v>183.33333333333334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-3.979039320256561E-13</v>
      </c>
      <c r="O159" s="14">
        <f>N159*VLOOKUP('Données projet'!$B$9,Paramètres!$A$1:$I$89,3,0)*VLOOKUP('Données projet'!$B$9,Paramètres!$A$1:$I$89,5,0)</f>
        <v>-4.0347458707401528E-13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516.54532596122067</v>
      </c>
      <c r="T159" s="60">
        <f t="shared" si="142"/>
        <v>273.35778700650792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1.9895196601282805E-13</v>
      </c>
      <c r="AJ159" s="14">
        <f>AI159*VLOOKUP('Données projet'!$B$10,Paramètres!$A$1:$I$89,3,0)*VLOOKUP('Données projet'!$B$10,Paramètres!$A$1:$I$89,5,0)</f>
        <v>1.8932269085780715E-13</v>
      </c>
      <c r="AK159" s="14">
        <f t="shared" si="164"/>
        <v>2.6405131992468737E-12</v>
      </c>
      <c r="AL159" s="22">
        <f t="shared" si="165"/>
        <v>4.9286308419323191E-12</v>
      </c>
      <c r="AM159" s="60">
        <f t="shared" si="113"/>
        <v>287.35489844709326</v>
      </c>
      <c r="AN159" s="60">
        <f ca="1">AVERAGE(OFFSET($AM$3,0,0,'Données projet'!$E$10+1,1))-AVERAGE(OFFSET($H$3,0,0,'Données projet'!$E$10+1,1))</f>
        <v>328.36544111680962</v>
      </c>
      <c r="AO159" s="60">
        <f t="shared" si="144"/>
        <v>226.85392900722772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-9.9316821433603781E-14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296.01124173332352</v>
      </c>
      <c r="BJ159" s="60">
        <f t="shared" si="146"/>
        <v>315.50730924873733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-3.7243808037601412E-14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216.42026264996392</v>
      </c>
      <c r="CE159" s="60">
        <f t="shared" si="148"/>
        <v>216.4587454288401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385.5283976785621</v>
      </c>
      <c r="CZ159" s="60">
        <f t="shared" si="150"/>
        <v>173.19148969173838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-3.979039320256561E-13</v>
      </c>
      <c r="DP159" s="18">
        <f>DO159*VLOOKUP('Données projet'!$B$14,Paramètres!$A$1:$I$89,3,0)*VLOOKUP('Données projet'!$B$14,Paramètres!$A$1:$I$89,5,0)</f>
        <v>-4.2830379243241627E-13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543.15812193567342</v>
      </c>
      <c r="DU159" s="60">
        <f t="shared" si="152"/>
        <v>286.40725588660575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2.8421709430404007E-14</v>
      </c>
      <c r="EK159" s="18">
        <f>EJ159*VLOOKUP('Données projet'!$B$15,Paramètres!$A$1:$I$89,3,0)*VLOOKUP('Données projet'!$B$15,Paramètres!$A$1:$I$89,5,0)</f>
        <v>1.906528268591501E-14</v>
      </c>
      <c r="EL159" s="14">
        <f t="shared" si="179"/>
        <v>3.473561557570726E-13</v>
      </c>
      <c r="EM159" s="22">
        <f t="shared" si="180"/>
        <v>6.3818400528820342E-13</v>
      </c>
      <c r="EN159" s="60">
        <f t="shared" si="128"/>
        <v>287.35489844708894</v>
      </c>
      <c r="EO159" s="60">
        <f ca="1">AVERAGE(OFFSET($EN$3,0,0,'Données projet'!$E$15+1,1))-AVERAGE(OFFSET($H$3,0,0,'Données projet'!$E$15+1,1))</f>
        <v>239.52247785001794</v>
      </c>
      <c r="EP159" s="60">
        <f t="shared" si="154"/>
        <v>173.69760199651617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4.5765493483300564E-2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4.5765493483300564E-2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8">
        <f t="shared" si="110"/>
        <v>183.33333333333334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-3.979039320256561E-13</v>
      </c>
      <c r="O160" s="14">
        <f>N160*VLOOKUP('Données projet'!$B$9,Paramètres!$A$1:$I$89,3,0)*VLOOKUP('Données projet'!$B$9,Paramètres!$A$1:$I$89,5,0)</f>
        <v>-4.0347458707401528E-13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516.54532596122067</v>
      </c>
      <c r="T160" s="60">
        <f t="shared" si="142"/>
        <v>273.35778700650792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1.9895196601282805E-13</v>
      </c>
      <c r="AJ160" s="14">
        <f>AI160*VLOOKUP('Données projet'!$B$10,Paramètres!$A$1:$I$89,3,0)*VLOOKUP('Données projet'!$B$10,Paramètres!$A$1:$I$89,5,0)</f>
        <v>1.8932269085780715E-13</v>
      </c>
      <c r="AK160" s="14">
        <f t="shared" si="164"/>
        <v>2.6405131992468737E-12</v>
      </c>
      <c r="AL160" s="22">
        <f t="shared" si="165"/>
        <v>4.9286308419323191E-12</v>
      </c>
      <c r="AM160" s="60">
        <f t="shared" si="113"/>
        <v>287.45861092659152</v>
      </c>
      <c r="AN160" s="60">
        <f ca="1">AVERAGE(OFFSET($AM$3,0,0,'Données projet'!$E$10+1,1))-AVERAGE(OFFSET($H$3,0,0,'Données projet'!$E$10+1,1))</f>
        <v>328.36544111680962</v>
      </c>
      <c r="AO160" s="60">
        <f t="shared" si="144"/>
        <v>226.85392900722772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-9.9316821433603781E-14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296.01124173332352</v>
      </c>
      <c r="BJ160" s="60">
        <f t="shared" si="146"/>
        <v>315.50730924873733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-3.7243808037601412E-14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216.42026264996392</v>
      </c>
      <c r="CE160" s="60">
        <f t="shared" si="148"/>
        <v>216.4587454288401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385.5283976785621</v>
      </c>
      <c r="CZ160" s="60">
        <f t="shared" si="150"/>
        <v>173.19148969173838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-3.979039320256561E-13</v>
      </c>
      <c r="DP160" s="18">
        <f>DO160*VLOOKUP('Données projet'!$B$14,Paramètres!$A$1:$I$89,3,0)*VLOOKUP('Données projet'!$B$14,Paramètres!$A$1:$I$89,5,0)</f>
        <v>-4.2830379243241627E-13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543.15812193567342</v>
      </c>
      <c r="DU160" s="60">
        <f t="shared" si="152"/>
        <v>286.40725588660575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2.8421709430404007E-14</v>
      </c>
      <c r="EK160" s="18">
        <f>EJ160*VLOOKUP('Données projet'!$B$15,Paramètres!$A$1:$I$89,3,0)*VLOOKUP('Données projet'!$B$15,Paramètres!$A$1:$I$89,5,0)</f>
        <v>1.906528268591501E-14</v>
      </c>
      <c r="EL160" s="14">
        <f t="shared" si="179"/>
        <v>3.473561557570726E-13</v>
      </c>
      <c r="EM160" s="22">
        <f t="shared" si="180"/>
        <v>6.3818400528820342E-13</v>
      </c>
      <c r="EN160" s="60">
        <f t="shared" si="128"/>
        <v>287.4586109265872</v>
      </c>
      <c r="EO160" s="60">
        <f ca="1">AVERAGE(OFFSET($EN$3,0,0,'Données projet'!$E$15+1,1))-AVERAGE(OFFSET($H$3,0,0,'Données projet'!$E$15+1,1))</f>
        <v>239.52247785001794</v>
      </c>
      <c r="EP160" s="60">
        <f t="shared" si="154"/>
        <v>173.69760199651617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4.4514033657297003E-2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4.4514033657297003E-2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8">
        <f t="shared" si="110"/>
        <v>183.33333333333334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-3.979039320256561E-13</v>
      </c>
      <c r="O161" s="14">
        <f>N161*VLOOKUP('Données projet'!$B$9,Paramètres!$A$1:$I$89,3,0)*VLOOKUP('Données projet'!$B$9,Paramètres!$A$1:$I$89,5,0)</f>
        <v>-4.0347458707401528E-13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516.54532596122067</v>
      </c>
      <c r="T161" s="60">
        <f t="shared" si="142"/>
        <v>273.35778700650792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1.9895196601282805E-13</v>
      </c>
      <c r="AJ161" s="14">
        <f>AI161*VLOOKUP('Données projet'!$B$10,Paramètres!$A$1:$I$89,3,0)*VLOOKUP('Données projet'!$B$10,Paramètres!$A$1:$I$89,5,0)</f>
        <v>1.8932269085780715E-13</v>
      </c>
      <c r="AK161" s="14">
        <f t="shared" si="164"/>
        <v>2.6405131992468737E-12</v>
      </c>
      <c r="AL161" s="22">
        <f t="shared" si="165"/>
        <v>4.9286308419323191E-12</v>
      </c>
      <c r="AM161" s="60">
        <f t="shared" si="113"/>
        <v>287.56052422643694</v>
      </c>
      <c r="AN161" s="60">
        <f ca="1">AVERAGE(OFFSET($AM$3,0,0,'Données projet'!$E$10+1,1))-AVERAGE(OFFSET($H$3,0,0,'Données projet'!$E$10+1,1))</f>
        <v>328.36544111680962</v>
      </c>
      <c r="AO161" s="60">
        <f t="shared" si="144"/>
        <v>226.85392900722772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-9.9316821433603781E-14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296.01124173332352</v>
      </c>
      <c r="BJ161" s="60">
        <f t="shared" si="146"/>
        <v>315.50730924873733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-3.7243808037601412E-14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216.42026264996392</v>
      </c>
      <c r="CE161" s="60">
        <f t="shared" si="148"/>
        <v>216.4587454288401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385.5283976785621</v>
      </c>
      <c r="CZ161" s="60">
        <f t="shared" si="150"/>
        <v>173.19148969173838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-3.979039320256561E-13</v>
      </c>
      <c r="DP161" s="18">
        <f>DO161*VLOOKUP('Données projet'!$B$14,Paramètres!$A$1:$I$89,3,0)*VLOOKUP('Données projet'!$B$14,Paramètres!$A$1:$I$89,5,0)</f>
        <v>-4.2830379243241627E-13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543.15812193567342</v>
      </c>
      <c r="DU161" s="60">
        <f t="shared" si="152"/>
        <v>286.40725588660575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2.8421709430404007E-14</v>
      </c>
      <c r="EK161" s="18">
        <f>EJ161*VLOOKUP('Données projet'!$B$15,Paramètres!$A$1:$I$89,3,0)*VLOOKUP('Données projet'!$B$15,Paramètres!$A$1:$I$89,5,0)</f>
        <v>1.906528268591501E-14</v>
      </c>
      <c r="EL161" s="14">
        <f t="shared" si="179"/>
        <v>3.473561557570726E-13</v>
      </c>
      <c r="EM161" s="22">
        <f t="shared" si="180"/>
        <v>6.3818400528820342E-13</v>
      </c>
      <c r="EN161" s="60">
        <f t="shared" si="128"/>
        <v>287.56052422643262</v>
      </c>
      <c r="EO161" s="60">
        <f ca="1">AVERAGE(OFFSET($EN$3,0,0,'Données projet'!$E$15+1,1))-AVERAGE(OFFSET($H$3,0,0,'Données projet'!$E$15+1,1))</f>
        <v>239.52247785001794</v>
      </c>
      <c r="EP161" s="60">
        <f t="shared" si="154"/>
        <v>173.69760199651617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4.3296795066046924E-2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4.3296795066046924E-2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8">
        <f t="shared" si="110"/>
        <v>183.33333333333334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-3.979039320256561E-13</v>
      </c>
      <c r="O162" s="14">
        <f>N162*VLOOKUP('Données projet'!$B$9,Paramètres!$A$1:$I$89,3,0)*VLOOKUP('Données projet'!$B$9,Paramètres!$A$1:$I$89,5,0)</f>
        <v>-4.0347458707401528E-13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516.54532596122067</v>
      </c>
      <c r="T162" s="60">
        <f t="shared" si="142"/>
        <v>273.35778700650792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1.9895196601282805E-13</v>
      </c>
      <c r="AJ162" s="14">
        <f>AI162*VLOOKUP('Données projet'!$B$10,Paramètres!$A$1:$I$89,3,0)*VLOOKUP('Données projet'!$B$10,Paramètres!$A$1:$I$89,5,0)</f>
        <v>1.8932269085780715E-13</v>
      </c>
      <c r="AK162" s="14">
        <f t="shared" si="164"/>
        <v>2.6405131992468737E-12</v>
      </c>
      <c r="AL162" s="22">
        <f t="shared" si="165"/>
        <v>4.9286308419323191E-12</v>
      </c>
      <c r="AM162" s="60">
        <f t="shared" si="113"/>
        <v>287.66066955837391</v>
      </c>
      <c r="AN162" s="60">
        <f ca="1">AVERAGE(OFFSET($AM$3,0,0,'Données projet'!$E$10+1,1))-AVERAGE(OFFSET($H$3,0,0,'Données projet'!$E$10+1,1))</f>
        <v>328.36544111680962</v>
      </c>
      <c r="AO162" s="60">
        <f t="shared" si="144"/>
        <v>226.85392900722772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-9.9316821433603781E-14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296.01124173332352</v>
      </c>
      <c r="BJ162" s="60">
        <f t="shared" si="146"/>
        <v>315.50730924873733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-3.7243808037601412E-14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216.42026264996392</v>
      </c>
      <c r="CE162" s="60">
        <f t="shared" si="148"/>
        <v>216.4587454288401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385.5283976785621</v>
      </c>
      <c r="CZ162" s="60">
        <f t="shared" si="150"/>
        <v>173.19148969173838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-3.979039320256561E-13</v>
      </c>
      <c r="DP162" s="18">
        <f>DO162*VLOOKUP('Données projet'!$B$14,Paramètres!$A$1:$I$89,3,0)*VLOOKUP('Données projet'!$B$14,Paramètres!$A$1:$I$89,5,0)</f>
        <v>-4.2830379243241627E-13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543.15812193567342</v>
      </c>
      <c r="DU162" s="60">
        <f t="shared" si="152"/>
        <v>286.40725588660575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2.8421709430404007E-14</v>
      </c>
      <c r="EK162" s="18">
        <f>EJ162*VLOOKUP('Données projet'!$B$15,Paramètres!$A$1:$I$89,3,0)*VLOOKUP('Données projet'!$B$15,Paramètres!$A$1:$I$89,5,0)</f>
        <v>1.906528268591501E-14</v>
      </c>
      <c r="EL162" s="14">
        <f t="shared" si="179"/>
        <v>3.473561557570726E-13</v>
      </c>
      <c r="EM162" s="22">
        <f t="shared" si="180"/>
        <v>6.3818400528820342E-13</v>
      </c>
      <c r="EN162" s="60">
        <f t="shared" si="128"/>
        <v>287.66066955836959</v>
      </c>
      <c r="EO162" s="60">
        <f ca="1">AVERAGE(OFFSET($EN$3,0,0,'Données projet'!$E$15+1,1))-AVERAGE(OFFSET($H$3,0,0,'Données projet'!$E$15+1,1))</f>
        <v>239.52247785001794</v>
      </c>
      <c r="EP162" s="60">
        <f t="shared" si="154"/>
        <v>173.69760199651617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4.2112841928086377E-2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4.2112841928086377E-2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8">
        <f t="shared" si="110"/>
        <v>183.33333333333334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-3.979039320256561E-13</v>
      </c>
      <c r="O163" s="14">
        <f>N163*VLOOKUP('Données projet'!$B$9,Paramètres!$A$1:$I$89,3,0)*VLOOKUP('Données projet'!$B$9,Paramètres!$A$1:$I$89,5,0)</f>
        <v>-4.0347458707401528E-13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516.54532596122067</v>
      </c>
      <c r="T163" s="60">
        <f t="shared" si="142"/>
        <v>273.35778700650792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1.9895196601282805E-13</v>
      </c>
      <c r="AJ163" s="14">
        <f>AI163*VLOOKUP('Données projet'!$B$10,Paramètres!$A$1:$I$89,3,0)*VLOOKUP('Données projet'!$B$10,Paramètres!$A$1:$I$89,5,0)</f>
        <v>1.8932269085780715E-13</v>
      </c>
      <c r="AK163" s="14">
        <f t="shared" si="164"/>
        <v>2.6405131992468737E-12</v>
      </c>
      <c r="AL163" s="22">
        <f t="shared" si="165"/>
        <v>4.9286308419323191E-12</v>
      </c>
      <c r="AM163" s="60">
        <f t="shared" si="113"/>
        <v>287.7590775926933</v>
      </c>
      <c r="AN163" s="60">
        <f ca="1">AVERAGE(OFFSET($AM$3,0,0,'Données projet'!$E$10+1,1))-AVERAGE(OFFSET($H$3,0,0,'Données projet'!$E$10+1,1))</f>
        <v>328.36544111680962</v>
      </c>
      <c r="AO163" s="60">
        <f t="shared" si="144"/>
        <v>226.85392900722772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-9.9316821433603781E-14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296.01124173332352</v>
      </c>
      <c r="BJ163" s="60">
        <f t="shared" si="146"/>
        <v>315.50730924873733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-3.7243808037601412E-14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216.42026264996392</v>
      </c>
      <c r="CE163" s="60">
        <f t="shared" si="148"/>
        <v>216.4587454288401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385.5283976785621</v>
      </c>
      <c r="CZ163" s="60">
        <f t="shared" si="150"/>
        <v>173.19148969173838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-3.979039320256561E-13</v>
      </c>
      <c r="DP163" s="18">
        <f>DO163*VLOOKUP('Données projet'!$B$14,Paramètres!$A$1:$I$89,3,0)*VLOOKUP('Données projet'!$B$14,Paramètres!$A$1:$I$89,5,0)</f>
        <v>-4.2830379243241627E-13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543.15812193567342</v>
      </c>
      <c r="DU163" s="60">
        <f t="shared" si="152"/>
        <v>286.40725588660575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2.8421709430404007E-14</v>
      </c>
      <c r="EK163" s="18">
        <f>EJ163*VLOOKUP('Données projet'!$B$15,Paramètres!$A$1:$I$89,3,0)*VLOOKUP('Données projet'!$B$15,Paramètres!$A$1:$I$89,5,0)</f>
        <v>1.906528268591501E-14</v>
      </c>
      <c r="EL163" s="14">
        <f t="shared" si="179"/>
        <v>3.473561557570726E-13</v>
      </c>
      <c r="EM163" s="22">
        <f t="shared" si="180"/>
        <v>6.3818400528820342E-13</v>
      </c>
      <c r="EN163" s="60">
        <f t="shared" si="128"/>
        <v>287.75907759268898</v>
      </c>
      <c r="EO163" s="60">
        <f ca="1">AVERAGE(OFFSET($EN$3,0,0,'Données projet'!$E$15+1,1))-AVERAGE(OFFSET($H$3,0,0,'Données projet'!$E$15+1,1))</f>
        <v>239.52247785001794</v>
      </c>
      <c r="EP163" s="60">
        <f t="shared" si="154"/>
        <v>173.69760199651617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4.0961264050944746E-2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4.0961264050944746E-2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8">
        <f t="shared" si="110"/>
        <v>183.33333333333334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-3.979039320256561E-13</v>
      </c>
      <c r="O164" s="14">
        <f>N164*VLOOKUP('Données projet'!$B$9,Paramètres!$A$1:$I$89,3,0)*VLOOKUP('Données projet'!$B$9,Paramètres!$A$1:$I$89,5,0)</f>
        <v>-4.0347458707401528E-13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516.54532596122067</v>
      </c>
      <c r="T164" s="60">
        <f t="shared" si="142"/>
        <v>273.35778700650792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1.9895196601282805E-13</v>
      </c>
      <c r="AJ164" s="14">
        <f>AI164*VLOOKUP('Données projet'!$B$10,Paramètres!$A$1:$I$89,3,0)*VLOOKUP('Données projet'!$B$10,Paramètres!$A$1:$I$89,5,0)</f>
        <v>1.8932269085780715E-13</v>
      </c>
      <c r="AK164" s="14">
        <f t="shared" si="164"/>
        <v>2.6405131992468737E-12</v>
      </c>
      <c r="AL164" s="22">
        <f t="shared" si="165"/>
        <v>4.9286308419323191E-12</v>
      </c>
      <c r="AM164" s="60">
        <f t="shared" si="113"/>
        <v>287.85577846762465</v>
      </c>
      <c r="AN164" s="60">
        <f ca="1">AVERAGE(OFFSET($AM$3,0,0,'Données projet'!$E$10+1,1))-AVERAGE(OFFSET($H$3,0,0,'Données projet'!$E$10+1,1))</f>
        <v>328.36544111680962</v>
      </c>
      <c r="AO164" s="60">
        <f t="shared" si="144"/>
        <v>226.85392900722772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-9.9316821433603781E-14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296.01124173332352</v>
      </c>
      <c r="BJ164" s="60">
        <f t="shared" si="146"/>
        <v>315.50730924873733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-3.7243808037601412E-14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216.42026264996392</v>
      </c>
      <c r="CE164" s="60">
        <f t="shared" si="148"/>
        <v>216.4587454288401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385.5283976785621</v>
      </c>
      <c r="CZ164" s="60">
        <f t="shared" si="150"/>
        <v>173.19148969173838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-3.979039320256561E-13</v>
      </c>
      <c r="DP164" s="18">
        <f>DO164*VLOOKUP('Données projet'!$B$14,Paramètres!$A$1:$I$89,3,0)*VLOOKUP('Données projet'!$B$14,Paramètres!$A$1:$I$89,5,0)</f>
        <v>-4.2830379243241627E-13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543.15812193567342</v>
      </c>
      <c r="DU164" s="60">
        <f t="shared" si="152"/>
        <v>286.40725588660575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2.8421709430404007E-14</v>
      </c>
      <c r="EK164" s="18">
        <f>EJ164*VLOOKUP('Données projet'!$B$15,Paramètres!$A$1:$I$89,3,0)*VLOOKUP('Données projet'!$B$15,Paramètres!$A$1:$I$89,5,0)</f>
        <v>1.906528268591501E-14</v>
      </c>
      <c r="EL164" s="14">
        <f t="shared" si="179"/>
        <v>3.473561557570726E-13</v>
      </c>
      <c r="EM164" s="22">
        <f t="shared" si="180"/>
        <v>6.3818400528820342E-13</v>
      </c>
      <c r="EN164" s="60">
        <f t="shared" si="128"/>
        <v>287.85577846762033</v>
      </c>
      <c r="EO164" s="60">
        <f ca="1">AVERAGE(OFFSET($EN$3,0,0,'Données projet'!$E$15+1,1))-AVERAGE(OFFSET($H$3,0,0,'Données projet'!$E$15+1,1))</f>
        <v>239.52247785001794</v>
      </c>
      <c r="EP164" s="60">
        <f t="shared" si="154"/>
        <v>173.69760199651617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3.9841176131412401E-2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3.9841176131412401E-2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8">
        <f t="shared" si="110"/>
        <v>183.33333333333334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-3.979039320256561E-13</v>
      </c>
      <c r="O165" s="14">
        <f>N165*VLOOKUP('Données projet'!$B$9,Paramètres!$A$1:$I$89,3,0)*VLOOKUP('Données projet'!$B$9,Paramètres!$A$1:$I$89,5,0)</f>
        <v>-4.0347458707401528E-13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516.54532596122067</v>
      </c>
      <c r="T165" s="60">
        <f t="shared" si="142"/>
        <v>273.35778700650792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1.9895196601282805E-13</v>
      </c>
      <c r="AJ165" s="14">
        <f>AI165*VLOOKUP('Données projet'!$B$10,Paramètres!$A$1:$I$89,3,0)*VLOOKUP('Données projet'!$B$10,Paramètres!$A$1:$I$89,5,0)</f>
        <v>1.8932269085780715E-13</v>
      </c>
      <c r="AK165" s="14">
        <f t="shared" si="164"/>
        <v>2.6405131992468737E-12</v>
      </c>
      <c r="AL165" s="22">
        <f t="shared" si="165"/>
        <v>4.9286308419323191E-12</v>
      </c>
      <c r="AM165" s="60">
        <f t="shared" si="113"/>
        <v>287.95080179856666</v>
      </c>
      <c r="AN165" s="60">
        <f ca="1">AVERAGE(OFFSET($AM$3,0,0,'Données projet'!$E$10+1,1))-AVERAGE(OFFSET($H$3,0,0,'Données projet'!$E$10+1,1))</f>
        <v>328.36544111680962</v>
      </c>
      <c r="AO165" s="60">
        <f t="shared" si="144"/>
        <v>226.85392900722772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-9.9316821433603781E-14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296.01124173332352</v>
      </c>
      <c r="BJ165" s="60">
        <f t="shared" si="146"/>
        <v>315.50730924873733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-3.7243808037601412E-14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216.42026264996392</v>
      </c>
      <c r="CE165" s="60">
        <f t="shared" si="148"/>
        <v>216.4587454288401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385.5283976785621</v>
      </c>
      <c r="CZ165" s="60">
        <f t="shared" si="150"/>
        <v>173.19148969173838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-3.979039320256561E-13</v>
      </c>
      <c r="DP165" s="18">
        <f>DO165*VLOOKUP('Données projet'!$B$14,Paramètres!$A$1:$I$89,3,0)*VLOOKUP('Données projet'!$B$14,Paramètres!$A$1:$I$89,5,0)</f>
        <v>-4.2830379243241627E-13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543.15812193567342</v>
      </c>
      <c r="DU165" s="60">
        <f t="shared" si="152"/>
        <v>286.40725588660575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2.8421709430404007E-14</v>
      </c>
      <c r="EK165" s="18">
        <f>EJ165*VLOOKUP('Données projet'!$B$15,Paramètres!$A$1:$I$89,3,0)*VLOOKUP('Données projet'!$B$15,Paramètres!$A$1:$I$89,5,0)</f>
        <v>1.906528268591501E-14</v>
      </c>
      <c r="EL165" s="14">
        <f t="shared" si="179"/>
        <v>3.473561557570726E-13</v>
      </c>
      <c r="EM165" s="22">
        <f t="shared" si="180"/>
        <v>6.3818400528820342E-13</v>
      </c>
      <c r="EN165" s="60">
        <f t="shared" si="128"/>
        <v>287.95080179856234</v>
      </c>
      <c r="EO165" s="60">
        <f ca="1">AVERAGE(OFFSET($EN$3,0,0,'Données projet'!$E$15+1,1))-AVERAGE(OFFSET($H$3,0,0,'Données projet'!$E$15+1,1))</f>
        <v>239.52247785001794</v>
      </c>
      <c r="EP165" s="60">
        <f t="shared" si="154"/>
        <v>173.69760199651617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3.8751717074942536E-2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3.8751717074942536E-2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8">
        <f t="shared" si="110"/>
        <v>183.33333333333334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-3.979039320256561E-13</v>
      </c>
      <c r="O166" s="14">
        <f>N166*VLOOKUP('Données projet'!$B$9,Paramètres!$A$1:$I$89,3,0)*VLOOKUP('Données projet'!$B$9,Paramètres!$A$1:$I$89,5,0)</f>
        <v>-4.0347458707401528E-13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516.54532596122067</v>
      </c>
      <c r="T166" s="60">
        <f t="shared" si="142"/>
        <v>273.35778700650792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1.9895196601282805E-13</v>
      </c>
      <c r="AJ166" s="14">
        <f>AI166*VLOOKUP('Données projet'!$B$10,Paramètres!$A$1:$I$89,3,0)*VLOOKUP('Données projet'!$B$10,Paramètres!$A$1:$I$89,5,0)</f>
        <v>1.8932269085780715E-13</v>
      </c>
      <c r="AK166" s="14">
        <f t="shared" si="164"/>
        <v>2.6405131992468737E-12</v>
      </c>
      <c r="AL166" s="22">
        <f t="shared" si="165"/>
        <v>4.9286308419323191E-12</v>
      </c>
      <c r="AM166" s="60">
        <f t="shared" si="113"/>
        <v>288.04417668715718</v>
      </c>
      <c r="AN166" s="60">
        <f ca="1">AVERAGE(OFFSET($AM$3,0,0,'Données projet'!$E$10+1,1))-AVERAGE(OFFSET($H$3,0,0,'Données projet'!$E$10+1,1))</f>
        <v>328.36544111680962</v>
      </c>
      <c r="AO166" s="60">
        <f t="shared" si="144"/>
        <v>226.85392900722772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-9.9316821433603781E-14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296.01124173332352</v>
      </c>
      <c r="BJ166" s="60">
        <f t="shared" si="146"/>
        <v>315.50730924873733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-3.7243808037601412E-14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216.42026264996392</v>
      </c>
      <c r="CE166" s="60">
        <f t="shared" si="148"/>
        <v>216.4587454288401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385.5283976785621</v>
      </c>
      <c r="CZ166" s="60">
        <f t="shared" si="150"/>
        <v>173.19148969173838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-3.979039320256561E-13</v>
      </c>
      <c r="DP166" s="18">
        <f>DO166*VLOOKUP('Données projet'!$B$14,Paramètres!$A$1:$I$89,3,0)*VLOOKUP('Données projet'!$B$14,Paramètres!$A$1:$I$89,5,0)</f>
        <v>-4.2830379243241627E-13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543.15812193567342</v>
      </c>
      <c r="DU166" s="60">
        <f t="shared" si="152"/>
        <v>286.40725588660575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2.8421709430404007E-14</v>
      </c>
      <c r="EK166" s="18">
        <f>EJ166*VLOOKUP('Données projet'!$B$15,Paramètres!$A$1:$I$89,3,0)*VLOOKUP('Données projet'!$B$15,Paramètres!$A$1:$I$89,5,0)</f>
        <v>1.906528268591501E-14</v>
      </c>
      <c r="EL166" s="14">
        <f t="shared" si="179"/>
        <v>3.473561557570726E-13</v>
      </c>
      <c r="EM166" s="22">
        <f t="shared" si="180"/>
        <v>6.3818400528820342E-13</v>
      </c>
      <c r="EN166" s="60">
        <f t="shared" si="128"/>
        <v>288.04417668715286</v>
      </c>
      <c r="EO166" s="60">
        <f ca="1">AVERAGE(OFFSET($EN$3,0,0,'Données projet'!$E$15+1,1))-AVERAGE(OFFSET($H$3,0,0,'Données projet'!$E$15+1,1))</f>
        <v>239.52247785001794</v>
      </c>
      <c r="EP166" s="60">
        <f t="shared" si="154"/>
        <v>173.69760199651617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3.7692049333663998E-2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3.7692049333663998E-2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8">
        <f t="shared" si="110"/>
        <v>183.33333333333334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-3.979039320256561E-13</v>
      </c>
      <c r="O167" s="14">
        <f>N167*VLOOKUP('Données projet'!$B$9,Paramètres!$A$1:$I$89,3,0)*VLOOKUP('Données projet'!$B$9,Paramètres!$A$1:$I$89,5,0)</f>
        <v>-4.0347458707401528E-13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516.54532596122067</v>
      </c>
      <c r="T167" s="60">
        <f t="shared" si="142"/>
        <v>273.35778700650792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1.9895196601282805E-13</v>
      </c>
      <c r="AJ167" s="14">
        <f>AI167*VLOOKUP('Données projet'!$B$10,Paramètres!$A$1:$I$89,3,0)*VLOOKUP('Données projet'!$B$10,Paramètres!$A$1:$I$89,5,0)</f>
        <v>1.8932269085780715E-13</v>
      </c>
      <c r="AK167" s="14">
        <f t="shared" si="164"/>
        <v>2.6405131992468737E-12</v>
      </c>
      <c r="AL167" s="22">
        <f t="shared" si="165"/>
        <v>4.9286308419323191E-12</v>
      </c>
      <c r="AM167" s="60">
        <f t="shared" si="113"/>
        <v>288.13593173018563</v>
      </c>
      <c r="AN167" s="60">
        <f ca="1">AVERAGE(OFFSET($AM$3,0,0,'Données projet'!$E$10+1,1))-AVERAGE(OFFSET($H$3,0,0,'Données projet'!$E$10+1,1))</f>
        <v>328.36544111680962</v>
      </c>
      <c r="AO167" s="60">
        <f t="shared" si="144"/>
        <v>226.85392900722772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-9.9316821433603781E-14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296.01124173332352</v>
      </c>
      <c r="BJ167" s="60">
        <f t="shared" si="146"/>
        <v>315.50730924873733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-3.7243808037601412E-14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216.42026264996392</v>
      </c>
      <c r="CE167" s="60">
        <f t="shared" si="148"/>
        <v>216.4587454288401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385.5283976785621</v>
      </c>
      <c r="CZ167" s="60">
        <f t="shared" si="150"/>
        <v>173.19148969173838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-3.979039320256561E-13</v>
      </c>
      <c r="DP167" s="18">
        <f>DO167*VLOOKUP('Données projet'!$B$14,Paramètres!$A$1:$I$89,3,0)*VLOOKUP('Données projet'!$B$14,Paramètres!$A$1:$I$89,5,0)</f>
        <v>-4.2830379243241627E-13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543.15812193567342</v>
      </c>
      <c r="DU167" s="60">
        <f t="shared" si="152"/>
        <v>286.40725588660575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2.8421709430404007E-14</v>
      </c>
      <c r="EK167" s="18">
        <f>EJ167*VLOOKUP('Données projet'!$B$15,Paramètres!$A$1:$I$89,3,0)*VLOOKUP('Données projet'!$B$15,Paramètres!$A$1:$I$89,5,0)</f>
        <v>1.906528268591501E-14</v>
      </c>
      <c r="EL167" s="14">
        <f t="shared" si="179"/>
        <v>3.473561557570726E-13</v>
      </c>
      <c r="EM167" s="22">
        <f t="shared" si="180"/>
        <v>6.3818400528820342E-13</v>
      </c>
      <c r="EN167" s="60">
        <f t="shared" si="128"/>
        <v>288.13593173018131</v>
      </c>
      <c r="EO167" s="60">
        <f ca="1">AVERAGE(OFFSET($EN$3,0,0,'Données projet'!$E$15+1,1))-AVERAGE(OFFSET($H$3,0,0,'Données projet'!$E$15+1,1))</f>
        <v>239.52247785001794</v>
      </c>
      <c r="EP167" s="60">
        <f t="shared" si="154"/>
        <v>173.69760199651617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3.6661358262496224E-2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3.6661358262496224E-2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8">
        <f t="shared" si="110"/>
        <v>183.33333333333334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-3.979039320256561E-13</v>
      </c>
      <c r="O168" s="14">
        <f>N168*VLOOKUP('Données projet'!$B$9,Paramètres!$A$1:$I$89,3,0)*VLOOKUP('Données projet'!$B$9,Paramètres!$A$1:$I$89,5,0)</f>
        <v>-4.0347458707401528E-13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516.54532596122067</v>
      </c>
      <c r="T168" s="60">
        <f t="shared" si="142"/>
        <v>273.35778700650792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1.9895196601282805E-13</v>
      </c>
      <c r="AJ168" s="14">
        <f>AI168*VLOOKUP('Données projet'!$B$10,Paramètres!$A$1:$I$89,3,0)*VLOOKUP('Données projet'!$B$10,Paramètres!$A$1:$I$89,5,0)</f>
        <v>1.8932269085780715E-13</v>
      </c>
      <c r="AK168" s="14">
        <f t="shared" si="164"/>
        <v>2.6405131992468737E-12</v>
      </c>
      <c r="AL168" s="22">
        <f t="shared" si="165"/>
        <v>4.9286308419323191E-12</v>
      </c>
      <c r="AM168" s="60">
        <f t="shared" si="113"/>
        <v>288.2260950283511</v>
      </c>
      <c r="AN168" s="60">
        <f ca="1">AVERAGE(OFFSET($AM$3,0,0,'Données projet'!$E$10+1,1))-AVERAGE(OFFSET($H$3,0,0,'Données projet'!$E$10+1,1))</f>
        <v>328.36544111680962</v>
      </c>
      <c r="AO168" s="60">
        <f t="shared" si="144"/>
        <v>226.85392900722772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-9.9316821433603781E-14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296.01124173332352</v>
      </c>
      <c r="BJ168" s="60">
        <f t="shared" si="146"/>
        <v>315.50730924873733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-3.7243808037601412E-14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216.42026264996392</v>
      </c>
      <c r="CE168" s="60">
        <f t="shared" si="148"/>
        <v>216.4587454288401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385.5283976785621</v>
      </c>
      <c r="CZ168" s="60">
        <f t="shared" si="150"/>
        <v>173.19148969173838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-3.979039320256561E-13</v>
      </c>
      <c r="DP168" s="18">
        <f>DO168*VLOOKUP('Données projet'!$B$14,Paramètres!$A$1:$I$89,3,0)*VLOOKUP('Données projet'!$B$14,Paramètres!$A$1:$I$89,5,0)</f>
        <v>-4.2830379243241627E-13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543.15812193567342</v>
      </c>
      <c r="DU168" s="60">
        <f t="shared" si="152"/>
        <v>286.40725588660575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2.8421709430404007E-14</v>
      </c>
      <c r="EK168" s="18">
        <f>EJ168*VLOOKUP('Données projet'!$B$15,Paramètres!$A$1:$I$89,3,0)*VLOOKUP('Données projet'!$B$15,Paramètres!$A$1:$I$89,5,0)</f>
        <v>1.906528268591501E-14</v>
      </c>
      <c r="EL168" s="14">
        <f t="shared" si="179"/>
        <v>3.473561557570726E-13</v>
      </c>
      <c r="EM168" s="22">
        <f t="shared" si="180"/>
        <v>6.3818400528820342E-13</v>
      </c>
      <c r="EN168" s="60">
        <f t="shared" si="128"/>
        <v>288.22609502834678</v>
      </c>
      <c r="EO168" s="60">
        <f ca="1">AVERAGE(OFFSET($EN$3,0,0,'Données projet'!$E$15+1,1))-AVERAGE(OFFSET($H$3,0,0,'Données projet'!$E$15+1,1))</f>
        <v>239.52247785001794</v>
      </c>
      <c r="EP168" s="60">
        <f t="shared" si="154"/>
        <v>173.69760199651617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3.5658851492871221E-2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3.5658851492871221E-2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8">
        <f t="shared" si="110"/>
        <v>183.33333333333334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-3.979039320256561E-13</v>
      </c>
      <c r="O169" s="14">
        <f>N169*VLOOKUP('Données projet'!$B$9,Paramètres!$A$1:$I$89,3,0)*VLOOKUP('Données projet'!$B$9,Paramètres!$A$1:$I$89,5,0)</f>
        <v>-4.0347458707401528E-13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516.54532596122067</v>
      </c>
      <c r="T169" s="60">
        <f t="shared" si="142"/>
        <v>273.35778700650792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1.9895196601282805E-13</v>
      </c>
      <c r="AJ169" s="14">
        <f>AI169*VLOOKUP('Données projet'!$B$10,Paramètres!$A$1:$I$89,3,0)*VLOOKUP('Données projet'!$B$10,Paramètres!$A$1:$I$89,5,0)</f>
        <v>1.8932269085780715E-13</v>
      </c>
      <c r="AK169" s="14">
        <f t="shared" si="164"/>
        <v>2.6405131992468737E-12</v>
      </c>
      <c r="AL169" s="22">
        <f t="shared" si="165"/>
        <v>4.9286308419323191E-12</v>
      </c>
      <c r="AM169" s="60">
        <f t="shared" si="113"/>
        <v>288.31469419486837</v>
      </c>
      <c r="AN169" s="60">
        <f ca="1">AVERAGE(OFFSET($AM$3,0,0,'Données projet'!$E$10+1,1))-AVERAGE(OFFSET($H$3,0,0,'Données projet'!$E$10+1,1))</f>
        <v>328.36544111680962</v>
      </c>
      <c r="AO169" s="60">
        <f t="shared" si="144"/>
        <v>226.85392900722772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-9.9316821433603781E-14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296.01124173332352</v>
      </c>
      <c r="BJ169" s="60">
        <f t="shared" si="146"/>
        <v>315.50730924873733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-3.7243808037601412E-14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216.42026264996392</v>
      </c>
      <c r="CE169" s="60">
        <f t="shared" si="148"/>
        <v>216.4587454288401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385.5283976785621</v>
      </c>
      <c r="CZ169" s="60">
        <f t="shared" si="150"/>
        <v>173.19148969173838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-3.979039320256561E-13</v>
      </c>
      <c r="DP169" s="18">
        <f>DO169*VLOOKUP('Données projet'!$B$14,Paramètres!$A$1:$I$89,3,0)*VLOOKUP('Données projet'!$B$14,Paramètres!$A$1:$I$89,5,0)</f>
        <v>-4.2830379243241627E-13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543.15812193567342</v>
      </c>
      <c r="DU169" s="60">
        <f t="shared" si="152"/>
        <v>286.40725588660575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2.8421709430404007E-14</v>
      </c>
      <c r="EK169" s="18">
        <f>EJ169*VLOOKUP('Données projet'!$B$15,Paramètres!$A$1:$I$89,3,0)*VLOOKUP('Données projet'!$B$15,Paramètres!$A$1:$I$89,5,0)</f>
        <v>1.906528268591501E-14</v>
      </c>
      <c r="EL169" s="14">
        <f t="shared" si="179"/>
        <v>3.473561557570726E-13</v>
      </c>
      <c r="EM169" s="22">
        <f t="shared" si="180"/>
        <v>6.3818400528820342E-13</v>
      </c>
      <c r="EN169" s="60">
        <f t="shared" si="128"/>
        <v>288.31469419486405</v>
      </c>
      <c r="EO169" s="60">
        <f ca="1">AVERAGE(OFFSET($EN$3,0,0,'Données projet'!$E$15+1,1))-AVERAGE(OFFSET($H$3,0,0,'Données projet'!$E$15+1,1))</f>
        <v>239.52247785001794</v>
      </c>
      <c r="EP169" s="60">
        <f t="shared" si="154"/>
        <v>173.69760199651617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3.4683758323581157E-2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3.4683758323581157E-2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8">
        <f t="shared" si="110"/>
        <v>183.33333333333334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-3.979039320256561E-13</v>
      </c>
      <c r="O170" s="14">
        <f>N170*VLOOKUP('Données projet'!$B$9,Paramètres!$A$1:$I$89,3,0)*VLOOKUP('Données projet'!$B$9,Paramètres!$A$1:$I$89,5,0)</f>
        <v>-4.0347458707401528E-13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516.54532596122067</v>
      </c>
      <c r="T170" s="60">
        <f t="shared" si="142"/>
        <v>273.35778700650792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1.9895196601282805E-13</v>
      </c>
      <c r="AJ170" s="14">
        <f>AI170*VLOOKUP('Données projet'!$B$10,Paramètres!$A$1:$I$89,3,0)*VLOOKUP('Données projet'!$B$10,Paramètres!$A$1:$I$89,5,0)</f>
        <v>1.8932269085780715E-13</v>
      </c>
      <c r="AK170" s="14">
        <f t="shared" si="164"/>
        <v>2.6405131992468737E-12</v>
      </c>
      <c r="AL170" s="22">
        <f t="shared" si="165"/>
        <v>4.9286308419323191E-12</v>
      </c>
      <c r="AM170" s="60">
        <f t="shared" si="113"/>
        <v>288.40175636392456</v>
      </c>
      <c r="AN170" s="60">
        <f ca="1">AVERAGE(OFFSET($AM$3,0,0,'Données projet'!$E$10+1,1))-AVERAGE(OFFSET($H$3,0,0,'Données projet'!$E$10+1,1))</f>
        <v>328.36544111680962</v>
      </c>
      <c r="AO170" s="60">
        <f t="shared" si="144"/>
        <v>226.85392900722772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-9.9316821433603781E-14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296.01124173332352</v>
      </c>
      <c r="BJ170" s="60">
        <f t="shared" si="146"/>
        <v>315.50730924873733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-3.7243808037601412E-14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216.42026264996392</v>
      </c>
      <c r="CE170" s="60">
        <f t="shared" si="148"/>
        <v>216.4587454288401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385.5283976785621</v>
      </c>
      <c r="CZ170" s="60">
        <f t="shared" si="150"/>
        <v>173.19148969173838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-3.979039320256561E-13</v>
      </c>
      <c r="DP170" s="18">
        <f>DO170*VLOOKUP('Données projet'!$B$14,Paramètres!$A$1:$I$89,3,0)*VLOOKUP('Données projet'!$B$14,Paramètres!$A$1:$I$89,5,0)</f>
        <v>-4.2830379243241627E-13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543.15812193567342</v>
      </c>
      <c r="DU170" s="60">
        <f t="shared" si="152"/>
        <v>286.40725588660575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2.8421709430404007E-14</v>
      </c>
      <c r="EK170" s="18">
        <f>EJ170*VLOOKUP('Données projet'!$B$15,Paramètres!$A$1:$I$89,3,0)*VLOOKUP('Données projet'!$B$15,Paramètres!$A$1:$I$89,5,0)</f>
        <v>1.906528268591501E-14</v>
      </c>
      <c r="EL170" s="14">
        <f t="shared" si="179"/>
        <v>3.473561557570726E-13</v>
      </c>
      <c r="EM170" s="22">
        <f t="shared" si="180"/>
        <v>6.3818400528820342E-13</v>
      </c>
      <c r="EN170" s="60">
        <f t="shared" si="128"/>
        <v>288.40175636392024</v>
      </c>
      <c r="EO170" s="60">
        <f ca="1">AVERAGE(OFFSET($EN$3,0,0,'Données projet'!$E$15+1,1))-AVERAGE(OFFSET($H$3,0,0,'Données projet'!$E$15+1,1))</f>
        <v>239.52247785001794</v>
      </c>
      <c r="EP170" s="60">
        <f t="shared" si="154"/>
        <v>173.69760199651617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3.3735329128283253E-2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3.3735329128283253E-2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8">
        <f t="shared" si="110"/>
        <v>183.33333333333334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-3.979039320256561E-13</v>
      </c>
      <c r="O171" s="14">
        <f>N171*VLOOKUP('Données projet'!$B$9,Paramètres!$A$1:$I$89,3,0)*VLOOKUP('Données projet'!$B$9,Paramètres!$A$1:$I$89,5,0)</f>
        <v>-4.0347458707401528E-13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516.54532596122067</v>
      </c>
      <c r="T171" s="60">
        <f t="shared" si="142"/>
        <v>273.35778700650792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1.9895196601282805E-13</v>
      </c>
      <c r="AJ171" s="14">
        <f>AI171*VLOOKUP('Données projet'!$B$10,Paramètres!$A$1:$I$89,3,0)*VLOOKUP('Données projet'!$B$10,Paramètres!$A$1:$I$89,5,0)</f>
        <v>1.8932269085780715E-13</v>
      </c>
      <c r="AK171" s="14">
        <f t="shared" si="164"/>
        <v>2.6405131992468737E-12</v>
      </c>
      <c r="AL171" s="22">
        <f t="shared" si="165"/>
        <v>4.9286308419323191E-12</v>
      </c>
      <c r="AM171" s="60">
        <f t="shared" si="113"/>
        <v>288.48730819898947</v>
      </c>
      <c r="AN171" s="60">
        <f ca="1">AVERAGE(OFFSET($AM$3,0,0,'Données projet'!$E$10+1,1))-AVERAGE(OFFSET($H$3,0,0,'Données projet'!$E$10+1,1))</f>
        <v>328.36544111680962</v>
      </c>
      <c r="AO171" s="60">
        <f t="shared" si="144"/>
        <v>226.85392900722772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-9.9316821433603781E-14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296.01124173332352</v>
      </c>
      <c r="BJ171" s="60">
        <f t="shared" si="146"/>
        <v>315.50730924873733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-3.7243808037601412E-14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216.42026264996392</v>
      </c>
      <c r="CE171" s="60">
        <f t="shared" si="148"/>
        <v>216.4587454288401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385.5283976785621</v>
      </c>
      <c r="CZ171" s="60">
        <f t="shared" si="150"/>
        <v>173.19148969173838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-3.979039320256561E-13</v>
      </c>
      <c r="DP171" s="18">
        <f>DO171*VLOOKUP('Données projet'!$B$14,Paramètres!$A$1:$I$89,3,0)*VLOOKUP('Données projet'!$B$14,Paramètres!$A$1:$I$89,5,0)</f>
        <v>-4.2830379243241627E-13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543.15812193567342</v>
      </c>
      <c r="DU171" s="60">
        <f t="shared" si="152"/>
        <v>286.40725588660575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2.8421709430404007E-14</v>
      </c>
      <c r="EK171" s="18">
        <f>EJ171*VLOOKUP('Données projet'!$B$15,Paramètres!$A$1:$I$89,3,0)*VLOOKUP('Données projet'!$B$15,Paramètres!$A$1:$I$89,5,0)</f>
        <v>1.906528268591501E-14</v>
      </c>
      <c r="EL171" s="14">
        <f t="shared" si="179"/>
        <v>3.473561557570726E-13</v>
      </c>
      <c r="EM171" s="22">
        <f t="shared" si="180"/>
        <v>6.3818400528820342E-13</v>
      </c>
      <c r="EN171" s="60">
        <f t="shared" si="128"/>
        <v>288.48730819898515</v>
      </c>
      <c r="EO171" s="60">
        <f ca="1">AVERAGE(OFFSET($EN$3,0,0,'Données projet'!$E$15+1,1))-AVERAGE(OFFSET($H$3,0,0,'Données projet'!$E$15+1,1))</f>
        <v>239.52247785001794</v>
      </c>
      <c r="EP171" s="60">
        <f t="shared" si="154"/>
        <v>173.69760199651617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3.281283477920649E-2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3.281283477920649E-2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8">
        <f t="shared" si="110"/>
        <v>183.33333333333334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-3.979039320256561E-13</v>
      </c>
      <c r="O172" s="14">
        <f>N172*VLOOKUP('Données projet'!$B$9,Paramètres!$A$1:$I$89,3,0)*VLOOKUP('Données projet'!$B$9,Paramètres!$A$1:$I$89,5,0)</f>
        <v>-4.0347458707401528E-13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516.54532596122067</v>
      </c>
      <c r="T172" s="60">
        <f t="shared" si="142"/>
        <v>273.35778700650792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1.9895196601282805E-13</v>
      </c>
      <c r="AJ172" s="14">
        <f>AI172*VLOOKUP('Données projet'!$B$10,Paramètres!$A$1:$I$89,3,0)*VLOOKUP('Données projet'!$B$10,Paramètres!$A$1:$I$89,5,0)</f>
        <v>1.8932269085780715E-13</v>
      </c>
      <c r="AK172" s="14">
        <f t="shared" si="164"/>
        <v>2.6405131992468737E-12</v>
      </c>
      <c r="AL172" s="22">
        <f t="shared" si="165"/>
        <v>4.9286308419323191E-12</v>
      </c>
      <c r="AM172" s="60">
        <f t="shared" si="113"/>
        <v>288.57137590098137</v>
      </c>
      <c r="AN172" s="60">
        <f ca="1">AVERAGE(OFFSET($AM$3,0,0,'Données projet'!$E$10+1,1))-AVERAGE(OFFSET($H$3,0,0,'Données projet'!$E$10+1,1))</f>
        <v>328.36544111680962</v>
      </c>
      <c r="AO172" s="60">
        <f t="shared" si="144"/>
        <v>226.85392900722772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-9.9316821433603781E-14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296.01124173332352</v>
      </c>
      <c r="BJ172" s="60">
        <f t="shared" si="146"/>
        <v>315.50730924873733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-3.7243808037601412E-14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216.42026264996392</v>
      </c>
      <c r="CE172" s="60">
        <f t="shared" si="148"/>
        <v>216.4587454288401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385.5283976785621</v>
      </c>
      <c r="CZ172" s="60">
        <f t="shared" si="150"/>
        <v>173.19148969173838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-3.979039320256561E-13</v>
      </c>
      <c r="DP172" s="18">
        <f>DO172*VLOOKUP('Données projet'!$B$14,Paramètres!$A$1:$I$89,3,0)*VLOOKUP('Données projet'!$B$14,Paramètres!$A$1:$I$89,5,0)</f>
        <v>-4.2830379243241627E-13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543.15812193567342</v>
      </c>
      <c r="DU172" s="60">
        <f t="shared" si="152"/>
        <v>286.40725588660575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2.8421709430404007E-14</v>
      </c>
      <c r="EK172" s="18">
        <f>EJ172*VLOOKUP('Données projet'!$B$15,Paramètres!$A$1:$I$89,3,0)*VLOOKUP('Données projet'!$B$15,Paramètres!$A$1:$I$89,5,0)</f>
        <v>1.906528268591501E-14</v>
      </c>
      <c r="EL172" s="14">
        <f t="shared" si="179"/>
        <v>3.473561557570726E-13</v>
      </c>
      <c r="EM172" s="22">
        <f t="shared" si="180"/>
        <v>6.3818400528820342E-13</v>
      </c>
      <c r="EN172" s="60">
        <f t="shared" si="128"/>
        <v>288.57137590097705</v>
      </c>
      <c r="EO172" s="60">
        <f ca="1">AVERAGE(OFFSET($EN$3,0,0,'Données projet'!$E$15+1,1))-AVERAGE(OFFSET($H$3,0,0,'Données projet'!$E$15+1,1))</f>
        <v>239.52247785001794</v>
      </c>
      <c r="EP172" s="60">
        <f t="shared" si="154"/>
        <v>173.69760199651617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3.1915566086617102E-2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3.1915566086617102E-2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8">
        <f t="shared" si="110"/>
        <v>183.33333333333334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-3.979039320256561E-13</v>
      </c>
      <c r="O173" s="14">
        <f>N173*VLOOKUP('Données projet'!$B$9,Paramètres!$A$1:$I$89,3,0)*VLOOKUP('Données projet'!$B$9,Paramètres!$A$1:$I$89,5,0)</f>
        <v>-4.0347458707401528E-13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516.54532596122067</v>
      </c>
      <c r="T173" s="60">
        <f t="shared" si="142"/>
        <v>273.35778700650792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1.9895196601282805E-13</v>
      </c>
      <c r="AJ173" s="14">
        <f>AI173*VLOOKUP('Données projet'!$B$10,Paramètres!$A$1:$I$89,3,0)*VLOOKUP('Données projet'!$B$10,Paramètres!$A$1:$I$89,5,0)</f>
        <v>1.8932269085780715E-13</v>
      </c>
      <c r="AK173" s="14">
        <f t="shared" si="164"/>
        <v>2.6405131992468737E-12</v>
      </c>
      <c r="AL173" s="22">
        <f t="shared" si="165"/>
        <v>4.9286308419323191E-12</v>
      </c>
      <c r="AM173" s="60">
        <f t="shared" si="113"/>
        <v>288.65398521629083</v>
      </c>
      <c r="AN173" s="60">
        <f ca="1">AVERAGE(OFFSET($AM$3,0,0,'Données projet'!$E$10+1,1))-AVERAGE(OFFSET($H$3,0,0,'Données projet'!$E$10+1,1))</f>
        <v>328.36544111680962</v>
      </c>
      <c r="AO173" s="60">
        <f t="shared" si="144"/>
        <v>226.85392900722772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-9.9316821433603781E-14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296.01124173332352</v>
      </c>
      <c r="BJ173" s="60">
        <f t="shared" si="146"/>
        <v>315.50730924873733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-3.7243808037601412E-14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216.42026264996392</v>
      </c>
      <c r="CE173" s="60">
        <f t="shared" si="148"/>
        <v>216.4587454288401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385.5283976785621</v>
      </c>
      <c r="CZ173" s="60">
        <f t="shared" si="150"/>
        <v>173.19148969173838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-3.979039320256561E-13</v>
      </c>
      <c r="DP173" s="18">
        <f>DO173*VLOOKUP('Données projet'!$B$14,Paramètres!$A$1:$I$89,3,0)*VLOOKUP('Données projet'!$B$14,Paramètres!$A$1:$I$89,5,0)</f>
        <v>-4.2830379243241627E-13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543.15812193567342</v>
      </c>
      <c r="DU173" s="60">
        <f t="shared" si="152"/>
        <v>286.40725588660575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2.8421709430404007E-14</v>
      </c>
      <c r="EK173" s="18">
        <f>EJ173*VLOOKUP('Données projet'!$B$15,Paramètres!$A$1:$I$89,3,0)*VLOOKUP('Données projet'!$B$15,Paramètres!$A$1:$I$89,5,0)</f>
        <v>1.906528268591501E-14</v>
      </c>
      <c r="EL173" s="14">
        <f t="shared" si="179"/>
        <v>3.473561557570726E-13</v>
      </c>
      <c r="EM173" s="22">
        <f t="shared" si="180"/>
        <v>6.3818400528820342E-13</v>
      </c>
      <c r="EN173" s="60">
        <f t="shared" si="128"/>
        <v>288.65398521628651</v>
      </c>
      <c r="EO173" s="60">
        <f ca="1">AVERAGE(OFFSET($EN$3,0,0,'Données projet'!$E$15+1,1))-AVERAGE(OFFSET($H$3,0,0,'Données projet'!$E$15+1,1))</f>
        <v>239.52247785001794</v>
      </c>
      <c r="EP173" s="60">
        <f t="shared" si="154"/>
        <v>173.69760199651617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3.104283325361188E-2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3.104283325361188E-2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8">
        <f t="shared" si="110"/>
        <v>183.33333333333334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-3.979039320256561E-13</v>
      </c>
      <c r="O174" s="14">
        <f>N174*VLOOKUP('Données projet'!$B$9,Paramètres!$A$1:$I$89,3,0)*VLOOKUP('Données projet'!$B$9,Paramètres!$A$1:$I$89,5,0)</f>
        <v>-4.0347458707401528E-13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516.54532596122067</v>
      </c>
      <c r="T174" s="60">
        <f t="shared" si="142"/>
        <v>273.35778700650792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1.9895196601282805E-13</v>
      </c>
      <c r="AJ174" s="14">
        <f>AI174*VLOOKUP('Données projet'!$B$10,Paramètres!$A$1:$I$89,3,0)*VLOOKUP('Données projet'!$B$10,Paramètres!$A$1:$I$89,5,0)</f>
        <v>1.8932269085780715E-13</v>
      </c>
      <c r="AK174" s="14">
        <f t="shared" si="164"/>
        <v>2.6405131992468737E-12</v>
      </c>
      <c r="AL174" s="22">
        <f t="shared" si="165"/>
        <v>4.9286308419323191E-12</v>
      </c>
      <c r="AM174" s="60">
        <f t="shared" si="113"/>
        <v>288.73516144466646</v>
      </c>
      <c r="AN174" s="60">
        <f ca="1">AVERAGE(OFFSET($AM$3,0,0,'Données projet'!$E$10+1,1))-AVERAGE(OFFSET($H$3,0,0,'Données projet'!$E$10+1,1))</f>
        <v>328.36544111680962</v>
      </c>
      <c r="AO174" s="60">
        <f t="shared" si="144"/>
        <v>226.85392900722772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-9.9316821433603781E-14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296.01124173332352</v>
      </c>
      <c r="BJ174" s="60">
        <f t="shared" si="146"/>
        <v>315.50730924873733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-3.7243808037601412E-14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216.42026264996392</v>
      </c>
      <c r="CE174" s="60">
        <f t="shared" si="148"/>
        <v>216.4587454288401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385.5283976785621</v>
      </c>
      <c r="CZ174" s="60">
        <f t="shared" si="150"/>
        <v>173.19148969173838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-3.979039320256561E-13</v>
      </c>
      <c r="DP174" s="18">
        <f>DO174*VLOOKUP('Données projet'!$B$14,Paramètres!$A$1:$I$89,3,0)*VLOOKUP('Données projet'!$B$14,Paramètres!$A$1:$I$89,5,0)</f>
        <v>-4.2830379243241627E-13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543.15812193567342</v>
      </c>
      <c r="DU174" s="60">
        <f t="shared" si="152"/>
        <v>286.40725588660575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2.8421709430404007E-14</v>
      </c>
      <c r="EK174" s="18">
        <f>EJ174*VLOOKUP('Données projet'!$B$15,Paramètres!$A$1:$I$89,3,0)*VLOOKUP('Données projet'!$B$15,Paramètres!$A$1:$I$89,5,0)</f>
        <v>1.906528268591501E-14</v>
      </c>
      <c r="EL174" s="14">
        <f t="shared" si="179"/>
        <v>3.473561557570726E-13</v>
      </c>
      <c r="EM174" s="22">
        <f t="shared" si="180"/>
        <v>6.3818400528820342E-13</v>
      </c>
      <c r="EN174" s="60">
        <f t="shared" si="128"/>
        <v>288.73516144466214</v>
      </c>
      <c r="EO174" s="60">
        <f ca="1">AVERAGE(OFFSET($EN$3,0,0,'Données projet'!$E$15+1,1))-AVERAGE(OFFSET($H$3,0,0,'Données projet'!$E$15+1,1))</f>
        <v>239.52247785001794</v>
      </c>
      <c r="EP174" s="60">
        <f t="shared" si="154"/>
        <v>173.69760199651617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3.0193965345820212E-2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3.0193965345820212E-2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8">
        <f t="shared" si="110"/>
        <v>183.33333333333334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-3.979039320256561E-13</v>
      </c>
      <c r="O175" s="14">
        <f>N175*VLOOKUP('Données projet'!$B$9,Paramètres!$A$1:$I$89,3,0)*VLOOKUP('Données projet'!$B$9,Paramètres!$A$1:$I$89,5,0)</f>
        <v>-4.0347458707401528E-13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516.54532596122067</v>
      </c>
      <c r="T175" s="60">
        <f t="shared" si="142"/>
        <v>273.35778700650792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1.9895196601282805E-13</v>
      </c>
      <c r="AJ175" s="14">
        <f>AI175*VLOOKUP('Données projet'!$B$10,Paramètres!$A$1:$I$89,3,0)*VLOOKUP('Données projet'!$B$10,Paramètres!$A$1:$I$89,5,0)</f>
        <v>1.8932269085780715E-13</v>
      </c>
      <c r="AK175" s="14">
        <f t="shared" si="164"/>
        <v>2.6405131992468737E-12</v>
      </c>
      <c r="AL175" s="22">
        <f t="shared" si="165"/>
        <v>4.9286308419323191E-12</v>
      </c>
      <c r="AM175" s="60">
        <f t="shared" si="113"/>
        <v>288.81492944696259</v>
      </c>
      <c r="AN175" s="60">
        <f ca="1">AVERAGE(OFFSET($AM$3,0,0,'Données projet'!$E$10+1,1))-AVERAGE(OFFSET($H$3,0,0,'Données projet'!$E$10+1,1))</f>
        <v>328.36544111680962</v>
      </c>
      <c r="AO175" s="60">
        <f t="shared" si="144"/>
        <v>226.85392900722772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-9.9316821433603781E-14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296.01124173332352</v>
      </c>
      <c r="BJ175" s="60">
        <f t="shared" si="146"/>
        <v>315.50730924873733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-3.7243808037601412E-14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216.42026264996392</v>
      </c>
      <c r="CE175" s="60">
        <f t="shared" si="148"/>
        <v>216.4587454288401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385.5283976785621</v>
      </c>
      <c r="CZ175" s="60">
        <f t="shared" si="150"/>
        <v>173.19148969173838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-3.979039320256561E-13</v>
      </c>
      <c r="DP175" s="18">
        <f>DO175*VLOOKUP('Données projet'!$B$14,Paramètres!$A$1:$I$89,3,0)*VLOOKUP('Données projet'!$B$14,Paramètres!$A$1:$I$89,5,0)</f>
        <v>-4.2830379243241627E-13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543.15812193567342</v>
      </c>
      <c r="DU175" s="60">
        <f t="shared" si="152"/>
        <v>286.40725588660575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2.8421709430404007E-14</v>
      </c>
      <c r="EK175" s="18">
        <f>EJ175*VLOOKUP('Données projet'!$B$15,Paramètres!$A$1:$I$89,3,0)*VLOOKUP('Données projet'!$B$15,Paramètres!$A$1:$I$89,5,0)</f>
        <v>1.906528268591501E-14</v>
      </c>
      <c r="EL175" s="14">
        <f t="shared" si="179"/>
        <v>3.473561557570726E-13</v>
      </c>
      <c r="EM175" s="22">
        <f t="shared" si="180"/>
        <v>6.3818400528820342E-13</v>
      </c>
      <c r="EN175" s="60">
        <f t="shared" si="128"/>
        <v>288.81492944695827</v>
      </c>
      <c r="EO175" s="60">
        <f ca="1">AVERAGE(OFFSET($EN$3,0,0,'Données projet'!$E$15+1,1))-AVERAGE(OFFSET($H$3,0,0,'Données projet'!$E$15+1,1))</f>
        <v>239.52247785001794</v>
      </c>
      <c r="EP175" s="60">
        <f t="shared" si="154"/>
        <v>173.69760199651617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2.9368309775607129E-2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2.9368309775607129E-2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8">
        <f t="shared" si="110"/>
        <v>183.33333333333334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-3.979039320256561E-13</v>
      </c>
      <c r="O176" s="14">
        <f>N176*VLOOKUP('Données projet'!$B$9,Paramètres!$A$1:$I$89,3,0)*VLOOKUP('Données projet'!$B$9,Paramètres!$A$1:$I$89,5,0)</f>
        <v>-4.0347458707401528E-13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516.54532596122067</v>
      </c>
      <c r="T176" s="60">
        <f t="shared" si="142"/>
        <v>273.35778700650792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1.9895196601282805E-13</v>
      </c>
      <c r="AJ176" s="14">
        <f>AI176*VLOOKUP('Données projet'!$B$10,Paramètres!$A$1:$I$89,3,0)*VLOOKUP('Données projet'!$B$10,Paramètres!$A$1:$I$89,5,0)</f>
        <v>1.8932269085780715E-13</v>
      </c>
      <c r="AK176" s="14">
        <f t="shared" si="164"/>
        <v>2.6405131992468737E-12</v>
      </c>
      <c r="AL176" s="22">
        <f t="shared" si="165"/>
        <v>4.9286308419323191E-12</v>
      </c>
      <c r="AM176" s="60">
        <f t="shared" si="113"/>
        <v>288.89331365275342</v>
      </c>
      <c r="AN176" s="60">
        <f ca="1">AVERAGE(OFFSET($AM$3,0,0,'Données projet'!$E$10+1,1))-AVERAGE(OFFSET($H$3,0,0,'Données projet'!$E$10+1,1))</f>
        <v>328.36544111680962</v>
      </c>
      <c r="AO176" s="60">
        <f t="shared" si="144"/>
        <v>226.85392900722772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-9.9316821433603781E-14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296.01124173332352</v>
      </c>
      <c r="BJ176" s="60">
        <f t="shared" si="146"/>
        <v>315.50730924873733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-3.7243808037601412E-14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216.42026264996392</v>
      </c>
      <c r="CE176" s="60">
        <f t="shared" si="148"/>
        <v>216.4587454288401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385.5283976785621</v>
      </c>
      <c r="CZ176" s="60">
        <f t="shared" si="150"/>
        <v>173.19148969173838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-3.979039320256561E-13</v>
      </c>
      <c r="DP176" s="18">
        <f>DO176*VLOOKUP('Données projet'!$B$14,Paramètres!$A$1:$I$89,3,0)*VLOOKUP('Données projet'!$B$14,Paramètres!$A$1:$I$89,5,0)</f>
        <v>-4.2830379243241627E-13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543.15812193567342</v>
      </c>
      <c r="DU176" s="60">
        <f t="shared" si="152"/>
        <v>286.40725588660575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2.8421709430404007E-14</v>
      </c>
      <c r="EK176" s="18">
        <f>EJ176*VLOOKUP('Données projet'!$B$15,Paramètres!$A$1:$I$89,3,0)*VLOOKUP('Données projet'!$B$15,Paramètres!$A$1:$I$89,5,0)</f>
        <v>1.906528268591501E-14</v>
      </c>
      <c r="EL176" s="14">
        <f t="shared" si="179"/>
        <v>3.473561557570726E-13</v>
      </c>
      <c r="EM176" s="22">
        <f t="shared" si="180"/>
        <v>6.3818400528820342E-13</v>
      </c>
      <c r="EN176" s="60">
        <f t="shared" si="128"/>
        <v>288.8933136527491</v>
      </c>
      <c r="EO176" s="60">
        <f ca="1">AVERAGE(OFFSET($EN$3,0,0,'Données projet'!$E$15+1,1))-AVERAGE(OFFSET($H$3,0,0,'Données projet'!$E$15+1,1))</f>
        <v>239.52247785001794</v>
      </c>
      <c r="EP176" s="60">
        <f t="shared" si="154"/>
        <v>173.69760199651617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2.8565231800380862E-2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2.8565231800380862E-2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8">
        <f t="shared" si="110"/>
        <v>183.33333333333334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-3.979039320256561E-13</v>
      </c>
      <c r="O177" s="14">
        <f>N177*VLOOKUP('Données projet'!$B$9,Paramètres!$A$1:$I$89,3,0)*VLOOKUP('Données projet'!$B$9,Paramètres!$A$1:$I$89,5,0)</f>
        <v>-4.0347458707401528E-13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516.54532596122067</v>
      </c>
      <c r="T177" s="60">
        <f t="shared" si="142"/>
        <v>273.35778700650792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1.9895196601282805E-13</v>
      </c>
      <c r="AJ177" s="14">
        <f>AI177*VLOOKUP('Données projet'!$B$10,Paramètres!$A$1:$I$89,3,0)*VLOOKUP('Données projet'!$B$10,Paramètres!$A$1:$I$89,5,0)</f>
        <v>1.8932269085780715E-13</v>
      </c>
      <c r="AK177" s="14">
        <f t="shared" si="164"/>
        <v>2.6405131992468737E-12</v>
      </c>
      <c r="AL177" s="22">
        <f t="shared" si="165"/>
        <v>4.9286308419323191E-12</v>
      </c>
      <c r="AM177" s="60">
        <f t="shared" si="113"/>
        <v>288.97033806781468</v>
      </c>
      <c r="AN177" s="60">
        <f ca="1">AVERAGE(OFFSET($AM$3,0,0,'Données projet'!$E$10+1,1))-AVERAGE(OFFSET($H$3,0,0,'Données projet'!$E$10+1,1))</f>
        <v>328.36544111680962</v>
      </c>
      <c r="AO177" s="60">
        <f t="shared" si="144"/>
        <v>226.85392900722772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-9.9316821433603781E-14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296.01124173332352</v>
      </c>
      <c r="BJ177" s="60">
        <f t="shared" si="146"/>
        <v>315.50730924873733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-3.7243808037601412E-14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216.42026264996392</v>
      </c>
      <c r="CE177" s="60">
        <f t="shared" si="148"/>
        <v>216.4587454288401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385.5283976785621</v>
      </c>
      <c r="CZ177" s="60">
        <f t="shared" si="150"/>
        <v>173.19148969173838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-3.979039320256561E-13</v>
      </c>
      <c r="DP177" s="18">
        <f>DO177*VLOOKUP('Données projet'!$B$14,Paramètres!$A$1:$I$89,3,0)*VLOOKUP('Données projet'!$B$14,Paramètres!$A$1:$I$89,5,0)</f>
        <v>-4.2830379243241627E-13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543.15812193567342</v>
      </c>
      <c r="DU177" s="60">
        <f t="shared" si="152"/>
        <v>286.40725588660575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2.8421709430404007E-14</v>
      </c>
      <c r="EK177" s="18">
        <f>EJ177*VLOOKUP('Données projet'!$B$15,Paramètres!$A$1:$I$89,3,0)*VLOOKUP('Données projet'!$B$15,Paramètres!$A$1:$I$89,5,0)</f>
        <v>1.906528268591501E-14</v>
      </c>
      <c r="EL177" s="14">
        <f t="shared" si="179"/>
        <v>3.473561557570726E-13</v>
      </c>
      <c r="EM177" s="22">
        <f t="shared" si="180"/>
        <v>6.3818400528820342E-13</v>
      </c>
      <c r="EN177" s="60">
        <f t="shared" si="128"/>
        <v>288.97033806781036</v>
      </c>
      <c r="EO177" s="60">
        <f ca="1">AVERAGE(OFFSET($EN$3,0,0,'Données projet'!$E$15+1,1))-AVERAGE(OFFSET($H$3,0,0,'Données projet'!$E$15+1,1))</f>
        <v>239.52247785001794</v>
      </c>
      <c r="EP177" s="60">
        <f t="shared" si="154"/>
        <v>173.69760199651617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2.7784114034619195E-2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2.7784114034619195E-2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8">
        <f t="shared" si="110"/>
        <v>183.33333333333334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-3.979039320256561E-13</v>
      </c>
      <c r="O178" s="14">
        <f>N178*VLOOKUP('Données projet'!$B$9,Paramètres!$A$1:$I$89,3,0)*VLOOKUP('Données projet'!$B$9,Paramètres!$A$1:$I$89,5,0)</f>
        <v>-4.0347458707401528E-13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516.54532596122067</v>
      </c>
      <c r="T178" s="60">
        <f t="shared" si="142"/>
        <v>273.35778700650792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1.9895196601282805E-13</v>
      </c>
      <c r="AJ178" s="14">
        <f>AI178*VLOOKUP('Données projet'!$B$10,Paramètres!$A$1:$I$89,3,0)*VLOOKUP('Données projet'!$B$10,Paramètres!$A$1:$I$89,5,0)</f>
        <v>1.8932269085780715E-13</v>
      </c>
      <c r="AK178" s="14">
        <f t="shared" si="164"/>
        <v>2.6405131992468737E-12</v>
      </c>
      <c r="AL178" s="22">
        <f t="shared" si="165"/>
        <v>4.9286308419323191E-12</v>
      </c>
      <c r="AM178" s="60">
        <f t="shared" si="113"/>
        <v>289.04602628147535</v>
      </c>
      <c r="AN178" s="60">
        <f ca="1">AVERAGE(OFFSET($AM$3,0,0,'Données projet'!$E$10+1,1))-AVERAGE(OFFSET($H$3,0,0,'Données projet'!$E$10+1,1))</f>
        <v>328.36544111680962</v>
      </c>
      <c r="AO178" s="60">
        <f t="shared" si="144"/>
        <v>226.85392900722772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-9.9316821433603781E-14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296.01124173332352</v>
      </c>
      <c r="BJ178" s="60">
        <f t="shared" si="146"/>
        <v>315.50730924873733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-3.7243808037601412E-14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216.42026264996392</v>
      </c>
      <c r="CE178" s="60">
        <f t="shared" si="148"/>
        <v>216.4587454288401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385.5283976785621</v>
      </c>
      <c r="CZ178" s="60">
        <f t="shared" si="150"/>
        <v>173.19148969173838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-3.979039320256561E-13</v>
      </c>
      <c r="DP178" s="18">
        <f>DO178*VLOOKUP('Données projet'!$B$14,Paramètres!$A$1:$I$89,3,0)*VLOOKUP('Données projet'!$B$14,Paramètres!$A$1:$I$89,5,0)</f>
        <v>-4.2830379243241627E-13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543.15812193567342</v>
      </c>
      <c r="DU178" s="60">
        <f t="shared" si="152"/>
        <v>286.40725588660575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2.8421709430404007E-14</v>
      </c>
      <c r="EK178" s="18">
        <f>EJ178*VLOOKUP('Données projet'!$B$15,Paramètres!$A$1:$I$89,3,0)*VLOOKUP('Données projet'!$B$15,Paramètres!$A$1:$I$89,5,0)</f>
        <v>1.906528268591501E-14</v>
      </c>
      <c r="EL178" s="14">
        <f t="shared" si="179"/>
        <v>3.473561557570726E-13</v>
      </c>
      <c r="EM178" s="22">
        <f t="shared" si="180"/>
        <v>6.3818400528820342E-13</v>
      </c>
      <c r="EN178" s="60">
        <f t="shared" si="128"/>
        <v>289.04602628147103</v>
      </c>
      <c r="EO178" s="60">
        <f ca="1">AVERAGE(OFFSET($EN$3,0,0,'Données projet'!$E$15+1,1))-AVERAGE(OFFSET($H$3,0,0,'Données projet'!$E$15+1,1))</f>
        <v>239.52247785001794</v>
      </c>
      <c r="EP178" s="60">
        <f t="shared" si="154"/>
        <v>173.69760199651617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2.7024355975239476E-2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2.7024355975239476E-2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8">
        <f t="shared" si="110"/>
        <v>183.33333333333334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-3.979039320256561E-13</v>
      </c>
      <c r="O179" s="14">
        <f>N179*VLOOKUP('Données projet'!$B$9,Paramètres!$A$1:$I$89,3,0)*VLOOKUP('Données projet'!$B$9,Paramètres!$A$1:$I$89,5,0)</f>
        <v>-4.0347458707401528E-13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516.54532596122067</v>
      </c>
      <c r="T179" s="60">
        <f t="shared" si="142"/>
        <v>273.35778700650792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1.9895196601282805E-13</v>
      </c>
      <c r="AJ179" s="14">
        <f>AI179*VLOOKUP('Données projet'!$B$10,Paramètres!$A$1:$I$89,3,0)*VLOOKUP('Données projet'!$B$10,Paramètres!$A$1:$I$89,5,0)</f>
        <v>1.8932269085780715E-13</v>
      </c>
      <c r="AK179" s="14">
        <f t="shared" si="164"/>
        <v>2.6405131992468737E-12</v>
      </c>
      <c r="AL179" s="22">
        <f t="shared" si="165"/>
        <v>4.9286308419323191E-12</v>
      </c>
      <c r="AM179" s="60">
        <f t="shared" si="113"/>
        <v>289.12040147384255</v>
      </c>
      <c r="AN179" s="60">
        <f ca="1">AVERAGE(OFFSET($AM$3,0,0,'Données projet'!$E$10+1,1))-AVERAGE(OFFSET($H$3,0,0,'Données projet'!$E$10+1,1))</f>
        <v>328.36544111680962</v>
      </c>
      <c r="AO179" s="60">
        <f t="shared" si="144"/>
        <v>226.85392900722772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-9.9316821433603781E-14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296.01124173332352</v>
      </c>
      <c r="BJ179" s="60">
        <f t="shared" si="146"/>
        <v>315.50730924873733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-3.7243808037601412E-14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216.42026264996392</v>
      </c>
      <c r="CE179" s="60">
        <f t="shared" si="148"/>
        <v>216.4587454288401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385.5283976785621</v>
      </c>
      <c r="CZ179" s="60">
        <f t="shared" si="150"/>
        <v>173.19148969173838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-3.979039320256561E-13</v>
      </c>
      <c r="DP179" s="18">
        <f>DO179*VLOOKUP('Données projet'!$B$14,Paramètres!$A$1:$I$89,3,0)*VLOOKUP('Données projet'!$B$14,Paramètres!$A$1:$I$89,5,0)</f>
        <v>-4.2830379243241627E-13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543.15812193567342</v>
      </c>
      <c r="DU179" s="60">
        <f t="shared" si="152"/>
        <v>286.40725588660575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2.8421709430404007E-14</v>
      </c>
      <c r="EK179" s="18">
        <f>EJ179*VLOOKUP('Données projet'!$B$15,Paramètres!$A$1:$I$89,3,0)*VLOOKUP('Données projet'!$B$15,Paramètres!$A$1:$I$89,5,0)</f>
        <v>1.906528268591501E-14</v>
      </c>
      <c r="EL179" s="14">
        <f t="shared" si="179"/>
        <v>3.473561557570726E-13</v>
      </c>
      <c r="EM179" s="22">
        <f t="shared" si="180"/>
        <v>6.3818400528820342E-13</v>
      </c>
      <c r="EN179" s="60">
        <f t="shared" si="128"/>
        <v>289.12040147383823</v>
      </c>
      <c r="EO179" s="60">
        <f ca="1">AVERAGE(OFFSET($EN$3,0,0,'Données projet'!$E$15+1,1))-AVERAGE(OFFSET($H$3,0,0,'Données projet'!$E$15+1,1))</f>
        <v>239.52247785001794</v>
      </c>
      <c r="EP179" s="60">
        <f t="shared" si="154"/>
        <v>173.69760199651617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2.6285373539947438E-2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2.6285373539947438E-2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8">
        <f t="shared" si="110"/>
        <v>183.33333333333334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-3.979039320256561E-13</v>
      </c>
      <c r="O180" s="14">
        <f>N180*VLOOKUP('Données projet'!$B$9,Paramètres!$A$1:$I$89,3,0)*VLOOKUP('Données projet'!$B$9,Paramètres!$A$1:$I$89,5,0)</f>
        <v>-4.0347458707401528E-13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516.54532596122067</v>
      </c>
      <c r="T180" s="60">
        <f t="shared" si="142"/>
        <v>273.35778700650792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1.9895196601282805E-13</v>
      </c>
      <c r="AJ180" s="14">
        <f>AI180*VLOOKUP('Données projet'!$B$10,Paramètres!$A$1:$I$89,3,0)*VLOOKUP('Données projet'!$B$10,Paramètres!$A$1:$I$89,5,0)</f>
        <v>1.8932269085780715E-13</v>
      </c>
      <c r="AK180" s="14">
        <f t="shared" si="164"/>
        <v>2.6405131992468737E-12</v>
      </c>
      <c r="AL180" s="22">
        <f t="shared" si="165"/>
        <v>4.9286308419323191E-12</v>
      </c>
      <c r="AM180" s="60">
        <f t="shared" si="113"/>
        <v>289.19348642290021</v>
      </c>
      <c r="AN180" s="60">
        <f ca="1">AVERAGE(OFFSET($AM$3,0,0,'Données projet'!$E$10+1,1))-AVERAGE(OFFSET($H$3,0,0,'Données projet'!$E$10+1,1))</f>
        <v>328.36544111680962</v>
      </c>
      <c r="AO180" s="60">
        <f t="shared" si="144"/>
        <v>226.85392900722772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-9.9316821433603781E-14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296.01124173332352</v>
      </c>
      <c r="BJ180" s="60">
        <f t="shared" si="146"/>
        <v>315.50730924873733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-3.7243808037601412E-14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216.42026264996392</v>
      </c>
      <c r="CE180" s="60">
        <f t="shared" si="148"/>
        <v>216.4587454288401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385.5283976785621</v>
      </c>
      <c r="CZ180" s="60">
        <f t="shared" si="150"/>
        <v>173.19148969173838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-3.979039320256561E-13</v>
      </c>
      <c r="DP180" s="18">
        <f>DO180*VLOOKUP('Données projet'!$B$14,Paramètres!$A$1:$I$89,3,0)*VLOOKUP('Données projet'!$B$14,Paramètres!$A$1:$I$89,5,0)</f>
        <v>-4.2830379243241627E-13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543.15812193567342</v>
      </c>
      <c r="DU180" s="60">
        <f t="shared" si="152"/>
        <v>286.40725588660575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2.8421709430404007E-14</v>
      </c>
      <c r="EK180" s="18">
        <f>EJ180*VLOOKUP('Données projet'!$B$15,Paramètres!$A$1:$I$89,3,0)*VLOOKUP('Données projet'!$B$15,Paramètres!$A$1:$I$89,5,0)</f>
        <v>1.906528268591501E-14</v>
      </c>
      <c r="EL180" s="14">
        <f t="shared" si="179"/>
        <v>3.473561557570726E-13</v>
      </c>
      <c r="EM180" s="22">
        <f t="shared" si="180"/>
        <v>6.3818400528820342E-13</v>
      </c>
      <c r="EN180" s="60">
        <f t="shared" si="128"/>
        <v>289.19348642289589</v>
      </c>
      <c r="EO180" s="60">
        <f ca="1">AVERAGE(OFFSET($EN$3,0,0,'Données projet'!$E$15+1,1))-AVERAGE(OFFSET($H$3,0,0,'Données projet'!$E$15+1,1))</f>
        <v>239.52247785001794</v>
      </c>
      <c r="EP180" s="60">
        <f t="shared" si="154"/>
        <v>173.69760199651617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2.5566598618209858E-2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2.5566598618209858E-2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8">
        <f t="shared" si="110"/>
        <v>183.33333333333334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-3.979039320256561E-13</v>
      </c>
      <c r="O181" s="14">
        <f>N181*VLOOKUP('Données projet'!$B$9,Paramètres!$A$1:$I$89,3,0)*VLOOKUP('Données projet'!$B$9,Paramètres!$A$1:$I$89,5,0)</f>
        <v>-4.0347458707401528E-13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516.54532596122067</v>
      </c>
      <c r="T181" s="60">
        <f t="shared" si="142"/>
        <v>273.35778700650792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1.9895196601282805E-13</v>
      </c>
      <c r="AJ181" s="14">
        <f>AI181*VLOOKUP('Données projet'!$B$10,Paramètres!$A$1:$I$89,3,0)*VLOOKUP('Données projet'!$B$10,Paramètres!$A$1:$I$89,5,0)</f>
        <v>1.8932269085780715E-13</v>
      </c>
      <c r="AK181" s="14">
        <f t="shared" si="164"/>
        <v>2.6405131992468737E-12</v>
      </c>
      <c r="AL181" s="22">
        <f t="shared" si="165"/>
        <v>4.9286308419323191E-12</v>
      </c>
      <c r="AM181" s="60">
        <f t="shared" si="113"/>
        <v>289.26530351148511</v>
      </c>
      <c r="AN181" s="60">
        <f ca="1">AVERAGE(OFFSET($AM$3,0,0,'Données projet'!$E$10+1,1))-AVERAGE(OFFSET($H$3,0,0,'Données projet'!$E$10+1,1))</f>
        <v>328.36544111680962</v>
      </c>
      <c r="AO181" s="60">
        <f t="shared" si="144"/>
        <v>226.85392900722772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-9.9316821433603781E-14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296.01124173332352</v>
      </c>
      <c r="BJ181" s="60">
        <f t="shared" si="146"/>
        <v>315.50730924873733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-3.7243808037601412E-14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216.42026264996392</v>
      </c>
      <c r="CE181" s="60">
        <f t="shared" si="148"/>
        <v>216.4587454288401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385.5283976785621</v>
      </c>
      <c r="CZ181" s="60">
        <f t="shared" si="150"/>
        <v>173.19148969173838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-3.979039320256561E-13</v>
      </c>
      <c r="DP181" s="18">
        <f>DO181*VLOOKUP('Données projet'!$B$14,Paramètres!$A$1:$I$89,3,0)*VLOOKUP('Données projet'!$B$14,Paramètres!$A$1:$I$89,5,0)</f>
        <v>-4.2830379243241627E-13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543.15812193567342</v>
      </c>
      <c r="DU181" s="60">
        <f t="shared" si="152"/>
        <v>286.40725588660575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2.8421709430404007E-14</v>
      </c>
      <c r="EK181" s="18">
        <f>EJ181*VLOOKUP('Données projet'!$B$15,Paramètres!$A$1:$I$89,3,0)*VLOOKUP('Données projet'!$B$15,Paramètres!$A$1:$I$89,5,0)</f>
        <v>1.906528268591501E-14</v>
      </c>
      <c r="EL181" s="14">
        <f t="shared" si="179"/>
        <v>3.473561557570726E-13</v>
      </c>
      <c r="EM181" s="22">
        <f t="shared" si="180"/>
        <v>6.3818400528820342E-13</v>
      </c>
      <c r="EN181" s="60">
        <f t="shared" si="128"/>
        <v>289.26530351148079</v>
      </c>
      <c r="EO181" s="60">
        <f ca="1">AVERAGE(OFFSET($EN$3,0,0,'Données projet'!$E$15+1,1))-AVERAGE(OFFSET($H$3,0,0,'Données projet'!$E$15+1,1))</f>
        <v>239.52247785001794</v>
      </c>
      <c r="EP181" s="60">
        <f t="shared" si="154"/>
        <v>173.69760199651617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2.4867478634505922E-2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2.4867478634505922E-2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8">
        <f t="shared" si="110"/>
        <v>183.33333333333334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-3.979039320256561E-13</v>
      </c>
      <c r="O182" s="14">
        <f>N182*VLOOKUP('Données projet'!$B$9,Paramètres!$A$1:$I$89,3,0)*VLOOKUP('Données projet'!$B$9,Paramètres!$A$1:$I$89,5,0)</f>
        <v>-4.0347458707401528E-13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516.54532596122067</v>
      </c>
      <c r="T182" s="60">
        <f t="shared" si="142"/>
        <v>273.35778700650792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1.9895196601282805E-13</v>
      </c>
      <c r="AJ182" s="14">
        <f>AI182*VLOOKUP('Données projet'!$B$10,Paramètres!$A$1:$I$89,3,0)*VLOOKUP('Données projet'!$B$10,Paramètres!$A$1:$I$89,5,0)</f>
        <v>1.8932269085780715E-13</v>
      </c>
      <c r="AK182" s="14">
        <f t="shared" si="164"/>
        <v>2.6405131992468737E-12</v>
      </c>
      <c r="AL182" s="22">
        <f t="shared" si="165"/>
        <v>4.9286308419323191E-12</v>
      </c>
      <c r="AM182" s="60">
        <f t="shared" si="113"/>
        <v>289.33587473414207</v>
      </c>
      <c r="AN182" s="60">
        <f ca="1">AVERAGE(OFFSET($AM$3,0,0,'Données projet'!$E$10+1,1))-AVERAGE(OFFSET($H$3,0,0,'Données projet'!$E$10+1,1))</f>
        <v>328.36544111680962</v>
      </c>
      <c r="AO182" s="60">
        <f t="shared" si="144"/>
        <v>226.85392900722772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-9.9316821433603781E-14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296.01124173332352</v>
      </c>
      <c r="BJ182" s="60">
        <f t="shared" si="146"/>
        <v>315.50730924873733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-3.7243808037601412E-14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216.42026264996392</v>
      </c>
      <c r="CE182" s="60">
        <f t="shared" si="148"/>
        <v>216.4587454288401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385.5283976785621</v>
      </c>
      <c r="CZ182" s="60">
        <f t="shared" si="150"/>
        <v>173.19148969173838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-3.979039320256561E-13</v>
      </c>
      <c r="DP182" s="18">
        <f>DO182*VLOOKUP('Données projet'!$B$14,Paramètres!$A$1:$I$89,3,0)*VLOOKUP('Données projet'!$B$14,Paramètres!$A$1:$I$89,5,0)</f>
        <v>-4.2830379243241627E-13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543.15812193567342</v>
      </c>
      <c r="DU182" s="60">
        <f t="shared" si="152"/>
        <v>286.40725588660575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2.8421709430404007E-14</v>
      </c>
      <c r="EK182" s="18">
        <f>EJ182*VLOOKUP('Données projet'!$B$15,Paramètres!$A$1:$I$89,3,0)*VLOOKUP('Données projet'!$B$15,Paramètres!$A$1:$I$89,5,0)</f>
        <v>1.906528268591501E-14</v>
      </c>
      <c r="EL182" s="14">
        <f t="shared" si="179"/>
        <v>3.473561557570726E-13</v>
      </c>
      <c r="EM182" s="22">
        <f t="shared" si="180"/>
        <v>6.3818400528820342E-13</v>
      </c>
      <c r="EN182" s="60">
        <f t="shared" si="128"/>
        <v>289.33587473413775</v>
      </c>
      <c r="EO182" s="60">
        <f ca="1">AVERAGE(OFFSET($EN$3,0,0,'Données projet'!$E$15+1,1))-AVERAGE(OFFSET($H$3,0,0,'Données projet'!$E$15+1,1))</f>
        <v>239.52247785001794</v>
      </c>
      <c r="EP182" s="60">
        <f t="shared" si="154"/>
        <v>173.69760199651617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2.4187476123521491E-2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2.4187476123521491E-2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8">
        <f t="shared" si="110"/>
        <v>183.33333333333334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-3.979039320256561E-13</v>
      </c>
      <c r="O183" s="14">
        <f>N183*VLOOKUP('Données projet'!$B$9,Paramètres!$A$1:$I$89,3,0)*VLOOKUP('Données projet'!$B$9,Paramètres!$A$1:$I$89,5,0)</f>
        <v>-4.0347458707401528E-13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516.54532596122067</v>
      </c>
      <c r="T183" s="60">
        <f t="shared" si="142"/>
        <v>273.35778700650792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1.9895196601282805E-13</v>
      </c>
      <c r="AJ183" s="14">
        <f>AI183*VLOOKUP('Données projet'!$B$10,Paramètres!$A$1:$I$89,3,0)*VLOOKUP('Données projet'!$B$10,Paramètres!$A$1:$I$89,5,0)</f>
        <v>1.8932269085780715E-13</v>
      </c>
      <c r="AK183" s="14">
        <f t="shared" si="164"/>
        <v>2.6405131992468737E-12</v>
      </c>
      <c r="AL183" s="22">
        <f t="shared" si="165"/>
        <v>4.9286308419323191E-12</v>
      </c>
      <c r="AM183" s="60">
        <f t="shared" si="113"/>
        <v>289.40522170385958</v>
      </c>
      <c r="AN183" s="60">
        <f ca="1">AVERAGE(OFFSET($AM$3,0,0,'Données projet'!$E$10+1,1))-AVERAGE(OFFSET($H$3,0,0,'Données projet'!$E$10+1,1))</f>
        <v>328.36544111680962</v>
      </c>
      <c r="AO183" s="60">
        <f t="shared" si="144"/>
        <v>226.85392900722772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-9.9316821433603781E-14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296.01124173332352</v>
      </c>
      <c r="BJ183" s="60">
        <f t="shared" si="146"/>
        <v>315.50730924873733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-3.7243808037601412E-14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216.42026264996392</v>
      </c>
      <c r="CE183" s="60">
        <f t="shared" si="148"/>
        <v>216.4587454288401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385.5283976785621</v>
      </c>
      <c r="CZ183" s="60">
        <f t="shared" si="150"/>
        <v>173.19148969173838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-3.979039320256561E-13</v>
      </c>
      <c r="DP183" s="18">
        <f>DO183*VLOOKUP('Données projet'!$B$14,Paramètres!$A$1:$I$89,3,0)*VLOOKUP('Données projet'!$B$14,Paramètres!$A$1:$I$89,5,0)</f>
        <v>-4.2830379243241627E-13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543.15812193567342</v>
      </c>
      <c r="DU183" s="60">
        <f t="shared" si="152"/>
        <v>286.40725588660575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2.8421709430404007E-14</v>
      </c>
      <c r="EK183" s="18">
        <f>EJ183*VLOOKUP('Données projet'!$B$15,Paramètres!$A$1:$I$89,3,0)*VLOOKUP('Données projet'!$B$15,Paramètres!$A$1:$I$89,5,0)</f>
        <v>1.906528268591501E-14</v>
      </c>
      <c r="EL183" s="14">
        <f t="shared" si="179"/>
        <v>3.473561557570726E-13</v>
      </c>
      <c r="EM183" s="22">
        <f t="shared" si="180"/>
        <v>6.3818400528820342E-13</v>
      </c>
      <c r="EN183" s="60">
        <f t="shared" si="128"/>
        <v>289.40522170385526</v>
      </c>
      <c r="EO183" s="60">
        <f ca="1">AVERAGE(OFFSET($EN$3,0,0,'Données projet'!$E$15+1,1))-AVERAGE(OFFSET($H$3,0,0,'Données projet'!$E$15+1,1))</f>
        <v>239.52247785001794</v>
      </c>
      <c r="EP183" s="60">
        <f t="shared" si="154"/>
        <v>173.69760199651617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2.3526068316959709E-2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2.3526068316959709E-2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8">
        <f t="shared" si="110"/>
        <v>183.33333333333334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-3.979039320256561E-13</v>
      </c>
      <c r="O184" s="14">
        <f>N184*VLOOKUP('Données projet'!$B$9,Paramètres!$A$1:$I$89,3,0)*VLOOKUP('Données projet'!$B$9,Paramètres!$A$1:$I$89,5,0)</f>
        <v>-4.0347458707401528E-13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516.54532596122067</v>
      </c>
      <c r="T184" s="60">
        <f t="shared" si="142"/>
        <v>273.35778700650792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1.9895196601282805E-13</v>
      </c>
      <c r="AJ184" s="14">
        <f>AI184*VLOOKUP('Données projet'!$B$10,Paramètres!$A$1:$I$89,3,0)*VLOOKUP('Données projet'!$B$10,Paramètres!$A$1:$I$89,5,0)</f>
        <v>1.8932269085780715E-13</v>
      </c>
      <c r="AK184" s="14">
        <f t="shared" si="164"/>
        <v>2.6405131992468737E-12</v>
      </c>
      <c r="AL184" s="22">
        <f t="shared" si="165"/>
        <v>4.9286308419323191E-12</v>
      </c>
      <c r="AM184" s="60">
        <f t="shared" si="113"/>
        <v>289.47336565868903</v>
      </c>
      <c r="AN184" s="60">
        <f ca="1">AVERAGE(OFFSET($AM$3,0,0,'Données projet'!$E$10+1,1))-AVERAGE(OFFSET($H$3,0,0,'Données projet'!$E$10+1,1))</f>
        <v>328.36544111680962</v>
      </c>
      <c r="AO184" s="60">
        <f t="shared" si="144"/>
        <v>226.85392900722772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-9.9316821433603781E-14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296.01124173332352</v>
      </c>
      <c r="BJ184" s="60">
        <f t="shared" si="146"/>
        <v>315.50730924873733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-3.7243808037601412E-14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216.42026264996392</v>
      </c>
      <c r="CE184" s="60">
        <f t="shared" si="148"/>
        <v>216.4587454288401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385.5283976785621</v>
      </c>
      <c r="CZ184" s="60">
        <f t="shared" si="150"/>
        <v>173.19148969173838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-3.979039320256561E-13</v>
      </c>
      <c r="DP184" s="18">
        <f>DO184*VLOOKUP('Données projet'!$B$14,Paramètres!$A$1:$I$89,3,0)*VLOOKUP('Données projet'!$B$14,Paramètres!$A$1:$I$89,5,0)</f>
        <v>-4.2830379243241627E-13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543.15812193567342</v>
      </c>
      <c r="DU184" s="60">
        <f t="shared" si="152"/>
        <v>286.40725588660575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2.8421709430404007E-14</v>
      </c>
      <c r="EK184" s="18">
        <f>EJ184*VLOOKUP('Données projet'!$B$15,Paramètres!$A$1:$I$89,3,0)*VLOOKUP('Données projet'!$B$15,Paramètres!$A$1:$I$89,5,0)</f>
        <v>1.906528268591501E-14</v>
      </c>
      <c r="EL184" s="14">
        <f t="shared" si="179"/>
        <v>3.473561557570726E-13</v>
      </c>
      <c r="EM184" s="22">
        <f t="shared" si="180"/>
        <v>6.3818400528820342E-13</v>
      </c>
      <c r="EN184" s="60">
        <f t="shared" si="128"/>
        <v>289.47336565868471</v>
      </c>
      <c r="EO184" s="60">
        <f ca="1">AVERAGE(OFFSET($EN$3,0,0,'Données projet'!$E$15+1,1))-AVERAGE(OFFSET($H$3,0,0,'Données projet'!$E$15+1,1))</f>
        <v>239.52247785001794</v>
      </c>
      <c r="EP184" s="60">
        <f t="shared" si="154"/>
        <v>173.69760199651617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2.2882746741650282E-2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2.2882746741650282E-2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8">
        <f t="shared" si="110"/>
        <v>183.33333333333334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-3.979039320256561E-13</v>
      </c>
      <c r="O185" s="14">
        <f>N185*VLOOKUP('Données projet'!$B$9,Paramètres!$A$1:$I$89,3,0)*VLOOKUP('Données projet'!$B$9,Paramètres!$A$1:$I$89,5,0)</f>
        <v>-4.0347458707401528E-13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516.54532596122067</v>
      </c>
      <c r="T185" s="60">
        <f t="shared" si="142"/>
        <v>273.35778700650792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1.9895196601282805E-13</v>
      </c>
      <c r="AJ185" s="14">
        <f>AI185*VLOOKUP('Données projet'!$B$10,Paramètres!$A$1:$I$89,3,0)*VLOOKUP('Données projet'!$B$10,Paramètres!$A$1:$I$89,5,0)</f>
        <v>1.8932269085780715E-13</v>
      </c>
      <c r="AK185" s="14">
        <f t="shared" si="164"/>
        <v>2.6405131992468737E-12</v>
      </c>
      <c r="AL185" s="22">
        <f t="shared" si="165"/>
        <v>4.9286308419323191E-12</v>
      </c>
      <c r="AM185" s="60">
        <f t="shared" si="113"/>
        <v>289.54032746824936</v>
      </c>
      <c r="AN185" s="60">
        <f ca="1">AVERAGE(OFFSET($AM$3,0,0,'Données projet'!$E$10+1,1))-AVERAGE(OFFSET($H$3,0,0,'Données projet'!$E$10+1,1))</f>
        <v>328.36544111680962</v>
      </c>
      <c r="AO185" s="60">
        <f t="shared" si="144"/>
        <v>226.85392900722772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-9.9316821433603781E-14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296.01124173332352</v>
      </c>
      <c r="BJ185" s="60">
        <f t="shared" si="146"/>
        <v>315.50730924873733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-3.7243808037601412E-14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216.42026264996392</v>
      </c>
      <c r="CE185" s="60">
        <f t="shared" si="148"/>
        <v>216.4587454288401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385.5283976785621</v>
      </c>
      <c r="CZ185" s="60">
        <f t="shared" si="150"/>
        <v>173.19148969173838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-3.979039320256561E-13</v>
      </c>
      <c r="DP185" s="18">
        <f>DO185*VLOOKUP('Données projet'!$B$14,Paramètres!$A$1:$I$89,3,0)*VLOOKUP('Données projet'!$B$14,Paramètres!$A$1:$I$89,5,0)</f>
        <v>-4.2830379243241627E-13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543.15812193567342</v>
      </c>
      <c r="DU185" s="60">
        <f t="shared" si="152"/>
        <v>286.40725588660575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2.8421709430404007E-14</v>
      </c>
      <c r="EK185" s="18">
        <f>EJ185*VLOOKUP('Données projet'!$B$15,Paramètres!$A$1:$I$89,3,0)*VLOOKUP('Données projet'!$B$15,Paramètres!$A$1:$I$89,5,0)</f>
        <v>1.906528268591501E-14</v>
      </c>
      <c r="EL185" s="14">
        <f t="shared" si="179"/>
        <v>3.473561557570726E-13</v>
      </c>
      <c r="EM185" s="22">
        <f t="shared" si="180"/>
        <v>6.3818400528820342E-13</v>
      </c>
      <c r="EN185" s="60">
        <f t="shared" si="128"/>
        <v>289.54032746824504</v>
      </c>
      <c r="EO185" s="60">
        <f ca="1">AVERAGE(OFFSET($EN$3,0,0,'Données projet'!$E$15+1,1))-AVERAGE(OFFSET($H$3,0,0,'Données projet'!$E$15+1,1))</f>
        <v>239.52247785001794</v>
      </c>
      <c r="EP185" s="60">
        <f t="shared" si="154"/>
        <v>173.69760199651617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2.2257016828648502E-2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2.2257016828648502E-2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8">
        <f t="shared" si="110"/>
        <v>183.33333333333334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-3.979039320256561E-13</v>
      </c>
      <c r="O186" s="14">
        <f>N186*VLOOKUP('Données projet'!$B$9,Paramètres!$A$1:$I$89,3,0)*VLOOKUP('Données projet'!$B$9,Paramètres!$A$1:$I$89,5,0)</f>
        <v>-4.0347458707401528E-13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516.54532596122067</v>
      </c>
      <c r="T186" s="60">
        <f t="shared" si="142"/>
        <v>273.35778700650792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1.9895196601282805E-13</v>
      </c>
      <c r="AJ186" s="14">
        <f>AI186*VLOOKUP('Données projet'!$B$10,Paramètres!$A$1:$I$89,3,0)*VLOOKUP('Données projet'!$B$10,Paramètres!$A$1:$I$89,5,0)</f>
        <v>1.8932269085780715E-13</v>
      </c>
      <c r="AK186" s="14">
        <f t="shared" si="164"/>
        <v>2.6405131992468737E-12</v>
      </c>
      <c r="AL186" s="22">
        <f t="shared" si="165"/>
        <v>4.9286308419323191E-12</v>
      </c>
      <c r="AM186" s="60">
        <f t="shared" si="113"/>
        <v>289.6061276401179</v>
      </c>
      <c r="AN186" s="60">
        <f ca="1">AVERAGE(OFFSET($AM$3,0,0,'Données projet'!$E$10+1,1))-AVERAGE(OFFSET($H$3,0,0,'Données projet'!$E$10+1,1))</f>
        <v>328.36544111680962</v>
      </c>
      <c r="AO186" s="60">
        <f t="shared" si="144"/>
        <v>226.85392900722772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-9.9316821433603781E-14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296.01124173332352</v>
      </c>
      <c r="BJ186" s="60">
        <f t="shared" si="146"/>
        <v>315.50730924873733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-3.7243808037601412E-14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216.42026264996392</v>
      </c>
      <c r="CE186" s="60">
        <f t="shared" si="148"/>
        <v>216.4587454288401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385.5283976785621</v>
      </c>
      <c r="CZ186" s="60">
        <f t="shared" si="150"/>
        <v>173.19148969173838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-3.979039320256561E-13</v>
      </c>
      <c r="DP186" s="18">
        <f>DO186*VLOOKUP('Données projet'!$B$14,Paramètres!$A$1:$I$89,3,0)*VLOOKUP('Données projet'!$B$14,Paramètres!$A$1:$I$89,5,0)</f>
        <v>-4.2830379243241627E-13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543.15812193567342</v>
      </c>
      <c r="DU186" s="60">
        <f t="shared" si="152"/>
        <v>286.40725588660575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2.8421709430404007E-14</v>
      </c>
      <c r="EK186" s="18">
        <f>EJ186*VLOOKUP('Données projet'!$B$15,Paramètres!$A$1:$I$89,3,0)*VLOOKUP('Données projet'!$B$15,Paramètres!$A$1:$I$89,5,0)</f>
        <v>1.906528268591501E-14</v>
      </c>
      <c r="EL186" s="14">
        <f t="shared" si="179"/>
        <v>3.473561557570726E-13</v>
      </c>
      <c r="EM186" s="22">
        <f t="shared" si="180"/>
        <v>6.3818400528820342E-13</v>
      </c>
      <c r="EN186" s="60">
        <f t="shared" si="128"/>
        <v>289.60612764011358</v>
      </c>
      <c r="EO186" s="60">
        <f ca="1">AVERAGE(OFFSET($EN$3,0,0,'Données projet'!$E$15+1,1))-AVERAGE(OFFSET($H$3,0,0,'Données projet'!$E$15+1,1))</f>
        <v>239.52247785001794</v>
      </c>
      <c r="EP186" s="60">
        <f t="shared" si="154"/>
        <v>173.69760199651617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2.1648397533023462E-2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2.1648397533023462E-2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8">
        <f t="shared" si="110"/>
        <v>183.33333333333334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-3.979039320256561E-13</v>
      </c>
      <c r="O187" s="14">
        <f>N187*VLOOKUP('Données projet'!$B$9,Paramètres!$A$1:$I$89,3,0)*VLOOKUP('Données projet'!$B$9,Paramètres!$A$1:$I$89,5,0)</f>
        <v>-4.0347458707401528E-13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516.54532596122067</v>
      </c>
      <c r="T187" s="60">
        <f t="shared" si="142"/>
        <v>273.35778700650792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1.9895196601282805E-13</v>
      </c>
      <c r="AJ187" s="14">
        <f>AI187*VLOOKUP('Données projet'!$B$10,Paramètres!$A$1:$I$89,3,0)*VLOOKUP('Données projet'!$B$10,Paramètres!$A$1:$I$89,5,0)</f>
        <v>1.8932269085780715E-13</v>
      </c>
      <c r="AK187" s="14">
        <f t="shared" si="164"/>
        <v>2.6405131992468737E-12</v>
      </c>
      <c r="AL187" s="22">
        <f t="shared" si="165"/>
        <v>4.9286308419323191E-12</v>
      </c>
      <c r="AM187" s="60">
        <f t="shared" si="113"/>
        <v>289.67078632611168</v>
      </c>
      <c r="AN187" s="60">
        <f ca="1">AVERAGE(OFFSET($AM$3,0,0,'Données projet'!$E$10+1,1))-AVERAGE(OFFSET($H$3,0,0,'Données projet'!$E$10+1,1))</f>
        <v>328.36544111680962</v>
      </c>
      <c r="AO187" s="60">
        <f t="shared" si="144"/>
        <v>226.85392900722772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-9.9316821433603781E-14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296.01124173332352</v>
      </c>
      <c r="BJ187" s="60">
        <f t="shared" si="146"/>
        <v>315.50730924873733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-3.7243808037601412E-14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216.42026264996392</v>
      </c>
      <c r="CE187" s="60">
        <f t="shared" si="148"/>
        <v>216.4587454288401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385.5283976785621</v>
      </c>
      <c r="CZ187" s="60">
        <f t="shared" si="150"/>
        <v>173.19148969173838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-3.979039320256561E-13</v>
      </c>
      <c r="DP187" s="18">
        <f>DO187*VLOOKUP('Données projet'!$B$14,Paramètres!$A$1:$I$89,3,0)*VLOOKUP('Données projet'!$B$14,Paramètres!$A$1:$I$89,5,0)</f>
        <v>-4.2830379243241627E-13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543.15812193567342</v>
      </c>
      <c r="DU187" s="60">
        <f t="shared" si="152"/>
        <v>286.40725588660575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2.8421709430404007E-14</v>
      </c>
      <c r="EK187" s="18">
        <f>EJ187*VLOOKUP('Données projet'!$B$15,Paramètres!$A$1:$I$89,3,0)*VLOOKUP('Données projet'!$B$15,Paramètres!$A$1:$I$89,5,0)</f>
        <v>1.906528268591501E-14</v>
      </c>
      <c r="EL187" s="14">
        <f t="shared" si="179"/>
        <v>3.473561557570726E-13</v>
      </c>
      <c r="EM187" s="22">
        <f t="shared" si="180"/>
        <v>6.3818400528820342E-13</v>
      </c>
      <c r="EN187" s="60">
        <f t="shared" si="128"/>
        <v>289.67078632610736</v>
      </c>
      <c r="EO187" s="60">
        <f ca="1">AVERAGE(OFFSET($EN$3,0,0,'Données projet'!$E$15+1,1))-AVERAGE(OFFSET($H$3,0,0,'Données projet'!$E$15+1,1))</f>
        <v>239.52247785001794</v>
      </c>
      <c r="EP187" s="60">
        <f t="shared" si="154"/>
        <v>173.69760199651617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2.1056420964043188E-2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2.1056420964043188E-2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8">
        <f t="shared" si="110"/>
        <v>183.33333333333334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-3.979039320256561E-13</v>
      </c>
      <c r="O188" s="14">
        <f>N188*VLOOKUP('Données projet'!$B$9,Paramètres!$A$1:$I$89,3,0)*VLOOKUP('Données projet'!$B$9,Paramètres!$A$1:$I$89,5,0)</f>
        <v>-4.0347458707401528E-13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516.54532596122067</v>
      </c>
      <c r="T188" s="60">
        <f t="shared" si="142"/>
        <v>273.35778700650792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1.9895196601282805E-13</v>
      </c>
      <c r="AJ188" s="14">
        <f>AI188*VLOOKUP('Données projet'!$B$10,Paramètres!$A$1:$I$89,3,0)*VLOOKUP('Données projet'!$B$10,Paramètres!$A$1:$I$89,5,0)</f>
        <v>1.8932269085780715E-13</v>
      </c>
      <c r="AK188" s="14">
        <f t="shared" si="164"/>
        <v>2.6405131992468737E-12</v>
      </c>
      <c r="AL188" s="22">
        <f t="shared" si="165"/>
        <v>4.9286308419323191E-12</v>
      </c>
      <c r="AM188" s="60">
        <f t="shared" si="113"/>
        <v>289.73432332845869</v>
      </c>
      <c r="AN188" s="60">
        <f ca="1">AVERAGE(OFFSET($AM$3,0,0,'Données projet'!$E$10+1,1))-AVERAGE(OFFSET($H$3,0,0,'Données projet'!$E$10+1,1))</f>
        <v>328.36544111680962</v>
      </c>
      <c r="AO188" s="60">
        <f t="shared" si="144"/>
        <v>226.85392900722772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-9.9316821433603781E-14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296.01124173332352</v>
      </c>
      <c r="BJ188" s="60">
        <f t="shared" si="146"/>
        <v>315.50730924873733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-3.7243808037601412E-14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216.42026264996392</v>
      </c>
      <c r="CE188" s="60">
        <f t="shared" si="148"/>
        <v>216.4587454288401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385.5283976785621</v>
      </c>
      <c r="CZ188" s="60">
        <f t="shared" si="150"/>
        <v>173.19148969173838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-3.979039320256561E-13</v>
      </c>
      <c r="DP188" s="18">
        <f>DO188*VLOOKUP('Données projet'!$B$14,Paramètres!$A$1:$I$89,3,0)*VLOOKUP('Données projet'!$B$14,Paramètres!$A$1:$I$89,5,0)</f>
        <v>-4.2830379243241627E-13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543.15812193567342</v>
      </c>
      <c r="DU188" s="60">
        <f t="shared" si="152"/>
        <v>286.40725588660575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2.8421709430404007E-14</v>
      </c>
      <c r="EK188" s="18">
        <f>EJ188*VLOOKUP('Données projet'!$B$15,Paramètres!$A$1:$I$89,3,0)*VLOOKUP('Données projet'!$B$15,Paramètres!$A$1:$I$89,5,0)</f>
        <v>1.906528268591501E-14</v>
      </c>
      <c r="EL188" s="14">
        <f t="shared" si="179"/>
        <v>3.473561557570726E-13</v>
      </c>
      <c r="EM188" s="22">
        <f t="shared" si="180"/>
        <v>6.3818400528820342E-13</v>
      </c>
      <c r="EN188" s="60">
        <f t="shared" si="128"/>
        <v>289.73432332845437</v>
      </c>
      <c r="EO188" s="60">
        <f ca="1">AVERAGE(OFFSET($EN$3,0,0,'Données projet'!$E$15+1,1))-AVERAGE(OFFSET($H$3,0,0,'Données projet'!$E$15+1,1))</f>
        <v>239.52247785001794</v>
      </c>
      <c r="EP188" s="60">
        <f t="shared" si="154"/>
        <v>173.69760199651617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2.0480632025472373E-2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2.0480632025472373E-2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8">
        <f t="shared" si="110"/>
        <v>183.33333333333334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-3.979039320256561E-13</v>
      </c>
      <c r="O189" s="14">
        <f>N189*VLOOKUP('Données projet'!$B$9,Paramètres!$A$1:$I$89,3,0)*VLOOKUP('Données projet'!$B$9,Paramètres!$A$1:$I$89,5,0)</f>
        <v>-4.0347458707401528E-13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516.54532596122067</v>
      </c>
      <c r="T189" s="60">
        <f t="shared" si="142"/>
        <v>273.35778700650792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1.9895196601282805E-13</v>
      </c>
      <c r="AJ189" s="14">
        <f>AI189*VLOOKUP('Données projet'!$B$10,Paramètres!$A$1:$I$89,3,0)*VLOOKUP('Données projet'!$B$10,Paramètres!$A$1:$I$89,5,0)</f>
        <v>1.8932269085780715E-13</v>
      </c>
      <c r="AK189" s="14">
        <f t="shared" si="164"/>
        <v>2.6405131992468737E-12</v>
      </c>
      <c r="AL189" s="22">
        <f t="shared" si="165"/>
        <v>4.9286308419323191E-12</v>
      </c>
      <c r="AM189" s="60">
        <f t="shared" si="113"/>
        <v>289.79675810586235</v>
      </c>
      <c r="AN189" s="60">
        <f ca="1">AVERAGE(OFFSET($AM$3,0,0,'Données projet'!$E$10+1,1))-AVERAGE(OFFSET($H$3,0,0,'Données projet'!$E$10+1,1))</f>
        <v>328.36544111680962</v>
      </c>
      <c r="AO189" s="60">
        <f t="shared" si="144"/>
        <v>226.85392900722772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-9.9316821433603781E-14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296.01124173332352</v>
      </c>
      <c r="BJ189" s="60">
        <f t="shared" si="146"/>
        <v>315.50730924873733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-3.7243808037601412E-14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216.42026264996392</v>
      </c>
      <c r="CE189" s="60">
        <f t="shared" si="148"/>
        <v>216.4587454288401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385.5283976785621</v>
      </c>
      <c r="CZ189" s="60">
        <f t="shared" si="150"/>
        <v>173.19148969173838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-3.979039320256561E-13</v>
      </c>
      <c r="DP189" s="18">
        <f>DO189*VLOOKUP('Données projet'!$B$14,Paramètres!$A$1:$I$89,3,0)*VLOOKUP('Données projet'!$B$14,Paramètres!$A$1:$I$89,5,0)</f>
        <v>-4.2830379243241627E-13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543.15812193567342</v>
      </c>
      <c r="DU189" s="60">
        <f t="shared" si="152"/>
        <v>286.40725588660575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2.8421709430404007E-14</v>
      </c>
      <c r="EK189" s="18">
        <f>EJ189*VLOOKUP('Données projet'!$B$15,Paramètres!$A$1:$I$89,3,0)*VLOOKUP('Données projet'!$B$15,Paramètres!$A$1:$I$89,5,0)</f>
        <v>1.906528268591501E-14</v>
      </c>
      <c r="EL189" s="14">
        <f t="shared" si="179"/>
        <v>3.473561557570726E-13</v>
      </c>
      <c r="EM189" s="22">
        <f t="shared" si="180"/>
        <v>6.3818400528820342E-13</v>
      </c>
      <c r="EN189" s="60">
        <f t="shared" si="128"/>
        <v>289.79675810585803</v>
      </c>
      <c r="EO189" s="60">
        <f ca="1">AVERAGE(OFFSET($EN$3,0,0,'Données projet'!$E$15+1,1))-AVERAGE(OFFSET($H$3,0,0,'Données projet'!$E$15+1,1))</f>
        <v>239.52247785001794</v>
      </c>
      <c r="EP189" s="60">
        <f t="shared" si="154"/>
        <v>173.69760199651617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1.99205880657062E-2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1.99205880657062E-2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8">
        <f t="shared" si="110"/>
        <v>183.33333333333334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-3.979039320256561E-13</v>
      </c>
      <c r="O190" s="14">
        <f>N190*VLOOKUP('Données projet'!$B$9,Paramètres!$A$1:$I$89,3,0)*VLOOKUP('Données projet'!$B$9,Paramètres!$A$1:$I$89,5,0)</f>
        <v>-4.0347458707401528E-13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516.54532596122067</v>
      </c>
      <c r="T190" s="60">
        <f t="shared" si="142"/>
        <v>273.35778700650792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1.9895196601282805E-13</v>
      </c>
      <c r="AJ190" s="14">
        <f>AI190*VLOOKUP('Données projet'!$B$10,Paramètres!$A$1:$I$89,3,0)*VLOOKUP('Données projet'!$B$10,Paramètres!$A$1:$I$89,5,0)</f>
        <v>1.8932269085780715E-13</v>
      </c>
      <c r="AK190" s="14">
        <f t="shared" si="164"/>
        <v>2.6405131992468737E-12</v>
      </c>
      <c r="AL190" s="22">
        <f t="shared" si="165"/>
        <v>4.9286308419323191E-12</v>
      </c>
      <c r="AM190" s="60">
        <f t="shared" si="113"/>
        <v>289.85810977946136</v>
      </c>
      <c r="AN190" s="60">
        <f ca="1">AVERAGE(OFFSET($AM$3,0,0,'Données projet'!$E$10+1,1))-AVERAGE(OFFSET($H$3,0,0,'Données projet'!$E$10+1,1))</f>
        <v>328.36544111680962</v>
      </c>
      <c r="AO190" s="60">
        <f t="shared" si="144"/>
        <v>226.85392900722772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-9.9316821433603781E-14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296.01124173332352</v>
      </c>
      <c r="BJ190" s="60">
        <f t="shared" si="146"/>
        <v>315.50730924873733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-3.7243808037601412E-14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216.42026264996392</v>
      </c>
      <c r="CE190" s="60">
        <f t="shared" si="148"/>
        <v>216.4587454288401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385.5283976785621</v>
      </c>
      <c r="CZ190" s="60">
        <f t="shared" si="150"/>
        <v>173.19148969173838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-3.979039320256561E-13</v>
      </c>
      <c r="DP190" s="18">
        <f>DO190*VLOOKUP('Données projet'!$B$14,Paramètres!$A$1:$I$89,3,0)*VLOOKUP('Données projet'!$B$14,Paramètres!$A$1:$I$89,5,0)</f>
        <v>-4.2830379243241627E-13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543.15812193567342</v>
      </c>
      <c r="DU190" s="60">
        <f t="shared" si="152"/>
        <v>286.40725588660575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2.8421709430404007E-14</v>
      </c>
      <c r="EK190" s="18">
        <f>EJ190*VLOOKUP('Données projet'!$B$15,Paramètres!$A$1:$I$89,3,0)*VLOOKUP('Données projet'!$B$15,Paramètres!$A$1:$I$89,5,0)</f>
        <v>1.906528268591501E-14</v>
      </c>
      <c r="EL190" s="14">
        <f t="shared" si="179"/>
        <v>3.473561557570726E-13</v>
      </c>
      <c r="EM190" s="22">
        <f t="shared" si="180"/>
        <v>6.3818400528820342E-13</v>
      </c>
      <c r="EN190" s="60">
        <f t="shared" si="128"/>
        <v>289.85810977945704</v>
      </c>
      <c r="EO190" s="60">
        <f ca="1">AVERAGE(OFFSET($EN$3,0,0,'Données projet'!$E$15+1,1))-AVERAGE(OFFSET($H$3,0,0,'Données projet'!$E$15+1,1))</f>
        <v>239.52247785001794</v>
      </c>
      <c r="EP190" s="60">
        <f t="shared" si="154"/>
        <v>173.69760199651617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1.9375858537471268E-2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1.9375858537471268E-2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8">
        <f t="shared" si="110"/>
        <v>183.33333333333334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-3.979039320256561E-13</v>
      </c>
      <c r="O191" s="14">
        <f>N191*VLOOKUP('Données projet'!$B$9,Paramètres!$A$1:$I$89,3,0)*VLOOKUP('Données projet'!$B$9,Paramètres!$A$1:$I$89,5,0)</f>
        <v>-4.0347458707401528E-13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516.54532596122067</v>
      </c>
      <c r="T191" s="60">
        <f t="shared" si="142"/>
        <v>273.35778700650792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1.9895196601282805E-13</v>
      </c>
      <c r="AJ191" s="14">
        <f>AI191*VLOOKUP('Données projet'!$B$10,Paramètres!$A$1:$I$89,3,0)*VLOOKUP('Données projet'!$B$10,Paramètres!$A$1:$I$89,5,0)</f>
        <v>1.8932269085780715E-13</v>
      </c>
      <c r="AK191" s="14">
        <f t="shared" si="164"/>
        <v>2.6405131992468737E-12</v>
      </c>
      <c r="AL191" s="22">
        <f t="shared" si="165"/>
        <v>4.9286308419323191E-12</v>
      </c>
      <c r="AM191" s="60">
        <f t="shared" si="113"/>
        <v>289.91839713868518</v>
      </c>
      <c r="AN191" s="60">
        <f ca="1">AVERAGE(OFFSET($AM$3,0,0,'Données projet'!$E$10+1,1))-AVERAGE(OFFSET($H$3,0,0,'Données projet'!$E$10+1,1))</f>
        <v>328.36544111680962</v>
      </c>
      <c r="AO191" s="60">
        <f t="shared" si="144"/>
        <v>226.85392900722772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-9.9316821433603781E-14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296.01124173332352</v>
      </c>
      <c r="BJ191" s="60">
        <f t="shared" si="146"/>
        <v>315.50730924873733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-3.7243808037601412E-14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216.42026264996392</v>
      </c>
      <c r="CE191" s="60">
        <f t="shared" si="148"/>
        <v>216.4587454288401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385.5283976785621</v>
      </c>
      <c r="CZ191" s="60">
        <f t="shared" si="150"/>
        <v>173.19148969173838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-3.979039320256561E-13</v>
      </c>
      <c r="DP191" s="18">
        <f>DO191*VLOOKUP('Données projet'!$B$14,Paramètres!$A$1:$I$89,3,0)*VLOOKUP('Données projet'!$B$14,Paramètres!$A$1:$I$89,5,0)</f>
        <v>-4.2830379243241627E-13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543.15812193567342</v>
      </c>
      <c r="DU191" s="60">
        <f t="shared" si="152"/>
        <v>286.40725588660575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2.8421709430404007E-14</v>
      </c>
      <c r="EK191" s="18">
        <f>EJ191*VLOOKUP('Données projet'!$B$15,Paramètres!$A$1:$I$89,3,0)*VLOOKUP('Données projet'!$B$15,Paramètres!$A$1:$I$89,5,0)</f>
        <v>1.906528268591501E-14</v>
      </c>
      <c r="EL191" s="14">
        <f t="shared" si="179"/>
        <v>3.473561557570726E-13</v>
      </c>
      <c r="EM191" s="22">
        <f t="shared" si="180"/>
        <v>6.3818400528820342E-13</v>
      </c>
      <c r="EN191" s="60">
        <f t="shared" si="128"/>
        <v>289.91839713868086</v>
      </c>
      <c r="EO191" s="60">
        <f ca="1">AVERAGE(OFFSET($EN$3,0,0,'Données projet'!$E$15+1,1))-AVERAGE(OFFSET($H$3,0,0,'Données projet'!$E$15+1,1))</f>
        <v>239.52247785001794</v>
      </c>
      <c r="EP191" s="60">
        <f t="shared" si="154"/>
        <v>173.69760199651617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1.8846024666831999E-2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1.8846024666831999E-2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8">
        <f t="shared" si="110"/>
        <v>183.33333333333334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-3.979039320256561E-13</v>
      </c>
      <c r="O192" s="14">
        <f>N192*VLOOKUP('Données projet'!$B$9,Paramètres!$A$1:$I$89,3,0)*VLOOKUP('Données projet'!$B$9,Paramètres!$A$1:$I$89,5,0)</f>
        <v>-4.0347458707401528E-13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516.54532596122067</v>
      </c>
      <c r="T192" s="60">
        <f t="shared" si="142"/>
        <v>273.35778700650792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1.9895196601282805E-13</v>
      </c>
      <c r="AJ192" s="14">
        <f>AI192*VLOOKUP('Données projet'!$B$10,Paramètres!$A$1:$I$89,3,0)*VLOOKUP('Données projet'!$B$10,Paramètres!$A$1:$I$89,5,0)</f>
        <v>1.8932269085780715E-13</v>
      </c>
      <c r="AK192" s="14">
        <f t="shared" si="164"/>
        <v>2.6405131992468737E-12</v>
      </c>
      <c r="AL192" s="22">
        <f t="shared" si="165"/>
        <v>4.9286308419323191E-12</v>
      </c>
      <c r="AM192" s="60">
        <f t="shared" si="113"/>
        <v>289.9776386470088</v>
      </c>
      <c r="AN192" s="60">
        <f ca="1">AVERAGE(OFFSET($AM$3,0,0,'Données projet'!$E$10+1,1))-AVERAGE(OFFSET($H$3,0,0,'Données projet'!$E$10+1,1))</f>
        <v>328.36544111680962</v>
      </c>
      <c r="AO192" s="60">
        <f t="shared" si="144"/>
        <v>226.85392900722772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-9.9316821433603781E-14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296.01124173332352</v>
      </c>
      <c r="BJ192" s="60">
        <f t="shared" si="146"/>
        <v>315.50730924873733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-3.7243808037601412E-14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216.42026264996392</v>
      </c>
      <c r="CE192" s="60">
        <f t="shared" si="148"/>
        <v>216.4587454288401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385.5283976785621</v>
      </c>
      <c r="CZ192" s="60">
        <f t="shared" si="150"/>
        <v>173.19148969173838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-3.979039320256561E-13</v>
      </c>
      <c r="DP192" s="18">
        <f>DO192*VLOOKUP('Données projet'!$B$14,Paramètres!$A$1:$I$89,3,0)*VLOOKUP('Données projet'!$B$14,Paramètres!$A$1:$I$89,5,0)</f>
        <v>-4.2830379243241627E-13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543.15812193567342</v>
      </c>
      <c r="DU192" s="60">
        <f t="shared" si="152"/>
        <v>286.40725588660575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2.8421709430404007E-14</v>
      </c>
      <c r="EK192" s="18">
        <f>EJ192*VLOOKUP('Données projet'!$B$15,Paramètres!$A$1:$I$89,3,0)*VLOOKUP('Données projet'!$B$15,Paramètres!$A$1:$I$89,5,0)</f>
        <v>1.906528268591501E-14</v>
      </c>
      <c r="EL192" s="14">
        <f t="shared" si="179"/>
        <v>3.473561557570726E-13</v>
      </c>
      <c r="EM192" s="22">
        <f t="shared" si="180"/>
        <v>6.3818400528820342E-13</v>
      </c>
      <c r="EN192" s="60">
        <f t="shared" si="128"/>
        <v>289.97763864700448</v>
      </c>
      <c r="EO192" s="60">
        <f ca="1">AVERAGE(OFFSET($EN$3,0,0,'Données projet'!$E$15+1,1))-AVERAGE(OFFSET($H$3,0,0,'Données projet'!$E$15+1,1))</f>
        <v>239.52247785001794</v>
      </c>
      <c r="EP192" s="60">
        <f t="shared" si="154"/>
        <v>173.69760199651617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1.8330679131248112E-2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1.8330679131248112E-2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8">
        <f t="shared" si="110"/>
        <v>183.33333333333334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-3.979039320256561E-13</v>
      </c>
      <c r="O193" s="14">
        <f>N193*VLOOKUP('Données projet'!$B$9,Paramètres!$A$1:$I$89,3,0)*VLOOKUP('Données projet'!$B$9,Paramètres!$A$1:$I$89,5,0)</f>
        <v>-4.0347458707401528E-13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516.54532596122067</v>
      </c>
      <c r="T193" s="60">
        <f t="shared" si="142"/>
        <v>273.35778700650792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1.9895196601282805E-13</v>
      </c>
      <c r="AJ193" s="14">
        <f>AI193*VLOOKUP('Données projet'!$B$10,Paramètres!$A$1:$I$89,3,0)*VLOOKUP('Données projet'!$B$10,Paramètres!$A$1:$I$89,5,0)</f>
        <v>1.8932269085780715E-13</v>
      </c>
      <c r="AK193" s="14">
        <f t="shared" si="164"/>
        <v>2.6405131992468737E-12</v>
      </c>
      <c r="AL193" s="22">
        <f t="shared" si="165"/>
        <v>4.9286308419323191E-12</v>
      </c>
      <c r="AM193" s="60">
        <f t="shared" si="113"/>
        <v>290.03585244760723</v>
      </c>
      <c r="AN193" s="60">
        <f ca="1">AVERAGE(OFFSET($AM$3,0,0,'Données projet'!$E$10+1,1))-AVERAGE(OFFSET($H$3,0,0,'Données projet'!$E$10+1,1))</f>
        <v>328.36544111680962</v>
      </c>
      <c r="AO193" s="60">
        <f t="shared" si="144"/>
        <v>226.85392900722772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-9.9316821433603781E-14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296.01124173332352</v>
      </c>
      <c r="BJ193" s="60">
        <f t="shared" si="146"/>
        <v>315.50730924873733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-3.7243808037601412E-14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216.42026264996392</v>
      </c>
      <c r="CE193" s="60">
        <f t="shared" si="148"/>
        <v>216.4587454288401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385.5283976785621</v>
      </c>
      <c r="CZ193" s="60">
        <f t="shared" si="150"/>
        <v>173.19148969173838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-3.979039320256561E-13</v>
      </c>
      <c r="DP193" s="18">
        <f>DO193*VLOOKUP('Données projet'!$B$14,Paramètres!$A$1:$I$89,3,0)*VLOOKUP('Données projet'!$B$14,Paramètres!$A$1:$I$89,5,0)</f>
        <v>-4.2830379243241627E-13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543.15812193567342</v>
      </c>
      <c r="DU193" s="60">
        <f t="shared" si="152"/>
        <v>286.40725588660575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2.8421709430404007E-14</v>
      </c>
      <c r="EK193" s="18">
        <f>EJ193*VLOOKUP('Données projet'!$B$15,Paramètres!$A$1:$I$89,3,0)*VLOOKUP('Données projet'!$B$15,Paramètres!$A$1:$I$89,5,0)</f>
        <v>1.906528268591501E-14</v>
      </c>
      <c r="EL193" s="14">
        <f t="shared" si="179"/>
        <v>3.473561557570726E-13</v>
      </c>
      <c r="EM193" s="22">
        <f t="shared" si="180"/>
        <v>6.3818400528820342E-13</v>
      </c>
      <c r="EN193" s="60">
        <f t="shared" si="128"/>
        <v>290.03585244760291</v>
      </c>
      <c r="EO193" s="60">
        <f ca="1">AVERAGE(OFFSET($EN$3,0,0,'Données projet'!$E$15+1,1))-AVERAGE(OFFSET($H$3,0,0,'Données projet'!$E$15+1,1))</f>
        <v>239.52247785001794</v>
      </c>
      <c r="EP193" s="60">
        <f t="shared" si="154"/>
        <v>173.69760199651617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1.7829425746435611E-2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1.7829425746435611E-2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8">
        <f t="shared" si="110"/>
        <v>183.33333333333334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-3.979039320256561E-13</v>
      </c>
      <c r="O194" s="14">
        <f>N194*VLOOKUP('Données projet'!$B$9,Paramètres!$A$1:$I$89,3,0)*VLOOKUP('Données projet'!$B$9,Paramètres!$A$1:$I$89,5,0)</f>
        <v>-4.0347458707401528E-13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516.54532596122067</v>
      </c>
      <c r="T194" s="60">
        <f t="shared" si="142"/>
        <v>273.35778700650792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1.9895196601282805E-13</v>
      </c>
      <c r="AJ194" s="14">
        <f>AI194*VLOOKUP('Données projet'!$B$10,Paramètres!$A$1:$I$89,3,0)*VLOOKUP('Données projet'!$B$10,Paramètres!$A$1:$I$89,5,0)</f>
        <v>1.8932269085780715E-13</v>
      </c>
      <c r="AK194" s="14">
        <f t="shared" si="164"/>
        <v>2.6405131992468737E-12</v>
      </c>
      <c r="AL194" s="22">
        <f t="shared" si="165"/>
        <v>4.9286308419323191E-12</v>
      </c>
      <c r="AM194" s="60">
        <f t="shared" si="113"/>
        <v>290.09305636891179</v>
      </c>
      <c r="AN194" s="60">
        <f ca="1">AVERAGE(OFFSET($AM$3,0,0,'Données projet'!$E$10+1,1))-AVERAGE(OFFSET($H$3,0,0,'Données projet'!$E$10+1,1))</f>
        <v>328.36544111680962</v>
      </c>
      <c r="AO194" s="60">
        <f t="shared" si="144"/>
        <v>226.85392900722772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-9.9316821433603781E-14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296.01124173332352</v>
      </c>
      <c r="BJ194" s="60">
        <f t="shared" si="146"/>
        <v>315.50730924873733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-3.7243808037601412E-14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216.42026264996392</v>
      </c>
      <c r="CE194" s="60">
        <f t="shared" si="148"/>
        <v>216.4587454288401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385.5283976785621</v>
      </c>
      <c r="CZ194" s="60">
        <f t="shared" si="150"/>
        <v>173.19148969173838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-3.979039320256561E-13</v>
      </c>
      <c r="DP194" s="18">
        <f>DO194*VLOOKUP('Données projet'!$B$14,Paramètres!$A$1:$I$89,3,0)*VLOOKUP('Données projet'!$B$14,Paramètres!$A$1:$I$89,5,0)</f>
        <v>-4.2830379243241627E-13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543.15812193567342</v>
      </c>
      <c r="DU194" s="60">
        <f t="shared" si="152"/>
        <v>286.40725588660575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2.8421709430404007E-14</v>
      </c>
      <c r="EK194" s="18">
        <f>EJ194*VLOOKUP('Données projet'!$B$15,Paramètres!$A$1:$I$89,3,0)*VLOOKUP('Données projet'!$B$15,Paramètres!$A$1:$I$89,5,0)</f>
        <v>1.906528268591501E-14</v>
      </c>
      <c r="EL194" s="14">
        <f t="shared" si="179"/>
        <v>3.473561557570726E-13</v>
      </c>
      <c r="EM194" s="22">
        <f t="shared" si="180"/>
        <v>6.3818400528820342E-13</v>
      </c>
      <c r="EN194" s="60">
        <f t="shared" si="128"/>
        <v>290.09305636890747</v>
      </c>
      <c r="EO194" s="60">
        <f ca="1">AVERAGE(OFFSET($EN$3,0,0,'Données projet'!$E$15+1,1))-AVERAGE(OFFSET($H$3,0,0,'Données projet'!$E$15+1,1))</f>
        <v>239.52247785001794</v>
      </c>
      <c r="EP194" s="60">
        <f t="shared" si="154"/>
        <v>173.69760199651617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1.7341879161790578E-2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1.7341879161790578E-2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8">
        <f t="shared" si="110"/>
        <v>183.33333333333334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-3.979039320256561E-13</v>
      </c>
      <c r="O195" s="14">
        <f>N195*VLOOKUP('Données projet'!$B$9,Paramètres!$A$1:$I$89,3,0)*VLOOKUP('Données projet'!$B$9,Paramètres!$A$1:$I$89,5,0)</f>
        <v>-4.0347458707401528E-13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516.54532596122067</v>
      </c>
      <c r="T195" s="60">
        <f t="shared" si="142"/>
        <v>273.35778700650792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1.9895196601282805E-13</v>
      </c>
      <c r="AJ195" s="14">
        <f>AI195*VLOOKUP('Données projet'!$B$10,Paramètres!$A$1:$I$89,3,0)*VLOOKUP('Données projet'!$B$10,Paramètres!$A$1:$I$89,5,0)</f>
        <v>1.8932269085780715E-13</v>
      </c>
      <c r="AK195" s="14">
        <f t="shared" si="164"/>
        <v>2.6405131992468737E-12</v>
      </c>
      <c r="AL195" s="22">
        <f t="shared" si="165"/>
        <v>4.9286308419323191E-12</v>
      </c>
      <c r="AM195" s="60">
        <f t="shared" si="113"/>
        <v>290.14926793007061</v>
      </c>
      <c r="AN195" s="60">
        <f ca="1">AVERAGE(OFFSET($AM$3,0,0,'Données projet'!$E$10+1,1))-AVERAGE(OFFSET($H$3,0,0,'Données projet'!$E$10+1,1))</f>
        <v>328.36544111680962</v>
      </c>
      <c r="AO195" s="60">
        <f t="shared" si="144"/>
        <v>226.85392900722772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-9.9316821433603781E-14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296.01124173332352</v>
      </c>
      <c r="BJ195" s="60">
        <f t="shared" si="146"/>
        <v>315.50730924873733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-3.7243808037601412E-14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216.42026264996392</v>
      </c>
      <c r="CE195" s="60">
        <f t="shared" si="148"/>
        <v>216.4587454288401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385.5283976785621</v>
      </c>
      <c r="CZ195" s="60">
        <f t="shared" si="150"/>
        <v>173.19148969173838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-3.979039320256561E-13</v>
      </c>
      <c r="DP195" s="18">
        <f>DO195*VLOOKUP('Données projet'!$B$14,Paramètres!$A$1:$I$89,3,0)*VLOOKUP('Données projet'!$B$14,Paramètres!$A$1:$I$89,5,0)</f>
        <v>-4.2830379243241627E-13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543.15812193567342</v>
      </c>
      <c r="DU195" s="60">
        <f t="shared" si="152"/>
        <v>286.40725588660575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2.8421709430404007E-14</v>
      </c>
      <c r="EK195" s="18">
        <f>EJ195*VLOOKUP('Données projet'!$B$15,Paramètres!$A$1:$I$89,3,0)*VLOOKUP('Données projet'!$B$15,Paramètres!$A$1:$I$89,5,0)</f>
        <v>1.906528268591501E-14</v>
      </c>
      <c r="EL195" s="14">
        <f t="shared" si="179"/>
        <v>3.473561557570726E-13</v>
      </c>
      <c r="EM195" s="22">
        <f t="shared" si="180"/>
        <v>6.3818400528820342E-13</v>
      </c>
      <c r="EN195" s="60">
        <f t="shared" si="128"/>
        <v>290.14926793006629</v>
      </c>
      <c r="EO195" s="60">
        <f ca="1">AVERAGE(OFFSET($EN$3,0,0,'Données projet'!$E$15+1,1))-AVERAGE(OFFSET($H$3,0,0,'Données projet'!$E$15+1,1))</f>
        <v>239.52247785001794</v>
      </c>
      <c r="EP195" s="60">
        <f t="shared" si="154"/>
        <v>173.69760199651617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1.6867664564141627E-2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1.6867664564141627E-2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8">
        <f t="shared" ref="H196:H203" si="192">(B196+E196+F196)*44/12+(C196+D196)*0.475*44/12</f>
        <v>183.33333333333334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-3.979039320256561E-13</v>
      </c>
      <c r="O196" s="14">
        <f>N196*VLOOKUP('Données projet'!$B$9,Paramètres!$A$1:$I$89,3,0)*VLOOKUP('Données projet'!$B$9,Paramètres!$A$1:$I$89,5,0)</f>
        <v>-4.0347458707401528E-13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516.54532596122067</v>
      </c>
      <c r="T196" s="60">
        <f t="shared" si="142"/>
        <v>273.35778700650792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1.9895196601282805E-13</v>
      </c>
      <c r="AJ196" s="14">
        <f>AI196*VLOOKUP('Données projet'!$B$10,Paramètres!$A$1:$I$89,3,0)*VLOOKUP('Données projet'!$B$10,Paramètres!$A$1:$I$89,5,0)</f>
        <v>1.8932269085780715E-13</v>
      </c>
      <c r="AK196" s="14">
        <f t="shared" si="164"/>
        <v>2.6405131992468737E-12</v>
      </c>
      <c r="AL196" s="22">
        <f t="shared" si="165"/>
        <v>4.9286308419323191E-12</v>
      </c>
      <c r="AM196" s="60">
        <f t="shared" ref="AM196:AM203" si="193">AL196+(AD196+AE196)*44/12</f>
        <v>290.20450434631346</v>
      </c>
      <c r="AN196" s="60">
        <f ca="1">AVERAGE(OFFSET($AM$3,0,0,'Données projet'!$E$10+1,1))-AVERAGE(OFFSET($H$3,0,0,'Données projet'!$E$10+1,1))</f>
        <v>328.36544111680962</v>
      </c>
      <c r="AO196" s="60">
        <f t="shared" si="144"/>
        <v>226.85392900722772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-9.9316821433603781E-14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296.01124173332352</v>
      </c>
      <c r="BJ196" s="60">
        <f t="shared" si="146"/>
        <v>315.50730924873733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-3.7243808037601412E-14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216.42026264996392</v>
      </c>
      <c r="CE196" s="60">
        <f t="shared" si="148"/>
        <v>216.4587454288401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385.5283976785621</v>
      </c>
      <c r="CZ196" s="60">
        <f t="shared" si="150"/>
        <v>173.19148969173838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-3.979039320256561E-13</v>
      </c>
      <c r="DP196" s="18">
        <f>DO196*VLOOKUP('Données projet'!$B$14,Paramètres!$A$1:$I$89,3,0)*VLOOKUP('Données projet'!$B$14,Paramètres!$A$1:$I$89,5,0)</f>
        <v>-4.2830379243241627E-13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543.15812193567342</v>
      </c>
      <c r="DU196" s="60">
        <f t="shared" si="152"/>
        <v>286.40725588660575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2.8421709430404007E-14</v>
      </c>
      <c r="EK196" s="18">
        <f>EJ196*VLOOKUP('Données projet'!$B$15,Paramètres!$A$1:$I$89,3,0)*VLOOKUP('Données projet'!$B$15,Paramètres!$A$1:$I$89,5,0)</f>
        <v>1.906528268591501E-14</v>
      </c>
      <c r="EL196" s="14">
        <f t="shared" si="179"/>
        <v>3.473561557570726E-13</v>
      </c>
      <c r="EM196" s="22">
        <f t="shared" si="180"/>
        <v>6.3818400528820342E-13</v>
      </c>
      <c r="EN196" s="60">
        <f t="shared" ref="EN196:EN203" si="198">EM196+(EE196+EF196)*44/12</f>
        <v>290.20450434630914</v>
      </c>
      <c r="EO196" s="60">
        <f ca="1">AVERAGE(OFFSET($EN$3,0,0,'Données projet'!$E$15+1,1))-AVERAGE(OFFSET($H$3,0,0,'Données projet'!$E$15+1,1))</f>
        <v>239.52247785001794</v>
      </c>
      <c r="EP196" s="60">
        <f t="shared" si="154"/>
        <v>173.69760199651617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1.6406417389603245E-2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1.6406417389603245E-2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8">
        <f t="shared" si="192"/>
        <v>183.33333333333334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-3.979039320256561E-13</v>
      </c>
      <c r="O197" s="14">
        <f>N197*VLOOKUP('Données projet'!$B$9,Paramètres!$A$1:$I$89,3,0)*VLOOKUP('Données projet'!$B$9,Paramètres!$A$1:$I$89,5,0)</f>
        <v>-4.0347458707401528E-13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516.54532596122067</v>
      </c>
      <c r="T197" s="60">
        <f t="shared" ref="T197:T203" si="204">$T$3</f>
        <v>273.35778700650792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1.9895196601282805E-13</v>
      </c>
      <c r="AJ197" s="14">
        <f>AI197*VLOOKUP('Données projet'!$B$10,Paramètres!$A$1:$I$89,3,0)*VLOOKUP('Données projet'!$B$10,Paramètres!$A$1:$I$89,5,0)</f>
        <v>1.8932269085780715E-13</v>
      </c>
      <c r="AK197" s="14">
        <f t="shared" si="164"/>
        <v>2.6405131992468737E-12</v>
      </c>
      <c r="AL197" s="22">
        <f t="shared" si="165"/>
        <v>4.9286308419323191E-12</v>
      </c>
      <c r="AM197" s="60">
        <f t="shared" si="193"/>
        <v>290.25878253422468</v>
      </c>
      <c r="AN197" s="60">
        <f ca="1">AVERAGE(OFFSET($AM$3,0,0,'Données projet'!$E$10+1,1))-AVERAGE(OFFSET($H$3,0,0,'Données projet'!$E$10+1,1))</f>
        <v>328.36544111680962</v>
      </c>
      <c r="AO197" s="60">
        <f t="shared" ref="AO197:AO203" si="205">$AO$3</f>
        <v>226.85392900722772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-9.9316821433603781E-14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296.01124173332352</v>
      </c>
      <c r="BJ197" s="60">
        <f t="shared" ref="BJ197:BJ203" si="206">$BJ$3</f>
        <v>315.50730924873733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-3.7243808037601412E-14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216.42026264996392</v>
      </c>
      <c r="CE197" s="60">
        <f t="shared" ref="CE197:CE203" si="207">$CE$3</f>
        <v>216.4587454288401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385.5283976785621</v>
      </c>
      <c r="CZ197" s="60">
        <f t="shared" ref="CZ197:CZ203" si="208">$CZ$3</f>
        <v>173.19148969173838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-3.979039320256561E-13</v>
      </c>
      <c r="DP197" s="18">
        <f>DO197*VLOOKUP('Données projet'!$B$14,Paramètres!$A$1:$I$89,3,0)*VLOOKUP('Données projet'!$B$14,Paramètres!$A$1:$I$89,5,0)</f>
        <v>-4.2830379243241627E-13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543.15812193567342</v>
      </c>
      <c r="DU197" s="60">
        <f t="shared" ref="DU197:DU203" si="209">$DU$3</f>
        <v>286.40725588660575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2.8421709430404007E-14</v>
      </c>
      <c r="EK197" s="18">
        <f>EJ197*VLOOKUP('Données projet'!$B$15,Paramètres!$A$1:$I$89,3,0)*VLOOKUP('Données projet'!$B$15,Paramètres!$A$1:$I$89,5,0)</f>
        <v>1.906528268591501E-14</v>
      </c>
      <c r="EL197" s="14">
        <f t="shared" si="179"/>
        <v>3.473561557570726E-13</v>
      </c>
      <c r="EM197" s="22">
        <f t="shared" si="180"/>
        <v>6.3818400528820342E-13</v>
      </c>
      <c r="EN197" s="60">
        <f t="shared" si="198"/>
        <v>290.25878253422036</v>
      </c>
      <c r="EO197" s="60">
        <f ca="1">AVERAGE(OFFSET($EN$3,0,0,'Données projet'!$E$15+1,1))-AVERAGE(OFFSET($H$3,0,0,'Données projet'!$E$15+1,1))</f>
        <v>239.52247785001794</v>
      </c>
      <c r="EP197" s="60">
        <f t="shared" ref="EP197:EP203" si="210">$EP$3</f>
        <v>173.69760199651617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1.5957783043308551E-2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1.5957783043308551E-2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8">
        <f t="shared" si="192"/>
        <v>183.33333333333334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-3.979039320256561E-13</v>
      </c>
      <c r="O198" s="14">
        <f>N198*VLOOKUP('Données projet'!$B$9,Paramètres!$A$1:$I$89,3,0)*VLOOKUP('Données projet'!$B$9,Paramètres!$A$1:$I$89,5,0)</f>
        <v>-4.0347458707401528E-13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516.54532596122067</v>
      </c>
      <c r="T198" s="60">
        <f t="shared" si="204"/>
        <v>273.35778700650792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1.9895196601282805E-13</v>
      </c>
      <c r="AJ198" s="14">
        <f>AI198*VLOOKUP('Données projet'!$B$10,Paramètres!$A$1:$I$89,3,0)*VLOOKUP('Données projet'!$B$10,Paramètres!$A$1:$I$89,5,0)</f>
        <v>1.8932269085780715E-13</v>
      </c>
      <c r="AK198" s="14">
        <f t="shared" si="164"/>
        <v>2.6405131992468737E-12</v>
      </c>
      <c r="AL198" s="22">
        <f t="shared" si="165"/>
        <v>4.9286308419323191E-12</v>
      </c>
      <c r="AM198" s="60">
        <f t="shared" si="193"/>
        <v>290.31211911692344</v>
      </c>
      <c r="AN198" s="60">
        <f ca="1">AVERAGE(OFFSET($AM$3,0,0,'Données projet'!$E$10+1,1))-AVERAGE(OFFSET($H$3,0,0,'Données projet'!$E$10+1,1))</f>
        <v>328.36544111680962</v>
      </c>
      <c r="AO198" s="60">
        <f t="shared" si="205"/>
        <v>226.85392900722772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-9.9316821433603781E-14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296.01124173332352</v>
      </c>
      <c r="BJ198" s="60">
        <f t="shared" si="206"/>
        <v>315.50730924873733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-3.7243808037601412E-14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216.42026264996392</v>
      </c>
      <c r="CE198" s="60">
        <f t="shared" si="207"/>
        <v>216.4587454288401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385.5283976785621</v>
      </c>
      <c r="CZ198" s="60">
        <f t="shared" si="208"/>
        <v>173.19148969173838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-3.979039320256561E-13</v>
      </c>
      <c r="DP198" s="18">
        <f>DO198*VLOOKUP('Données projet'!$B$14,Paramètres!$A$1:$I$89,3,0)*VLOOKUP('Données projet'!$B$14,Paramètres!$A$1:$I$89,5,0)</f>
        <v>-4.2830379243241627E-13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543.15812193567342</v>
      </c>
      <c r="DU198" s="60">
        <f t="shared" si="209"/>
        <v>286.40725588660575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2.8421709430404007E-14</v>
      </c>
      <c r="EK198" s="18">
        <f>EJ198*VLOOKUP('Données projet'!$B$15,Paramètres!$A$1:$I$89,3,0)*VLOOKUP('Données projet'!$B$15,Paramètres!$A$1:$I$89,5,0)</f>
        <v>1.906528268591501E-14</v>
      </c>
      <c r="EL198" s="14">
        <f t="shared" si="179"/>
        <v>3.473561557570726E-13</v>
      </c>
      <c r="EM198" s="22">
        <f t="shared" si="180"/>
        <v>6.3818400528820342E-13</v>
      </c>
      <c r="EN198" s="60">
        <f t="shared" si="198"/>
        <v>290.31211911691912</v>
      </c>
      <c r="EO198" s="60">
        <f ca="1">AVERAGE(OFFSET($EN$3,0,0,'Données projet'!$E$15+1,1))-AVERAGE(OFFSET($H$3,0,0,'Données projet'!$E$15+1,1))</f>
        <v>239.52247785001794</v>
      </c>
      <c r="EP198" s="60">
        <f t="shared" si="210"/>
        <v>173.69760199651617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1.552141662680594E-2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1.552141662680594E-2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8">
        <f t="shared" si="192"/>
        <v>183.33333333333334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-3.979039320256561E-13</v>
      </c>
      <c r="O199" s="14">
        <f>N199*VLOOKUP('Données projet'!$B$9,Paramètres!$A$1:$I$89,3,0)*VLOOKUP('Données projet'!$B$9,Paramètres!$A$1:$I$89,5,0)</f>
        <v>-4.0347458707401528E-13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516.54532596122067</v>
      </c>
      <c r="T199" s="60">
        <f t="shared" si="204"/>
        <v>273.35778700650792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1.9895196601282805E-13</v>
      </c>
      <c r="AJ199" s="14">
        <f>AI199*VLOOKUP('Données projet'!$B$10,Paramètres!$A$1:$I$89,3,0)*VLOOKUP('Données projet'!$B$10,Paramètres!$A$1:$I$89,5,0)</f>
        <v>1.8932269085780715E-13</v>
      </c>
      <c r="AK199" s="14">
        <f t="shared" si="164"/>
        <v>2.6405131992468737E-12</v>
      </c>
      <c r="AL199" s="22">
        <f t="shared" si="165"/>
        <v>4.9286308419323191E-12</v>
      </c>
      <c r="AM199" s="60">
        <f t="shared" si="193"/>
        <v>290.36453042915514</v>
      </c>
      <c r="AN199" s="60">
        <f ca="1">AVERAGE(OFFSET($AM$3,0,0,'Données projet'!$E$10+1,1))-AVERAGE(OFFSET($H$3,0,0,'Données projet'!$E$10+1,1))</f>
        <v>328.36544111680962</v>
      </c>
      <c r="AO199" s="60">
        <f t="shared" si="205"/>
        <v>226.85392900722772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-9.9316821433603781E-14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296.01124173332352</v>
      </c>
      <c r="BJ199" s="60">
        <f t="shared" si="206"/>
        <v>315.50730924873733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-3.7243808037601412E-14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216.42026264996392</v>
      </c>
      <c r="CE199" s="60">
        <f t="shared" si="207"/>
        <v>216.4587454288401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385.5283976785621</v>
      </c>
      <c r="CZ199" s="60">
        <f t="shared" si="208"/>
        <v>173.19148969173838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-3.979039320256561E-13</v>
      </c>
      <c r="DP199" s="18">
        <f>DO199*VLOOKUP('Données projet'!$B$14,Paramètres!$A$1:$I$89,3,0)*VLOOKUP('Données projet'!$B$14,Paramètres!$A$1:$I$89,5,0)</f>
        <v>-4.2830379243241627E-13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543.15812193567342</v>
      </c>
      <c r="DU199" s="60">
        <f t="shared" si="209"/>
        <v>286.40725588660575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2.8421709430404007E-14</v>
      </c>
      <c r="EK199" s="18">
        <f>EJ199*VLOOKUP('Données projet'!$B$15,Paramètres!$A$1:$I$89,3,0)*VLOOKUP('Données projet'!$B$15,Paramètres!$A$1:$I$89,5,0)</f>
        <v>1.906528268591501E-14</v>
      </c>
      <c r="EL199" s="14">
        <f t="shared" si="179"/>
        <v>3.473561557570726E-13</v>
      </c>
      <c r="EM199" s="22">
        <f t="shared" si="180"/>
        <v>6.3818400528820342E-13</v>
      </c>
      <c r="EN199" s="60">
        <f t="shared" si="198"/>
        <v>290.36453042915082</v>
      </c>
      <c r="EO199" s="60">
        <f ca="1">AVERAGE(OFFSET($EN$3,0,0,'Données projet'!$E$15+1,1))-AVERAGE(OFFSET($H$3,0,0,'Données projet'!$E$15+1,1))</f>
        <v>239.52247785001794</v>
      </c>
      <c r="EP199" s="60">
        <f t="shared" si="210"/>
        <v>173.69760199651617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1.5096982672910106E-2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1.5096982672910106E-2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8">
        <f t="shared" si="192"/>
        <v>183.33333333333334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-3.979039320256561E-13</v>
      </c>
      <c r="O200" s="14">
        <f>N200*VLOOKUP('Données projet'!$B$9,Paramètres!$A$1:$I$89,3,0)*VLOOKUP('Données projet'!$B$9,Paramètres!$A$1:$I$89,5,0)</f>
        <v>-4.0347458707401528E-13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516.54532596122067</v>
      </c>
      <c r="T200" s="60">
        <f t="shared" si="204"/>
        <v>273.35778700650792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1.9895196601282805E-13</v>
      </c>
      <c r="AJ200" s="14">
        <f>AI200*VLOOKUP('Données projet'!$B$10,Paramètres!$A$1:$I$89,3,0)*VLOOKUP('Données projet'!$B$10,Paramètres!$A$1:$I$89,5,0)</f>
        <v>1.8932269085780715E-13</v>
      </c>
      <c r="AK200" s="14">
        <f t="shared" si="164"/>
        <v>2.6405131992468737E-12</v>
      </c>
      <c r="AL200" s="22">
        <f t="shared" si="165"/>
        <v>4.9286308419323191E-12</v>
      </c>
      <c r="AM200" s="60">
        <f t="shared" si="193"/>
        <v>290.41603252229373</v>
      </c>
      <c r="AN200" s="60">
        <f ca="1">AVERAGE(OFFSET($AM$3,0,0,'Données projet'!$E$10+1,1))-AVERAGE(OFFSET($H$3,0,0,'Données projet'!$E$10+1,1))</f>
        <v>328.36544111680962</v>
      </c>
      <c r="AO200" s="60">
        <f t="shared" si="205"/>
        <v>226.85392900722772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-9.9316821433603781E-14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296.01124173332352</v>
      </c>
      <c r="BJ200" s="60">
        <f t="shared" si="206"/>
        <v>315.50730924873733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-3.7243808037601412E-14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216.42026264996392</v>
      </c>
      <c r="CE200" s="60">
        <f t="shared" si="207"/>
        <v>216.4587454288401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385.5283976785621</v>
      </c>
      <c r="CZ200" s="60">
        <f t="shared" si="208"/>
        <v>173.19148969173838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-3.979039320256561E-13</v>
      </c>
      <c r="DP200" s="18">
        <f>DO200*VLOOKUP('Données projet'!$B$14,Paramètres!$A$1:$I$89,3,0)*VLOOKUP('Données projet'!$B$14,Paramètres!$A$1:$I$89,5,0)</f>
        <v>-4.2830379243241627E-13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543.15812193567342</v>
      </c>
      <c r="DU200" s="60">
        <f t="shared" si="209"/>
        <v>286.40725588660575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2.8421709430404007E-14</v>
      </c>
      <c r="EK200" s="18">
        <f>EJ200*VLOOKUP('Données projet'!$B$15,Paramètres!$A$1:$I$89,3,0)*VLOOKUP('Données projet'!$B$15,Paramètres!$A$1:$I$89,5,0)</f>
        <v>1.906528268591501E-14</v>
      </c>
      <c r="EL200" s="14">
        <f t="shared" si="179"/>
        <v>3.473561557570726E-13</v>
      </c>
      <c r="EM200" s="22">
        <f t="shared" si="180"/>
        <v>6.3818400528820342E-13</v>
      </c>
      <c r="EN200" s="60">
        <f t="shared" si="198"/>
        <v>290.41603252228941</v>
      </c>
      <c r="EO200" s="60">
        <f ca="1">AVERAGE(OFFSET($EN$3,0,0,'Données projet'!$E$15+1,1))-AVERAGE(OFFSET($H$3,0,0,'Données projet'!$E$15+1,1))</f>
        <v>239.52247785001794</v>
      </c>
      <c r="EP200" s="60">
        <f t="shared" si="210"/>
        <v>173.69760199651617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1.4684154887803565E-2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1.4684154887803565E-2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8">
        <f t="shared" si="192"/>
        <v>183.33333333333334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-3.979039320256561E-13</v>
      </c>
      <c r="O201" s="14">
        <f>N201*VLOOKUP('Données projet'!$B$9,Paramètres!$A$1:$I$89,3,0)*VLOOKUP('Données projet'!$B$9,Paramètres!$A$1:$I$89,5,0)</f>
        <v>-4.0347458707401528E-13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516.54532596122067</v>
      </c>
      <c r="T201" s="60">
        <f t="shared" si="204"/>
        <v>273.35778700650792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1.9895196601282805E-13</v>
      </c>
      <c r="AJ201" s="14">
        <f>AI201*VLOOKUP('Données projet'!$B$10,Paramètres!$A$1:$I$89,3,0)*VLOOKUP('Données projet'!$B$10,Paramètres!$A$1:$I$89,5,0)</f>
        <v>1.8932269085780715E-13</v>
      </c>
      <c r="AK201" s="14">
        <f t="shared" si="164"/>
        <v>2.6405131992468737E-12</v>
      </c>
      <c r="AL201" s="22">
        <f t="shared" si="165"/>
        <v>4.9286308419323191E-12</v>
      </c>
      <c r="AM201" s="60">
        <f t="shared" si="193"/>
        <v>290.46664116925785</v>
      </c>
      <c r="AN201" s="60">
        <f ca="1">AVERAGE(OFFSET($AM$3,0,0,'Données projet'!$E$10+1,1))-AVERAGE(OFFSET($H$3,0,0,'Données projet'!$E$10+1,1))</f>
        <v>328.36544111680962</v>
      </c>
      <c r="AO201" s="60">
        <f t="shared" si="205"/>
        <v>226.85392900722772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-9.9316821433603781E-14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296.01124173332352</v>
      </c>
      <c r="BJ201" s="60">
        <f t="shared" si="206"/>
        <v>315.50730924873733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-3.7243808037601412E-14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216.42026264996392</v>
      </c>
      <c r="CE201" s="60">
        <f t="shared" si="207"/>
        <v>216.4587454288401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385.5283976785621</v>
      </c>
      <c r="CZ201" s="60">
        <f t="shared" si="208"/>
        <v>173.19148969173838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-3.979039320256561E-13</v>
      </c>
      <c r="DP201" s="18">
        <f>DO201*VLOOKUP('Données projet'!$B$14,Paramètres!$A$1:$I$89,3,0)*VLOOKUP('Données projet'!$B$14,Paramètres!$A$1:$I$89,5,0)</f>
        <v>-4.2830379243241627E-13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543.15812193567342</v>
      </c>
      <c r="DU201" s="60">
        <f t="shared" si="209"/>
        <v>286.40725588660575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2.8421709430404007E-14</v>
      </c>
      <c r="EK201" s="18">
        <f>EJ201*VLOOKUP('Données projet'!$B$15,Paramètres!$A$1:$I$89,3,0)*VLOOKUP('Données projet'!$B$15,Paramètres!$A$1:$I$89,5,0)</f>
        <v>1.906528268591501E-14</v>
      </c>
      <c r="EL201" s="14">
        <f t="shared" si="179"/>
        <v>3.473561557570726E-13</v>
      </c>
      <c r="EM201" s="22">
        <f t="shared" si="180"/>
        <v>6.3818400528820342E-13</v>
      </c>
      <c r="EN201" s="60">
        <f t="shared" si="198"/>
        <v>290.46664116925353</v>
      </c>
      <c r="EO201" s="60">
        <f ca="1">AVERAGE(OFFSET($EN$3,0,0,'Données projet'!$E$15+1,1))-AVERAGE(OFFSET($H$3,0,0,'Données projet'!$E$15+1,1))</f>
        <v>239.52247785001794</v>
      </c>
      <c r="EP201" s="60">
        <f t="shared" si="210"/>
        <v>173.69760199651617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1.4282615900190431E-2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1.4282615900190431E-2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8">
        <f t="shared" si="192"/>
        <v>183.33333333333334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-3.979039320256561E-13</v>
      </c>
      <c r="O202" s="14">
        <f>N202*VLOOKUP('Données projet'!$B$9,Paramètres!$A$1:$I$89,3,0)*VLOOKUP('Données projet'!$B$9,Paramètres!$A$1:$I$89,5,0)</f>
        <v>-4.0347458707401528E-13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516.54532596122067</v>
      </c>
      <c r="T202" s="60">
        <f t="shared" si="204"/>
        <v>273.35778700650792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1.9895196601282805E-13</v>
      </c>
      <c r="AJ202" s="14">
        <f>AI202*VLOOKUP('Données projet'!$B$10,Paramètres!$A$1:$I$89,3,0)*VLOOKUP('Données projet'!$B$10,Paramètres!$A$1:$I$89,5,0)</f>
        <v>1.8932269085780715E-13</v>
      </c>
      <c r="AK202" s="14">
        <f t="shared" si="164"/>
        <v>2.6405131992468737E-12</v>
      </c>
      <c r="AL202" s="22">
        <f t="shared" si="165"/>
        <v>4.9286308419323191E-12</v>
      </c>
      <c r="AM202" s="60">
        <f t="shared" si="193"/>
        <v>290.51637186934107</v>
      </c>
      <c r="AN202" s="60">
        <f ca="1">AVERAGE(OFFSET($AM$3,0,0,'Données projet'!$E$10+1,1))-AVERAGE(OFFSET($H$3,0,0,'Données projet'!$E$10+1,1))</f>
        <v>328.36544111680962</v>
      </c>
      <c r="AO202" s="60">
        <f t="shared" si="205"/>
        <v>226.85392900722772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-9.9316821433603781E-14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296.01124173332352</v>
      </c>
      <c r="BJ202" s="60">
        <f t="shared" si="206"/>
        <v>315.50730924873733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-3.7243808037601412E-14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216.42026264996392</v>
      </c>
      <c r="CE202" s="60">
        <f t="shared" si="207"/>
        <v>216.4587454288401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385.5283976785621</v>
      </c>
      <c r="CZ202" s="60">
        <f t="shared" si="208"/>
        <v>173.19148969173838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-3.979039320256561E-13</v>
      </c>
      <c r="DP202" s="18">
        <f>DO202*VLOOKUP('Données projet'!$B$14,Paramètres!$A$1:$I$89,3,0)*VLOOKUP('Données projet'!$B$14,Paramètres!$A$1:$I$89,5,0)</f>
        <v>-4.2830379243241627E-13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543.15812193567342</v>
      </c>
      <c r="DU202" s="60">
        <f t="shared" si="209"/>
        <v>286.40725588660575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2.8421709430404007E-14</v>
      </c>
      <c r="EK202" s="18">
        <f>EJ202*VLOOKUP('Données projet'!$B$15,Paramètres!$A$1:$I$89,3,0)*VLOOKUP('Données projet'!$B$15,Paramètres!$A$1:$I$89,5,0)</f>
        <v>1.906528268591501E-14</v>
      </c>
      <c r="EL202" s="14">
        <f t="shared" si="179"/>
        <v>3.473561557570726E-13</v>
      </c>
      <c r="EM202" s="22">
        <f t="shared" si="180"/>
        <v>6.3818400528820342E-13</v>
      </c>
      <c r="EN202" s="60">
        <f t="shared" si="198"/>
        <v>290.51637186933675</v>
      </c>
      <c r="EO202" s="60">
        <f ca="1">AVERAGE(OFFSET($EN$3,0,0,'Données projet'!$E$15+1,1))-AVERAGE(OFFSET($H$3,0,0,'Données projet'!$E$15+1,1))</f>
        <v>239.52247785001794</v>
      </c>
      <c r="EP202" s="60">
        <f t="shared" si="210"/>
        <v>173.69760199651617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1.3892057017309598E-2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1.3892057017309598E-2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8">
        <f t="shared" si="192"/>
        <v>183.33333333333334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-3.979039320256561E-13</v>
      </c>
      <c r="O203" s="14">
        <f>N203*VLOOKUP('Données projet'!$B$9,Paramètres!$A$1:$I$89,3,0)*VLOOKUP('Données projet'!$B$9,Paramètres!$A$1:$I$89,5,0)</f>
        <v>-4.0347458707401528E-13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516.54532596122067</v>
      </c>
      <c r="T203" s="60">
        <f t="shared" si="204"/>
        <v>273.35778700650792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1.9895196601282805E-13</v>
      </c>
      <c r="AJ203" s="14">
        <f>AI203*VLOOKUP('Données projet'!$B$10,Paramètres!$A$1:$I$89,3,0)*VLOOKUP('Données projet'!$B$10,Paramètres!$A$1:$I$89,5,0)</f>
        <v>1.8932269085780715E-13</v>
      </c>
      <c r="AK203" s="14">
        <f t="shared" si="164"/>
        <v>2.6405131992468737E-12</v>
      </c>
      <c r="AL203" s="22">
        <f t="shared" si="165"/>
        <v>4.9286308419323191E-12</v>
      </c>
      <c r="AM203" s="60">
        <f t="shared" si="193"/>
        <v>290.56523985295905</v>
      </c>
      <c r="AN203" s="60">
        <f ca="1">AVERAGE(OFFSET($AM$3,0,0,'Données projet'!$E$10+1,1))-AVERAGE(OFFSET($H$3,0,0,'Données projet'!$E$10+1,1))</f>
        <v>328.36544111680962</v>
      </c>
      <c r="AO203" s="60">
        <f t="shared" si="205"/>
        <v>226.85392900722772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-9.9316821433603781E-14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296.01124173332352</v>
      </c>
      <c r="BJ203" s="60">
        <f t="shared" si="206"/>
        <v>315.50730924873733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-3.7243808037601412E-14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216.42026264996392</v>
      </c>
      <c r="CE203" s="60">
        <f t="shared" si="207"/>
        <v>216.4587454288401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385.5283976785621</v>
      </c>
      <c r="CZ203" s="60">
        <f t="shared" si="208"/>
        <v>173.19148969173838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-3.979039320256561E-13</v>
      </c>
      <c r="DP203" s="18">
        <f>DO203*VLOOKUP('Données projet'!$B$14,Paramètres!$A$1:$I$89,3,0)*VLOOKUP('Données projet'!$B$14,Paramètres!$A$1:$I$89,5,0)</f>
        <v>-4.2830379243241627E-13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543.15812193567342</v>
      </c>
      <c r="DU203" s="60">
        <f t="shared" si="209"/>
        <v>286.40725588660575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2.8421709430404007E-14</v>
      </c>
      <c r="EK203" s="18">
        <f>EJ203*VLOOKUP('Données projet'!$B$15,Paramètres!$A$1:$I$89,3,0)*VLOOKUP('Données projet'!$B$15,Paramètres!$A$1:$I$89,5,0)</f>
        <v>1.906528268591501E-14</v>
      </c>
      <c r="EL203" s="14">
        <f t="shared" si="179"/>
        <v>3.473561557570726E-13</v>
      </c>
      <c r="EM203" s="22">
        <f t="shared" si="180"/>
        <v>6.3818400528820342E-13</v>
      </c>
      <c r="EN203" s="60">
        <f t="shared" si="198"/>
        <v>290.56523985295473</v>
      </c>
      <c r="EO203" s="60">
        <f ca="1">AVERAGE(OFFSET($EN$3,0,0,'Données projet'!$E$15+1,1))-AVERAGE(OFFSET($H$3,0,0,'Données projet'!$E$15+1,1))</f>
        <v>239.52247785001794</v>
      </c>
      <c r="EP203" s="60">
        <f t="shared" si="210"/>
        <v>173.69760199651617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1.3512177987619738E-2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1.3512177987619738E-2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1.2001936719318862</v>
      </c>
      <c r="BA205" s="86">
        <f>EXP(LN('Données projet'!B88)/'Données projet'!A88)</f>
        <v>1.1577536725165907</v>
      </c>
      <c r="BV205" s="86">
        <f>EXP(LN('Données projet'!B114)/'Données projet'!A114)</f>
        <v>1.2426005929945116</v>
      </c>
      <c r="CQ205" s="86">
        <f>EXP(LN('Données projet'!B140)/'Données projet'!A140)</f>
        <v>1.1457367676485573</v>
      </c>
      <c r="DL205" s="86">
        <f>EXP(LN('Données projet'!B166)/'Données projet'!A166)</f>
        <v>1.2054868146447177</v>
      </c>
      <c r="EG205" s="86">
        <f>EXP(LN('Données projet'!B192)/'Données projet'!A192)</f>
        <v>1.1904804802795936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130" zoomScaleNormal="130" workbookViewId="0">
      <selection activeCell="L5" sqref="L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pubescent</v>
      </c>
      <c r="B6" s="153">
        <f>'Données projet'!D9</f>
        <v>2.15</v>
      </c>
      <c r="C6" s="154">
        <f ca="1">IF(OR('Données projet'!B9="",'Données projet'!C9="",'Données projet'!C9=0%),0,Calculateur!S3)</f>
        <v>516.54532596122067</v>
      </c>
      <c r="D6" s="154">
        <f>IF(OR('Données projet'!B9="",'Données projet'!C9="",'Données projet'!C9=0%),0,Calculateur!T3)</f>
        <v>273.35778700650792</v>
      </c>
      <c r="E6" s="154">
        <f ca="1">MIN(C6,D6)</f>
        <v>273.35778700650792</v>
      </c>
      <c r="F6" s="154">
        <f ca="1">E6*B6</f>
        <v>587.71924206399206</v>
      </c>
      <c r="G6" s="154">
        <f ca="1">F6*(100%-'Données projet'!$C$24)*(100%-'Données projet'!$C$25)*(100%-'Données projet'!$C$26)*(100%-'Données projet'!$C$27)</f>
        <v>528.94731785759291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4.3</v>
      </c>
      <c r="K6" s="158">
        <f>J6*(100%-'Données projet'!$C$24)*(100%-'Données projet'!$C$25)*(100%-'Données projet'!$C$26)*(100%-'Données projet'!$C$27)</f>
        <v>3.87</v>
      </c>
      <c r="L6" s="159">
        <f ca="1">G6+I6+K6</f>
        <v>532.81731785759291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Charme</v>
      </c>
      <c r="B7" s="161">
        <f>'Données projet'!D10</f>
        <v>0.43</v>
      </c>
      <c r="C7" s="154">
        <f ca="1">IF(OR('Données projet'!B10="",'Données projet'!C10="",'Données projet'!C10=0%),0,Calculateur!AN3)</f>
        <v>328.36544111680962</v>
      </c>
      <c r="D7" s="154">
        <f>IF(OR('Données projet'!B10="",'Données projet'!C10="",'Données projet'!C10=0%),0,Calculateur!AO3)</f>
        <v>226.85392900722772</v>
      </c>
      <c r="E7" s="154">
        <f t="shared" ref="E7:E15" ca="1" si="0">MIN(C7,D7)</f>
        <v>226.85392900722772</v>
      </c>
      <c r="F7" s="154">
        <f t="shared" ref="F7:F15" ca="1" si="1">E7*B7</f>
        <v>97.54718947310792</v>
      </c>
      <c r="G7" s="154">
        <f ca="1">F7*(100%-'Données projet'!$C$24)*(100%-'Données projet'!$C$25)*(100%-'Données projet'!$C$26)*(100%-'Données projet'!$C$27)</f>
        <v>87.792470525797128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2.4807692307692308</v>
      </c>
      <c r="K7" s="158">
        <f>J7*(100%-'Données projet'!$C$24)*(100%-'Données projet'!$C$25)*(100%-'Données projet'!$C$26)*(100%-'Données projet'!$C$27)</f>
        <v>2.2326923076923078</v>
      </c>
      <c r="L7" s="159">
        <f t="shared" ref="L7:L15" ca="1" si="2">G7+I7+K7</f>
        <v>90.025162833489432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Erable champêtre</v>
      </c>
      <c r="B8" s="161">
        <f>'Données projet'!D11</f>
        <v>0.43</v>
      </c>
      <c r="C8" s="154">
        <f ca="1">IF(OR('Données projet'!B11="",'Données projet'!C11="",'Données projet'!C11=0%),0,Calculateur!BI3)</f>
        <v>296.01124173332352</v>
      </c>
      <c r="D8" s="154">
        <f>IF(OR('Données projet'!B11="",'Données projet'!C11="",'Données projet'!C11=0%),0,Calculateur!BJ3)</f>
        <v>315.50730924873733</v>
      </c>
      <c r="E8" s="154">
        <f t="shared" ca="1" si="0"/>
        <v>296.01124173332352</v>
      </c>
      <c r="F8" s="154">
        <f t="shared" ca="1" si="1"/>
        <v>127.28483394532911</v>
      </c>
      <c r="G8" s="154">
        <f ca="1">F8*(100%-'Données projet'!$C$24)*(100%-'Données projet'!$C$25)*(100%-'Données projet'!$C$26)*(100%-'Données projet'!$C$27)</f>
        <v>114.5563505507962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6.7725</v>
      </c>
      <c r="K8" s="158">
        <f>J8*(100%-'Données projet'!$C$24)*(100%-'Données projet'!$C$25)*(100%-'Données projet'!$C$26)*(100%-'Données projet'!$C$27)</f>
        <v>6.0952500000000001</v>
      </c>
      <c r="L8" s="159">
        <f t="shared" ca="1" si="2"/>
        <v>120.65160055079619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Aulne à feuilles en cœur</v>
      </c>
      <c r="B9" s="161">
        <f>'Données projet'!D12</f>
        <v>0.43</v>
      </c>
      <c r="C9" s="154">
        <f ca="1">IF(OR('Données projet'!B12="",'Données projet'!C12="",'Données projet'!C12=0%),0,Calculateur!CD3)</f>
        <v>216.42026264996392</v>
      </c>
      <c r="D9" s="154">
        <f>IF(OR('Données projet'!B12="",'Données projet'!C12="",'Données projet'!C12=0%),0,Calculateur!CE3)</f>
        <v>216.4587454288401</v>
      </c>
      <c r="E9" s="154">
        <f t="shared" ca="1" si="0"/>
        <v>216.42026264996392</v>
      </c>
      <c r="F9" s="154">
        <f t="shared" ca="1" si="1"/>
        <v>93.060712939484489</v>
      </c>
      <c r="G9" s="154">
        <f ca="1">F9*(100%-'Données projet'!$C$24)*(100%-'Données projet'!$C$25)*(100%-'Données projet'!$C$26)*(100%-'Données projet'!$C$27)</f>
        <v>83.75464164553604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4.4074999999999998</v>
      </c>
      <c r="K9" s="158">
        <f>J9*(100%-'Données projet'!$C$24)*(100%-'Données projet'!$C$25)*(100%-'Données projet'!$C$26)*(100%-'Données projet'!$C$27)</f>
        <v>3.9667499999999998</v>
      </c>
      <c r="L9" s="159">
        <f t="shared" ca="1" si="2"/>
        <v>87.721391645536045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Alisier torminal</v>
      </c>
      <c r="B10" s="161">
        <f>'Données projet'!D13</f>
        <v>0.215</v>
      </c>
      <c r="C10" s="154">
        <f ca="1">IF(OR('Données projet'!B13="",'Données projet'!C13="",'Données projet'!C13=0%),0,Calculateur!CY3)</f>
        <v>385.5283976785621</v>
      </c>
      <c r="D10" s="154">
        <f>IF(OR('Données projet'!B13="",'Données projet'!C13="",'Données projet'!C13=0%),0,Calculateur!CZ3)</f>
        <v>173.19148969173838</v>
      </c>
      <c r="E10" s="154">
        <f t="shared" ca="1" si="0"/>
        <v>173.19148969173838</v>
      </c>
      <c r="F10" s="154">
        <f t="shared" ca="1" si="1"/>
        <v>37.236170283723752</v>
      </c>
      <c r="G10" s="154">
        <f ca="1">F10*(100%-'Données projet'!$C$24)*(100%-'Données projet'!$C$25)*(100%-'Données projet'!$C$26)*(100%-'Données projet'!$C$27)</f>
        <v>33.512553255351378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33.512553255351378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Cormier</v>
      </c>
      <c r="B11" s="161">
        <f>'Données projet'!D14</f>
        <v>0.215</v>
      </c>
      <c r="C11" s="154">
        <f ca="1">IF(OR('Données projet'!B14="",'Données projet'!C14="",'Données projet'!C14=0%),0,Calculateur!DT3)</f>
        <v>543.15812193567342</v>
      </c>
      <c r="D11" s="154">
        <f>IF(OR('Données projet'!B14="",'Données projet'!C14="",'Données projet'!C14=0%),0,Calculateur!DU3)</f>
        <v>286.40725588660575</v>
      </c>
      <c r="E11" s="154">
        <f t="shared" ca="1" si="0"/>
        <v>286.40725588660575</v>
      </c>
      <c r="F11" s="154">
        <f t="shared" ca="1" si="1"/>
        <v>61.577560015620236</v>
      </c>
      <c r="G11" s="154">
        <f ca="1">F11*(100%-'Données projet'!$C$24)*(100%-'Données projet'!$C$25)*(100%-'Données projet'!$C$26)*(100%-'Données projet'!$C$27)</f>
        <v>55.419804014058215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0.43</v>
      </c>
      <c r="K11" s="158">
        <f>J11*(100%-'Données projet'!$C$24)*(100%-'Données projet'!$C$25)*(100%-'Données projet'!$C$26)*(100%-'Données projet'!$C$27)</f>
        <v>0.38700000000000001</v>
      </c>
      <c r="L11" s="159">
        <f t="shared" ca="1" si="2"/>
        <v>55.806804014058216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Tilleul</v>
      </c>
      <c r="B12" s="161">
        <f>'Données projet'!D15</f>
        <v>0.215</v>
      </c>
      <c r="C12" s="154">
        <f ca="1">IF(OR('Données projet'!B15="",'Données projet'!C15="",'Données projet'!C15=0%),0,Calculateur!EO3)</f>
        <v>239.52247785001794</v>
      </c>
      <c r="D12" s="154">
        <f>IF(OR('Données projet'!B15="",'Données projet'!C15="",'Données projet'!C15=0%),0,Calculateur!EP3)</f>
        <v>173.69760199651617</v>
      </c>
      <c r="E12" s="154">
        <f t="shared" ca="1" si="0"/>
        <v>173.69760199651617</v>
      </c>
      <c r="F12" s="154">
        <f t="shared" ca="1" si="1"/>
        <v>37.344984429250978</v>
      </c>
      <c r="G12" s="154">
        <f ca="1">F12*(100%-'Données projet'!$C$24)*(100%-'Données projet'!$C$25)*(100%-'Données projet'!$C$26)*(100%-'Données projet'!$C$27)</f>
        <v>33.610485986325884</v>
      </c>
      <c r="H12" s="162">
        <f>IF(OR('Données projet'!B15="",'Données projet'!C15="",'Données projet'!C15=0%),0,AVERAGE(Calculateur!$EY$3:$EY$33)*B12)</f>
        <v>1.0442538711011792E-2</v>
      </c>
      <c r="I12" s="156">
        <f>H12*(100%-'Données projet'!$C$24)*(100%-'Données projet'!$C$25)*(100%-'Données projet'!$C$26)*(100%-'Données projet'!$C$27)</f>
        <v>9.3982848399106131E-3</v>
      </c>
      <c r="J12" s="157">
        <f>IF(OR('Données projet'!B15="",'Données projet'!C15="",'Données projet'!C15=0%),0,SUM(Calculateur!$ER$3:$ER$33)*VLOOKUP('Données projet'!$B$15,Paramètres!$A$1:$I$89,9,0)*B12)</f>
        <v>1.4126602564102564</v>
      </c>
      <c r="K12" s="158">
        <f>J12*(100%-'Données projet'!$C$24)*(100%-'Données projet'!$C$25)*(100%-'Données projet'!$C$26)*(100%-'Données projet'!$C$27)</f>
        <v>1.2713942307692307</v>
      </c>
      <c r="L12" s="159">
        <f t="shared" ca="1" si="2"/>
        <v>34.891278501935027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1041.7706931505084</v>
      </c>
      <c r="G16" s="173">
        <f t="shared" ca="1" si="3"/>
        <v>937.59362383545772</v>
      </c>
      <c r="H16" s="174">
        <f t="shared" si="3"/>
        <v>1.0442538711011792E-2</v>
      </c>
      <c r="I16" s="174">
        <f t="shared" si="3"/>
        <v>9.3982848399106131E-3</v>
      </c>
      <c r="J16" s="175">
        <f t="shared" si="3"/>
        <v>19.803429487179486</v>
      </c>
      <c r="K16" s="175">
        <f t="shared" si="3"/>
        <v>17.823086538461542</v>
      </c>
      <c r="L16" s="176">
        <f t="shared" ca="1" si="3"/>
        <v>955.42610865875918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Charme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Erable champêtre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Aulne à feuilles en cœur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Alisier torminal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Cormier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Tilleul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P10" zoomScaleNormal="10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739.26103020182495</v>
      </c>
      <c r="U10" s="188">
        <f>'Données projet'!D9</f>
        <v>2.15</v>
      </c>
      <c r="V10" s="187">
        <f>U10*T10</f>
        <v>1589.4112149339235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Charme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334.7022338962916</v>
      </c>
      <c r="U11" s="188">
        <f>'Données projet'!D10</f>
        <v>0.43</v>
      </c>
      <c r="V11" s="187">
        <f t="shared" ref="V11" si="0">U11*T11</f>
        <v>143.92196057540539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Erable champêtre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1613.1761750012331</v>
      </c>
      <c r="U12" s="188">
        <f>'Données projet'!D11</f>
        <v>0.43</v>
      </c>
      <c r="V12" s="187">
        <f t="shared" ref="V12:V19" si="1">U12*T12</f>
        <v>693.6657552505302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Aulne à feuilles en cœur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551.39879754436129</v>
      </c>
      <c r="U13" s="188">
        <f>'Données projet'!D12</f>
        <v>0.43</v>
      </c>
      <c r="V13" s="187">
        <f t="shared" si="1"/>
        <v>237.10148294407534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Alisier torminal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372.98818828083256</v>
      </c>
      <c r="U14" s="188">
        <f>'Données projet'!D13</f>
        <v>0.215</v>
      </c>
      <c r="V14" s="187">
        <f t="shared" si="1"/>
        <v>80.192460480378998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39" t="s">
        <v>318</v>
      </c>
      <c r="H15" s="201">
        <v>0</v>
      </c>
      <c r="I15" s="202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Cormier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739.26103020182495</v>
      </c>
      <c r="U15" s="188">
        <f>'Données projet'!D14</f>
        <v>0.215</v>
      </c>
      <c r="V15" s="187">
        <f t="shared" si="1"/>
        <v>158.94112149339236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39"/>
      <c r="H16" s="201"/>
      <c r="I16" s="202"/>
      <c r="J16" s="213"/>
      <c r="K16" s="222"/>
      <c r="L16" s="335" t="s">
        <v>254</v>
      </c>
      <c r="M16" s="336"/>
      <c r="N16" s="2"/>
      <c r="O16" s="25"/>
      <c r="P16" s="25"/>
      <c r="Q16" s="262"/>
      <c r="R16" s="25"/>
      <c r="S16" s="183" t="str">
        <f>B200</f>
        <v>Tilleul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398.07091813522658</v>
      </c>
      <c r="U16" s="188">
        <f>'Données projet'!D15</f>
        <v>0.215</v>
      </c>
      <c r="V16" s="187">
        <f t="shared" si="1"/>
        <v>85.585247399073708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39"/>
      <c r="J17" s="213"/>
      <c r="K17" s="222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/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39"/>
      <c r="J18" s="213"/>
      <c r="K18" s="222"/>
      <c r="L18" s="293" t="s">
        <v>255</v>
      </c>
      <c r="M18" s="295"/>
      <c r="N18" s="203"/>
      <c r="O18" s="25"/>
      <c r="P18" s="25"/>
      <c r="Q18" s="262"/>
      <c r="R18" s="25"/>
      <c r="S18" s="183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39"/>
      <c r="H19" s="229" t="s">
        <v>178</v>
      </c>
      <c r="I19" s="229" t="s">
        <v>287</v>
      </c>
      <c r="J19" s="257"/>
      <c r="K19" s="181"/>
      <c r="L19" s="335" t="s">
        <v>288</v>
      </c>
      <c r="M19" s="336"/>
      <c r="N19" s="189">
        <f>N17*N18</f>
        <v>0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39"/>
      <c r="H20" s="201">
        <v>0</v>
      </c>
      <c r="I20" s="202">
        <v>9000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37" t="s">
        <v>260</v>
      </c>
      <c r="M23" s="337"/>
      <c r="N23" s="337"/>
      <c r="O23" s="25"/>
      <c r="P23" s="25"/>
      <c r="Q23" s="262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-35711.180756923219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8</v>
      </c>
      <c r="C24" s="204">
        <v>10</v>
      </c>
      <c r="D24" s="192">
        <f t="shared" ref="D24:D42" si="2">B24*C24</f>
        <v>80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0</v>
      </c>
      <c r="C25" s="204">
        <v>10</v>
      </c>
      <c r="D25" s="192">
        <f t="shared" si="2"/>
        <v>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>
        <v>0</v>
      </c>
      <c r="Q25" s="262"/>
      <c r="R25" s="25"/>
      <c r="S25" s="196" t="s">
        <v>266</v>
      </c>
      <c r="T25" s="334">
        <f ca="1">T23-T24</f>
        <v>-35711.180756923219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42</v>
      </c>
      <c r="C26" s="204">
        <v>10</v>
      </c>
      <c r="D26" s="192">
        <f t="shared" si="2"/>
        <v>420</v>
      </c>
      <c r="E26" s="204"/>
      <c r="F26" s="261"/>
      <c r="G26" s="256"/>
      <c r="H26" s="201"/>
      <c r="I26" s="202"/>
      <c r="K26" s="222"/>
      <c r="L26" s="321" t="s">
        <v>258</v>
      </c>
      <c r="M26" s="322"/>
      <c r="N26" s="322"/>
      <c r="O26" s="322"/>
      <c r="P26" s="323"/>
      <c r="Q26" s="262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0</v>
      </c>
      <c r="C27" s="204">
        <v>10</v>
      </c>
      <c r="D27" s="192">
        <f t="shared" si="2"/>
        <v>0</v>
      </c>
      <c r="E27" s="204"/>
      <c r="F27" s="261"/>
      <c r="G27" s="256"/>
      <c r="H27" s="201"/>
      <c r="I27" s="202"/>
      <c r="K27" s="222"/>
      <c r="L27" s="324"/>
      <c r="M27" s="325"/>
      <c r="N27" s="325"/>
      <c r="O27" s="325"/>
      <c r="P27" s="326"/>
      <c r="Q27" s="262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42</v>
      </c>
      <c r="C28" s="204">
        <v>20</v>
      </c>
      <c r="D28" s="192">
        <f t="shared" si="2"/>
        <v>840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0</v>
      </c>
      <c r="C29" s="204">
        <v>20</v>
      </c>
      <c r="D29" s="192">
        <f t="shared" si="2"/>
        <v>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42</v>
      </c>
      <c r="C30" s="204">
        <v>30</v>
      </c>
      <c r="D30" s="192">
        <f t="shared" si="2"/>
        <v>1260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0</v>
      </c>
      <c r="C31" s="204">
        <v>30</v>
      </c>
      <c r="D31" s="192">
        <f t="shared" si="2"/>
        <v>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42</v>
      </c>
      <c r="C32" s="204">
        <v>35</v>
      </c>
      <c r="D32" s="192">
        <f t="shared" si="2"/>
        <v>1470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0</v>
      </c>
      <c r="C33" s="204">
        <v>40</v>
      </c>
      <c r="D33" s="192">
        <f t="shared" si="2"/>
        <v>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42</v>
      </c>
      <c r="C34" s="204">
        <v>45</v>
      </c>
      <c r="D34" s="192">
        <f t="shared" si="2"/>
        <v>1890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85</v>
      </c>
      <c r="B35" s="191">
        <f>'Données projet'!D48</f>
        <v>42</v>
      </c>
      <c r="C35" s="204">
        <v>50</v>
      </c>
      <c r="D35" s="192">
        <f t="shared" si="2"/>
        <v>2100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95</v>
      </c>
      <c r="B36" s="191">
        <f>'Données projet'!D49</f>
        <v>42</v>
      </c>
      <c r="C36" s="204">
        <v>60</v>
      </c>
      <c r="D36" s="192">
        <f t="shared" si="2"/>
        <v>2520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105</v>
      </c>
      <c r="B37" s="191">
        <f>'Données projet'!D50</f>
        <v>41</v>
      </c>
      <c r="C37" s="204">
        <v>70</v>
      </c>
      <c r="D37" s="192">
        <f t="shared" si="2"/>
        <v>2870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115</v>
      </c>
      <c r="B38" s="191">
        <f>'Données projet'!D51</f>
        <v>37</v>
      </c>
      <c r="C38" s="204">
        <v>80</v>
      </c>
      <c r="D38" s="192">
        <f t="shared" si="2"/>
        <v>2960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125</v>
      </c>
      <c r="B39" s="191">
        <f>'Données projet'!D52</f>
        <v>33</v>
      </c>
      <c r="C39" s="204">
        <v>90</v>
      </c>
      <c r="D39" s="192">
        <f>B39*C39</f>
        <v>2970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135</v>
      </c>
      <c r="B40" s="191">
        <f>'Données projet'!D53</f>
        <v>29</v>
      </c>
      <c r="C40" s="204">
        <v>100</v>
      </c>
      <c r="D40" s="192">
        <f t="shared" si="2"/>
        <v>2900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145</v>
      </c>
      <c r="B41" s="191">
        <f>'Données projet'!D54</f>
        <v>26</v>
      </c>
      <c r="C41" s="204">
        <v>150</v>
      </c>
      <c r="D41" s="192">
        <f>B41*C41</f>
        <v>3900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4">
        <v>200</v>
      </c>
      <c r="D42" s="192">
        <f t="shared" si="2"/>
        <v>58600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Charme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6.4102564102564097</v>
      </c>
      <c r="C54" s="204">
        <v>10</v>
      </c>
      <c r="D54" s="189">
        <f>B54*C54</f>
        <v>64.102564102564102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>
        <v>10</v>
      </c>
      <c r="D55" s="189">
        <f t="shared" ref="D55:D73" si="4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16.666666666666668</v>
      </c>
      <c r="C56" s="202">
        <v>10</v>
      </c>
      <c r="D56" s="189">
        <f t="shared" si="4"/>
        <v>166.66666666666669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2">
        <v>15</v>
      </c>
      <c r="D57" s="189">
        <f t="shared" si="4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21.153846153846153</v>
      </c>
      <c r="C58" s="202">
        <v>15</v>
      </c>
      <c r="D58" s="189">
        <f t="shared" si="4"/>
        <v>317.30769230769232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2">
        <v>15</v>
      </c>
      <c r="D59" s="189">
        <f t="shared" si="4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22.435897435897434</v>
      </c>
      <c r="C60" s="202">
        <v>20</v>
      </c>
      <c r="D60" s="189">
        <f t="shared" si="4"/>
        <v>448.71794871794867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2">
        <v>20</v>
      </c>
      <c r="D61" s="189">
        <f t="shared" si="4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23.076923076923077</v>
      </c>
      <c r="C62" s="202">
        <v>20</v>
      </c>
      <c r="D62" s="189">
        <f t="shared" si="4"/>
        <v>461.53846153846155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2">
        <v>25</v>
      </c>
      <c r="D63" s="189">
        <f t="shared" si="4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21.794871794871796</v>
      </c>
      <c r="C64" s="202">
        <v>25</v>
      </c>
      <c r="D64" s="189">
        <f t="shared" si="4"/>
        <v>544.87179487179492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2">
        <v>25</v>
      </c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21.794871794871796</v>
      </c>
      <c r="C66" s="204">
        <v>30</v>
      </c>
      <c r="D66" s="189">
        <f t="shared" si="4"/>
        <v>653.84615384615381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85</v>
      </c>
      <c r="B67" s="191">
        <f>'Données projet'!D75</f>
        <v>0</v>
      </c>
      <c r="C67" s="204">
        <v>30</v>
      </c>
      <c r="D67" s="189">
        <f t="shared" si="4"/>
        <v>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90</v>
      </c>
      <c r="B68" s="191">
        <f>'Données projet'!D76</f>
        <v>20.512820512820511</v>
      </c>
      <c r="C68" s="204">
        <v>30</v>
      </c>
      <c r="D68" s="189">
        <f t="shared" si="4"/>
        <v>615.38461538461536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95</v>
      </c>
      <c r="B69" s="191">
        <f>'Données projet'!D77</f>
        <v>0</v>
      </c>
      <c r="C69" s="204">
        <v>40</v>
      </c>
      <c r="D69" s="189">
        <f t="shared" si="4"/>
        <v>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100</v>
      </c>
      <c r="B70" s="191">
        <f>'Données projet'!D78</f>
        <v>19.23076923076923</v>
      </c>
      <c r="C70" s="204">
        <v>40</v>
      </c>
      <c r="D70" s="189">
        <f t="shared" si="4"/>
        <v>769.23076923076917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105</v>
      </c>
      <c r="B71" s="191">
        <f>'Données projet'!D79</f>
        <v>0</v>
      </c>
      <c r="C71" s="204">
        <v>45</v>
      </c>
      <c r="D71" s="189">
        <f t="shared" si="4"/>
        <v>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110</v>
      </c>
      <c r="B72" s="191">
        <f>'Données projet'!D80</f>
        <v>18.589743589743588</v>
      </c>
      <c r="C72" s="204">
        <v>45</v>
      </c>
      <c r="D72" s="189">
        <f t="shared" si="4"/>
        <v>836.53846153846143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120</v>
      </c>
      <c r="B73" s="191">
        <f>'Données projet'!D81</f>
        <v>214.10256410256409</v>
      </c>
      <c r="C73" s="202">
        <v>50</v>
      </c>
      <c r="D73" s="189">
        <f t="shared" si="4"/>
        <v>10705.128205128205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Erable champêtre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5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5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5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5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/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5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/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5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/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5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15</v>
      </c>
      <c r="B85" s="191">
        <f>'Données projet'!D88</f>
        <v>0</v>
      </c>
      <c r="C85" s="202">
        <v>10</v>
      </c>
      <c r="D85" s="189">
        <f>B85*C85</f>
        <v>0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5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20</v>
      </c>
      <c r="B86" s="191">
        <f>'Données projet'!D89</f>
        <v>21</v>
      </c>
      <c r="C86" s="202">
        <v>10</v>
      </c>
      <c r="D86" s="189">
        <f t="shared" ref="D86:D104" si="6">B86*C86</f>
        <v>210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5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25</v>
      </c>
      <c r="B87" s="191">
        <f>'Données projet'!D90</f>
        <v>0</v>
      </c>
      <c r="C87" s="202">
        <v>10</v>
      </c>
      <c r="D87" s="189">
        <f t="shared" si="6"/>
        <v>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5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30</v>
      </c>
      <c r="B88" s="191">
        <f>'Données projet'!D91</f>
        <v>42</v>
      </c>
      <c r="C88" s="204">
        <v>15</v>
      </c>
      <c r="D88" s="189">
        <f t="shared" si="6"/>
        <v>630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5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35</v>
      </c>
      <c r="B89" s="191">
        <f>'Données projet'!D92</f>
        <v>0</v>
      </c>
      <c r="C89" s="204">
        <v>20</v>
      </c>
      <c r="D89" s="189">
        <f t="shared" si="6"/>
        <v>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5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40</v>
      </c>
      <c r="B90" s="191">
        <f>'Données projet'!D93</f>
        <v>42</v>
      </c>
      <c r="C90" s="204">
        <v>20</v>
      </c>
      <c r="D90" s="189">
        <f t="shared" si="6"/>
        <v>840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5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45</v>
      </c>
      <c r="B91" s="191">
        <f>'Données projet'!D94</f>
        <v>0</v>
      </c>
      <c r="C91" s="204">
        <v>30</v>
      </c>
      <c r="D91" s="189">
        <f t="shared" si="6"/>
        <v>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5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50</v>
      </c>
      <c r="B92" s="191">
        <f>'Données projet'!D95</f>
        <v>31</v>
      </c>
      <c r="C92" s="204">
        <v>30</v>
      </c>
      <c r="D92" s="189">
        <f t="shared" si="6"/>
        <v>930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5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55</v>
      </c>
      <c r="B93" s="191">
        <f>'Données projet'!D96</f>
        <v>0</v>
      </c>
      <c r="C93" s="204">
        <v>30</v>
      </c>
      <c r="D93" s="189">
        <f t="shared" si="6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5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60</v>
      </c>
      <c r="B94" s="191">
        <f>'Données projet'!D97</f>
        <v>20</v>
      </c>
      <c r="C94" s="204">
        <v>40</v>
      </c>
      <c r="D94" s="189">
        <f t="shared" si="6"/>
        <v>800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5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65</v>
      </c>
      <c r="B95" s="191">
        <f>'Données projet'!D98</f>
        <v>0</v>
      </c>
      <c r="C95" s="204">
        <v>50</v>
      </c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5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70</v>
      </c>
      <c r="B96" s="191">
        <f>'Données projet'!D99</f>
        <v>16</v>
      </c>
      <c r="C96" s="204">
        <v>70</v>
      </c>
      <c r="D96" s="189">
        <f t="shared" si="6"/>
        <v>1120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5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75</v>
      </c>
      <c r="B97" s="191">
        <f>'Données projet'!D100</f>
        <v>0</v>
      </c>
      <c r="C97" s="204">
        <v>100</v>
      </c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7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80</v>
      </c>
      <c r="B98" s="191">
        <f>'Données projet'!D101</f>
        <v>226</v>
      </c>
      <c r="C98" s="204">
        <v>150</v>
      </c>
      <c r="D98" s="189">
        <f t="shared" si="6"/>
        <v>33900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7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4"/>
      <c r="D99" s="189">
        <f t="shared" si="6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7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4"/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7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4"/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7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4"/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7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4"/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7"/>
        <v>0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4"/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7"/>
        <v>0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7"/>
        <v>0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7"/>
        <v>0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Aulne à feuilles en cœur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7"/>
        <v>0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7"/>
        <v>0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7"/>
        <v>0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7"/>
        <v>0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7"/>
        <v>0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7"/>
        <v>0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7"/>
        <v>0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15</v>
      </c>
      <c r="B116" s="191">
        <f>'Données projet'!D114</f>
        <v>0</v>
      </c>
      <c r="C116" s="202">
        <v>5</v>
      </c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20</v>
      </c>
      <c r="B117" s="191">
        <f>'Données projet'!D115</f>
        <v>10</v>
      </c>
      <c r="C117" s="202">
        <v>5</v>
      </c>
      <c r="D117" s="189">
        <f t="shared" ref="D117:D135" si="8">B117*C117</f>
        <v>50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25</v>
      </c>
      <c r="B118" s="191">
        <f>'Données projet'!D116</f>
        <v>0</v>
      </c>
      <c r="C118" s="204">
        <v>5</v>
      </c>
      <c r="D118" s="189">
        <f t="shared" si="8"/>
        <v>0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30</v>
      </c>
      <c r="B119" s="191">
        <f>'Données projet'!D117</f>
        <v>31</v>
      </c>
      <c r="C119" s="204">
        <v>10</v>
      </c>
      <c r="D119" s="189">
        <f t="shared" si="8"/>
        <v>310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35</v>
      </c>
      <c r="B120" s="191">
        <f>'Données projet'!D118</f>
        <v>0</v>
      </c>
      <c r="C120" s="204">
        <v>10</v>
      </c>
      <c r="D120" s="189">
        <f t="shared" si="8"/>
        <v>0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40</v>
      </c>
      <c r="B121" s="191">
        <f>'Données projet'!D119</f>
        <v>37</v>
      </c>
      <c r="C121" s="204">
        <v>15</v>
      </c>
      <c r="D121" s="189">
        <f t="shared" si="8"/>
        <v>555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45</v>
      </c>
      <c r="B122" s="191">
        <f>'Données projet'!D120</f>
        <v>0</v>
      </c>
      <c r="C122" s="204">
        <v>15</v>
      </c>
      <c r="D122" s="189">
        <f t="shared" si="8"/>
        <v>0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50</v>
      </c>
      <c r="B123" s="191">
        <f>'Données projet'!D121</f>
        <v>37</v>
      </c>
      <c r="C123" s="204">
        <v>20</v>
      </c>
      <c r="D123" s="189">
        <f t="shared" si="8"/>
        <v>740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55</v>
      </c>
      <c r="B124" s="191">
        <f>'Données projet'!D122</f>
        <v>0</v>
      </c>
      <c r="C124" s="204">
        <v>20</v>
      </c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60</v>
      </c>
      <c r="B125" s="191">
        <f>'Données projet'!D123</f>
        <v>34</v>
      </c>
      <c r="C125" s="204">
        <v>25</v>
      </c>
      <c r="D125" s="189">
        <f t="shared" si="8"/>
        <v>850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65</v>
      </c>
      <c r="B126" s="191">
        <f>'Données projet'!D124</f>
        <v>0</v>
      </c>
      <c r="C126" s="204">
        <v>25</v>
      </c>
      <c r="D126" s="189">
        <f t="shared" si="8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70</v>
      </c>
      <c r="B127" s="191">
        <f>'Données projet'!D125</f>
        <v>31</v>
      </c>
      <c r="C127" s="204">
        <v>30</v>
      </c>
      <c r="D127" s="189">
        <f t="shared" si="8"/>
        <v>930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75</v>
      </c>
      <c r="B128" s="191">
        <f>'Données projet'!D126</f>
        <v>0</v>
      </c>
      <c r="C128" s="204">
        <v>30</v>
      </c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80</v>
      </c>
      <c r="B129" s="191">
        <f>'Données projet'!D127</f>
        <v>27</v>
      </c>
      <c r="C129" s="204">
        <v>35</v>
      </c>
      <c r="D129" s="189">
        <f t="shared" si="8"/>
        <v>945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85</v>
      </c>
      <c r="B130" s="191">
        <f>'Données projet'!D128</f>
        <v>0</v>
      </c>
      <c r="C130" s="204">
        <v>35</v>
      </c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90</v>
      </c>
      <c r="B131" s="191">
        <f>'Données projet'!D129</f>
        <v>183</v>
      </c>
      <c r="C131" s="204">
        <v>40</v>
      </c>
      <c r="D131" s="189">
        <f t="shared" si="8"/>
        <v>7320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4">
        <v>40</v>
      </c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4">
        <v>45</v>
      </c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4">
        <v>45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4">
        <v>50</v>
      </c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Alisier torminal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/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/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/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/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/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2"/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25</v>
      </c>
      <c r="B147" s="185">
        <f>'Données projet'!D140</f>
        <v>0</v>
      </c>
      <c r="C147" s="202">
        <v>10</v>
      </c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30</v>
      </c>
      <c r="B148" s="185">
        <f>'Données projet'!D141</f>
        <v>0</v>
      </c>
      <c r="C148" s="204">
        <v>10</v>
      </c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35</v>
      </c>
      <c r="B149" s="185">
        <f>'Données projet'!D142</f>
        <v>13</v>
      </c>
      <c r="C149" s="204">
        <v>10</v>
      </c>
      <c r="D149" s="192">
        <f t="shared" si="10"/>
        <v>130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40</v>
      </c>
      <c r="B150" s="185">
        <f>'Données projet'!D143</f>
        <v>0</v>
      </c>
      <c r="C150" s="204">
        <v>10</v>
      </c>
      <c r="D150" s="192">
        <f t="shared" si="10"/>
        <v>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45</v>
      </c>
      <c r="B151" s="185">
        <f>'Données projet'!D144</f>
        <v>28</v>
      </c>
      <c r="C151" s="204">
        <v>10</v>
      </c>
      <c r="D151" s="192">
        <f t="shared" si="10"/>
        <v>280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50</v>
      </c>
      <c r="B152" s="185">
        <f>'Données projet'!D145</f>
        <v>0</v>
      </c>
      <c r="C152" s="204">
        <v>20</v>
      </c>
      <c r="D152" s="192">
        <f t="shared" si="10"/>
        <v>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55</v>
      </c>
      <c r="B153" s="185">
        <f>'Données projet'!D146</f>
        <v>28</v>
      </c>
      <c r="C153" s="204">
        <v>20</v>
      </c>
      <c r="D153" s="192">
        <f t="shared" si="10"/>
        <v>560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5">
        <f>'Données projet'!D147</f>
        <v>0</v>
      </c>
      <c r="C154" s="204">
        <v>30</v>
      </c>
      <c r="D154" s="192">
        <f t="shared" si="10"/>
        <v>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65</v>
      </c>
      <c r="B155" s="185">
        <f>'Données projet'!D148</f>
        <v>28</v>
      </c>
      <c r="C155" s="204">
        <v>30</v>
      </c>
      <c r="D155" s="192">
        <f t="shared" si="10"/>
        <v>840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70</v>
      </c>
      <c r="B156" s="185">
        <f>'Données projet'!D149</f>
        <v>0</v>
      </c>
      <c r="C156" s="204">
        <v>35</v>
      </c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75</v>
      </c>
      <c r="B157" s="185">
        <f>'Données projet'!D150</f>
        <v>28</v>
      </c>
      <c r="C157" s="204">
        <v>40</v>
      </c>
      <c r="D157" s="192">
        <f t="shared" si="10"/>
        <v>1120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80</v>
      </c>
      <c r="B158" s="185">
        <f>'Données projet'!D151</f>
        <v>0</v>
      </c>
      <c r="C158" s="204">
        <v>45</v>
      </c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85</v>
      </c>
      <c r="B159" s="185">
        <f>'Données projet'!D152</f>
        <v>28</v>
      </c>
      <c r="C159" s="204">
        <v>50</v>
      </c>
      <c r="D159" s="192">
        <f t="shared" si="10"/>
        <v>1400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95</v>
      </c>
      <c r="B160" s="185">
        <f>'Données projet'!D153</f>
        <v>28</v>
      </c>
      <c r="C160" s="204">
        <v>60</v>
      </c>
      <c r="D160" s="192">
        <f t="shared" si="10"/>
        <v>1680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105</v>
      </c>
      <c r="B161" s="185">
        <f>'Données projet'!D154</f>
        <v>28</v>
      </c>
      <c r="C161" s="204">
        <v>70</v>
      </c>
      <c r="D161" s="192">
        <f t="shared" si="10"/>
        <v>1960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115</v>
      </c>
      <c r="B162" s="185">
        <f>'Données projet'!D155</f>
        <v>26</v>
      </c>
      <c r="C162" s="204">
        <v>80</v>
      </c>
      <c r="D162" s="192">
        <f t="shared" si="10"/>
        <v>2080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125</v>
      </c>
      <c r="B163" s="185">
        <f>'Données projet'!D156</f>
        <v>23</v>
      </c>
      <c r="C163" s="204">
        <v>90</v>
      </c>
      <c r="D163" s="192">
        <f t="shared" si="10"/>
        <v>2070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135</v>
      </c>
      <c r="B164" s="185">
        <f>'Données projet'!D157</f>
        <v>19</v>
      </c>
      <c r="C164" s="204">
        <v>100</v>
      </c>
      <c r="D164" s="192">
        <f t="shared" si="10"/>
        <v>1900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145</v>
      </c>
      <c r="B165" s="185">
        <f>'Données projet'!D158</f>
        <v>15</v>
      </c>
      <c r="C165" s="204">
        <v>150</v>
      </c>
      <c r="D165" s="192">
        <f t="shared" si="10"/>
        <v>2250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217</v>
      </c>
      <c r="C166" s="204">
        <v>200</v>
      </c>
      <c r="D166" s="192">
        <f t="shared" si="10"/>
        <v>43400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Cormier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/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/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/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/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/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/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25</v>
      </c>
      <c r="B179" s="191">
        <f>'Données projet'!D167</f>
        <v>8</v>
      </c>
      <c r="C179" s="204">
        <v>10</v>
      </c>
      <c r="D179" s="189">
        <f t="shared" ref="D179:D197" si="11">B179*C179</f>
        <v>80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30</v>
      </c>
      <c r="B180" s="191">
        <f>'Données projet'!D168</f>
        <v>0</v>
      </c>
      <c r="C180" s="204">
        <v>10</v>
      </c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35</v>
      </c>
      <c r="B181" s="191">
        <f>'Données projet'!D169</f>
        <v>42</v>
      </c>
      <c r="C181" s="204">
        <v>10</v>
      </c>
      <c r="D181" s="189">
        <f t="shared" si="11"/>
        <v>420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40</v>
      </c>
      <c r="B182" s="191">
        <f>'Données projet'!D170</f>
        <v>0</v>
      </c>
      <c r="C182" s="204">
        <v>10</v>
      </c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45</v>
      </c>
      <c r="B183" s="191">
        <f>'Données projet'!D171</f>
        <v>42</v>
      </c>
      <c r="C183" s="204">
        <v>20</v>
      </c>
      <c r="D183" s="189">
        <f t="shared" si="11"/>
        <v>840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50</v>
      </c>
      <c r="B184" s="191">
        <f>'Données projet'!D172</f>
        <v>0</v>
      </c>
      <c r="C184" s="204">
        <v>20</v>
      </c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55</v>
      </c>
      <c r="B185" s="191">
        <f>'Données projet'!D173</f>
        <v>42</v>
      </c>
      <c r="C185" s="204">
        <v>30</v>
      </c>
      <c r="D185" s="189">
        <f t="shared" si="11"/>
        <v>1260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60</v>
      </c>
      <c r="B186" s="191">
        <f>'Données projet'!D174</f>
        <v>0</v>
      </c>
      <c r="C186" s="204">
        <v>30</v>
      </c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65</v>
      </c>
      <c r="B187" s="191">
        <f>'Données projet'!D175</f>
        <v>42</v>
      </c>
      <c r="C187" s="204">
        <v>35</v>
      </c>
      <c r="D187" s="189">
        <f t="shared" si="11"/>
        <v>1470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70</v>
      </c>
      <c r="B188" s="191">
        <f>'Données projet'!D176</f>
        <v>0</v>
      </c>
      <c r="C188" s="204">
        <v>40</v>
      </c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75</v>
      </c>
      <c r="B189" s="191">
        <f>'Données projet'!D177</f>
        <v>42</v>
      </c>
      <c r="C189" s="204">
        <v>45</v>
      </c>
      <c r="D189" s="189">
        <f t="shared" si="11"/>
        <v>1890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85</v>
      </c>
      <c r="B190" s="191">
        <f>'Données projet'!D178</f>
        <v>42</v>
      </c>
      <c r="C190" s="204">
        <v>50</v>
      </c>
      <c r="D190" s="189">
        <f t="shared" si="11"/>
        <v>2100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95</v>
      </c>
      <c r="B191" s="191">
        <f>'Données projet'!D179</f>
        <v>42</v>
      </c>
      <c r="C191" s="204">
        <v>60</v>
      </c>
      <c r="D191" s="189">
        <f t="shared" si="11"/>
        <v>2520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105</v>
      </c>
      <c r="B192" s="191">
        <f>'Données projet'!D180</f>
        <v>41</v>
      </c>
      <c r="C192" s="204">
        <v>70</v>
      </c>
      <c r="D192" s="189">
        <f t="shared" si="11"/>
        <v>2870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115</v>
      </c>
      <c r="B193" s="191">
        <f>'Données projet'!D181</f>
        <v>37</v>
      </c>
      <c r="C193" s="204">
        <v>80</v>
      </c>
      <c r="D193" s="189">
        <f t="shared" si="11"/>
        <v>2960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125</v>
      </c>
      <c r="B194" s="191">
        <f>'Données projet'!D182</f>
        <v>33</v>
      </c>
      <c r="C194" s="204">
        <v>90</v>
      </c>
      <c r="D194" s="189">
        <f t="shared" si="11"/>
        <v>2970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135</v>
      </c>
      <c r="B195" s="191">
        <f>'Données projet'!D183</f>
        <v>29</v>
      </c>
      <c r="C195" s="204">
        <v>100</v>
      </c>
      <c r="D195" s="189">
        <f t="shared" si="11"/>
        <v>2900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145</v>
      </c>
      <c r="B196" s="191">
        <f>'Données projet'!D184</f>
        <v>26</v>
      </c>
      <c r="C196" s="204">
        <v>150</v>
      </c>
      <c r="D196" s="189">
        <f t="shared" si="11"/>
        <v>3900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150</v>
      </c>
      <c r="B197" s="191">
        <f>'Données projet'!D185</f>
        <v>293</v>
      </c>
      <c r="C197" s="204">
        <v>200</v>
      </c>
      <c r="D197" s="189">
        <f t="shared" si="11"/>
        <v>58600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Tilleul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20</v>
      </c>
      <c r="B209" s="191">
        <f>'Données projet'!D192</f>
        <v>7.0512820512820511</v>
      </c>
      <c r="C209" s="202">
        <v>10</v>
      </c>
      <c r="D209" s="189">
        <f>B209*C209</f>
        <v>70.512820512820511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25</v>
      </c>
      <c r="B210" s="191">
        <f>'Données projet'!D193</f>
        <v>0</v>
      </c>
      <c r="C210" s="202">
        <v>10</v>
      </c>
      <c r="D210" s="189">
        <f t="shared" ref="D210:D228" si="12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30</v>
      </c>
      <c r="B211" s="191">
        <f>'Données projet'!D194</f>
        <v>19.23076923076923</v>
      </c>
      <c r="C211" s="202">
        <v>10</v>
      </c>
      <c r="D211" s="189">
        <f t="shared" si="12"/>
        <v>192.30769230769229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35</v>
      </c>
      <c r="B212" s="191">
        <f>'Données projet'!D195</f>
        <v>0</v>
      </c>
      <c r="C212" s="202">
        <v>15</v>
      </c>
      <c r="D212" s="189">
        <f t="shared" si="12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40</v>
      </c>
      <c r="B213" s="191">
        <f>'Données projet'!D196</f>
        <v>21.794871794871796</v>
      </c>
      <c r="C213" s="202">
        <v>15</v>
      </c>
      <c r="D213" s="189">
        <f t="shared" si="12"/>
        <v>326.92307692307691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45</v>
      </c>
      <c r="B214" s="191">
        <f>'Données projet'!D197</f>
        <v>0</v>
      </c>
      <c r="C214" s="202">
        <v>20</v>
      </c>
      <c r="D214" s="189">
        <f>B214*C214</f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50</v>
      </c>
      <c r="B215" s="191">
        <f>'Données projet'!D198</f>
        <v>21.794871794871796</v>
      </c>
      <c r="C215" s="202">
        <v>20</v>
      </c>
      <c r="D215" s="189">
        <f t="shared" si="12"/>
        <v>435.89743589743591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55</v>
      </c>
      <c r="B216" s="191">
        <f>'Données projet'!D199</f>
        <v>0</v>
      </c>
      <c r="C216" s="202">
        <v>25</v>
      </c>
      <c r="D216" s="189">
        <f t="shared" si="12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60</v>
      </c>
      <c r="B217" s="191">
        <f>'Données projet'!D200</f>
        <v>21.794871794871796</v>
      </c>
      <c r="C217" s="204">
        <v>25</v>
      </c>
      <c r="D217" s="189">
        <f>B217*C217</f>
        <v>544.87179487179492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65</v>
      </c>
      <c r="B218" s="191">
        <f>'Données projet'!D201</f>
        <v>0</v>
      </c>
      <c r="C218" s="204">
        <v>30</v>
      </c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70</v>
      </c>
      <c r="B219" s="191">
        <f>'Données projet'!D202</f>
        <v>19.871794871794872</v>
      </c>
      <c r="C219" s="204">
        <v>30</v>
      </c>
      <c r="D219" s="189">
        <f t="shared" si="12"/>
        <v>596.15384615384619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75</v>
      </c>
      <c r="B220" s="191">
        <f>'Données projet'!D203</f>
        <v>0</v>
      </c>
      <c r="C220" s="204">
        <v>30</v>
      </c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80</v>
      </c>
      <c r="B221" s="191">
        <f>'Données projet'!D204</f>
        <v>18.589743589743588</v>
      </c>
      <c r="C221" s="204">
        <v>40</v>
      </c>
      <c r="D221" s="189">
        <f t="shared" si="12"/>
        <v>743.58974358974353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85</v>
      </c>
      <c r="B222" s="191">
        <f>'Données projet'!D205</f>
        <v>0</v>
      </c>
      <c r="C222" s="204">
        <v>40</v>
      </c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90</v>
      </c>
      <c r="B223" s="191">
        <f>'Données projet'!D206</f>
        <v>17.307692307692307</v>
      </c>
      <c r="C223" s="202">
        <v>40</v>
      </c>
      <c r="D223" s="189">
        <f t="shared" si="12"/>
        <v>692.30769230769226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95</v>
      </c>
      <c r="B224" s="191">
        <f>'Données projet'!D207</f>
        <v>0</v>
      </c>
      <c r="C224" s="204">
        <v>50</v>
      </c>
      <c r="D224" s="189">
        <f t="shared" si="12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100</v>
      </c>
      <c r="B225" s="191">
        <f>'Données projet'!D208</f>
        <v>16.025641025641026</v>
      </c>
      <c r="C225" s="204">
        <v>60</v>
      </c>
      <c r="D225" s="189">
        <f t="shared" si="12"/>
        <v>961.53846153846155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105</v>
      </c>
      <c r="B226" s="191">
        <f>'Données projet'!D209</f>
        <v>0</v>
      </c>
      <c r="C226" s="204">
        <v>60</v>
      </c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110</v>
      </c>
      <c r="B227" s="191">
        <f>'Données projet'!D210</f>
        <v>210.89743589743588</v>
      </c>
      <c r="C227" s="204">
        <v>60</v>
      </c>
      <c r="D227" s="189">
        <f t="shared" si="12"/>
        <v>12653.846153846152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>
        <v>70</v>
      </c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/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/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/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/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/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/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/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2"/>
      <c r="D273" s="189">
        <f t="shared" si="14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2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2"/>
      <c r="D275" s="189">
        <f t="shared" si="14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2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2"/>
      <c r="D277" s="189">
        <f t="shared" si="14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2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2"/>
      <c r="D279" s="189">
        <f t="shared" si="14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2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2"/>
      <c r="D281" s="189">
        <f t="shared" si="14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 t="shared" ref="D302:D314" si="15"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4"/>
      <c r="D303" s="192">
        <f t="shared" si="15"/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4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4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4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4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4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4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4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4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4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4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4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4"/>
      <c r="D315" s="192">
        <f t="shared" ref="D315:D321" si="16">B315*C315</f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4"/>
      <c r="D316" s="192">
        <f t="shared" si="16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4"/>
      <c r="D317" s="192">
        <f t="shared" si="16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4"/>
      <c r="D318" s="192">
        <f t="shared" si="16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4"/>
      <c r="D319" s="192">
        <f t="shared" si="16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4"/>
      <c r="D320" s="192">
        <f t="shared" si="16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4"/>
      <c r="D321" s="192">
        <f t="shared" si="16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fleur.alonso</cp:lastModifiedBy>
  <dcterms:created xsi:type="dcterms:W3CDTF">2021-02-01T08:22:39Z</dcterms:created>
  <dcterms:modified xsi:type="dcterms:W3CDTF">2025-06-13T14:07:01Z</dcterms:modified>
</cp:coreProperties>
</file>