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g-fs.cnpf.fr\Fleur.ALONSO\Alonso_rep C+FOR\Montage de projets\Projets\Actifs\Nans (25) Bertrand Menier - A. S. O\Docs 0 à 9\"/>
    </mc:Choice>
  </mc:AlternateContent>
  <bookViews>
    <workbookView xWindow="0" yWindow="0" windowWidth="20496" windowHeight="7752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2" i="1" l="1"/>
  <c r="D50" i="1" l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D81" i="1" l="1"/>
  <c r="D80" i="1"/>
  <c r="D78" i="1"/>
  <c r="D76" i="1"/>
  <c r="D74" i="1"/>
  <c r="D72" i="1"/>
  <c r="D70" i="1"/>
  <c r="D68" i="1"/>
  <c r="D66" i="1"/>
  <c r="D64" i="1"/>
  <c r="D6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159" i="1" l="1"/>
  <c r="D159" i="1" s="1"/>
  <c r="D158" i="1"/>
  <c r="B158" i="1"/>
  <c r="B157" i="1"/>
  <c r="D156" i="1"/>
  <c r="B156" i="1"/>
  <c r="B155" i="1"/>
  <c r="D154" i="1"/>
  <c r="B154" i="1"/>
  <c r="B153" i="1"/>
  <c r="D152" i="1"/>
  <c r="B152" i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D142" i="1"/>
  <c r="B142" i="1"/>
  <c r="B141" i="1"/>
  <c r="D140" i="1"/>
  <c r="B140" i="1"/>
  <c r="D131" i="1" l="1"/>
  <c r="D129" i="1"/>
  <c r="D127" i="1"/>
  <c r="D125" i="1"/>
  <c r="D123" i="1"/>
  <c r="D121" i="1"/>
  <c r="D119" i="1"/>
  <c r="D117" i="1"/>
  <c r="D115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D13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EC4" i="2"/>
  <c r="EA4" i="2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EA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HJ154" i="2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HH156" i="2"/>
  <c r="HG156" i="2"/>
  <c r="EY155" i="2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C160" i="2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HG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EW162" i="2"/>
  <c r="EY161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HH163" i="2"/>
  <c r="HG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C166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D171" i="2"/>
  <c r="EB172" i="2"/>
  <c r="EY171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D177" i="2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D178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B186" i="2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D189" i="2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HI192" i="2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HI195" i="2"/>
  <c r="HG195" i="2"/>
  <c r="EB195" i="2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Y198" i="2"/>
  <c r="EB199" i="2"/>
  <c r="EW199" i="2"/>
  <c r="FS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HH201" i="2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Z6" i="2" l="1"/>
  <c r="FS202" i="2"/>
  <c r="HG202" i="2"/>
  <c r="HH202" i="2"/>
  <c r="HI202" i="2"/>
  <c r="EY201" i="2"/>
  <c r="ED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CS38" i="2" a="1"/>
  <c r="CS38" i="2" s="1"/>
  <c r="EI36" i="2" a="1"/>
  <c r="EI36" i="2" s="1"/>
  <c r="EI34" i="2" a="1"/>
  <c r="EI34" i="2" s="1"/>
  <c r="EI20" i="2" a="1"/>
  <c r="EI20" i="2" s="1"/>
  <c r="CS185" i="2" a="1"/>
  <c r="CS185" i="2" s="1"/>
  <c r="CS114" i="2" a="1"/>
  <c r="CS114" i="2" s="1"/>
  <c r="DN6" i="2" a="1"/>
  <c r="DN6" i="2" s="1"/>
  <c r="DO6" i="2" s="1"/>
  <c r="CS24" i="2" a="1"/>
  <c r="CS24" i="2" s="1"/>
  <c r="CS134" i="2" a="1"/>
  <c r="CS134" i="2" s="1"/>
  <c r="AX200" i="2"/>
  <c r="CS120" i="2" l="1" a="1"/>
  <c r="CS120" i="2" s="1"/>
  <c r="CS72" i="2" a="1"/>
  <c r="CS72" i="2" s="1"/>
  <c r="EI87" i="2" a="1"/>
  <c r="EI87" i="2" s="1"/>
  <c r="BX107" i="2" a="1"/>
  <c r="BX107" i="2" s="1"/>
  <c r="CS161" i="2" a="1"/>
  <c r="CS161" i="2" s="1"/>
  <c r="CS77" i="2" a="1"/>
  <c r="CS77" i="2" s="1"/>
  <c r="CS137" i="2" a="1"/>
  <c r="CS137" i="2" s="1"/>
  <c r="CS56" i="2" a="1"/>
  <c r="CS56" i="2" s="1"/>
  <c r="FD48" i="2" a="1"/>
  <c r="FD48" i="2" s="1"/>
  <c r="EI35" i="2" a="1"/>
  <c r="EI35" i="2" s="1"/>
  <c r="EI139" i="2" a="1"/>
  <c r="EI139" i="2" s="1"/>
  <c r="EI113" i="2" a="1"/>
  <c r="EI113" i="2" s="1"/>
  <c r="FD44" i="2" a="1"/>
  <c r="FD44" i="2" s="1"/>
  <c r="AH90" i="2" a="1"/>
  <c r="AH90" i="2" s="1"/>
  <c r="CS105" i="2" a="1"/>
  <c r="CS105" i="2" s="1"/>
  <c r="CS52" i="2" a="1"/>
  <c r="CS52" i="2" s="1"/>
  <c r="CS66" i="2" a="1"/>
  <c r="CS66" i="2" s="1"/>
  <c r="FD188" i="2" a="1"/>
  <c r="FD188" i="2" s="1"/>
  <c r="FD82" i="2" a="1"/>
  <c r="FD82" i="2" s="1"/>
  <c r="FD131" i="2" a="1"/>
  <c r="FD131" i="2" s="1"/>
  <c r="FD187" i="2" a="1"/>
  <c r="FD187" i="2" s="1"/>
  <c r="FD194" i="2" a="1"/>
  <c r="FD194" i="2" s="1"/>
  <c r="FD19" i="2" a="1"/>
  <c r="FD19" i="2" s="1"/>
  <c r="FD160" i="2" a="1"/>
  <c r="FD160" i="2" s="1"/>
  <c r="FD137" i="2" a="1"/>
  <c r="FD137" i="2" s="1"/>
  <c r="FD159" i="2" a="1"/>
  <c r="FD159" i="2" s="1"/>
  <c r="FD107" i="2" a="1"/>
  <c r="FD107" i="2" s="1"/>
  <c r="FD167" i="2" a="1"/>
  <c r="FD167" i="2" s="1"/>
  <c r="FD43" i="2" a="1"/>
  <c r="FD43" i="2" s="1"/>
  <c r="FD64" i="2" a="1"/>
  <c r="FD64" i="2" s="1"/>
  <c r="FD189" i="2" a="1"/>
  <c r="FD189" i="2" s="1"/>
  <c r="FD14" i="2" a="1"/>
  <c r="FD14" i="2" s="1"/>
  <c r="FD59" i="2" a="1"/>
  <c r="FD59" i="2" s="1"/>
  <c r="FD144" i="2" a="1"/>
  <c r="FD144" i="2" s="1"/>
  <c r="FD21" i="2" a="1"/>
  <c r="FD21" i="2" s="1"/>
  <c r="FD60" i="2" a="1"/>
  <c r="FD60" i="2" s="1"/>
  <c r="EI37" i="2" a="1"/>
  <c r="EI37" i="2" s="1"/>
  <c r="EI145" i="2" a="1"/>
  <c r="EI145" i="2" s="1"/>
  <c r="EI162" i="2" a="1"/>
  <c r="EI162" i="2" s="1"/>
  <c r="EI67" i="2" a="1"/>
  <c r="EI67" i="2" s="1"/>
  <c r="EI170" i="2" a="1"/>
  <c r="EI170" i="2" s="1"/>
  <c r="EI16" i="2" a="1"/>
  <c r="EI16" i="2" s="1"/>
  <c r="EI178" i="2" a="1"/>
  <c r="EI178" i="2" s="1"/>
  <c r="EI150" i="2" a="1"/>
  <c r="EI150" i="2" s="1"/>
  <c r="EI29" i="2" a="1"/>
  <c r="EI29" i="2" s="1"/>
  <c r="EI165" i="2" a="1"/>
  <c r="EI165" i="2" s="1"/>
  <c r="EI71" i="2" a="1"/>
  <c r="EI71" i="2" s="1"/>
  <c r="EI57" i="2" a="1"/>
  <c r="EI57" i="2" s="1"/>
  <c r="EI106" i="2" a="1"/>
  <c r="EI106" i="2" s="1"/>
  <c r="EI153" i="2" a="1"/>
  <c r="EI153" i="2" s="1"/>
  <c r="EI109" i="2" a="1"/>
  <c r="EI109" i="2" s="1"/>
  <c r="EI38" i="2" a="1"/>
  <c r="EI38" i="2" s="1"/>
  <c r="EI195" i="2" a="1"/>
  <c r="EI195" i="2" s="1"/>
  <c r="EI166" i="2" a="1"/>
  <c r="EI166" i="2" s="1"/>
  <c r="EI198" i="2" a="1"/>
  <c r="EI198" i="2" s="1"/>
  <c r="EI128" i="2" a="1"/>
  <c r="EI128" i="2" s="1"/>
  <c r="EI142" i="2" a="1"/>
  <c r="EI142" i="2" s="1"/>
  <c r="CS116" i="2" a="1"/>
  <c r="CS116" i="2" s="1"/>
  <c r="CS129" i="2" a="1"/>
  <c r="CS129" i="2" s="1"/>
  <c r="FS203" i="2"/>
  <c r="EY202" i="2"/>
  <c r="HJ202" i="2"/>
  <c r="FR203" i="2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GT51" i="2" a="1"/>
  <c r="GT51" i="2" s="1"/>
  <c r="GT138" i="2" a="1"/>
  <c r="GT138" i="2" s="1"/>
  <c r="GT178" i="2" a="1"/>
  <c r="GT178" i="2" s="1"/>
  <c r="GT15" i="2" a="1"/>
  <c r="GT15" i="2" s="1"/>
  <c r="GT74" i="2" a="1"/>
  <c r="GT74" i="2" s="1"/>
  <c r="GT133" i="2" a="1"/>
  <c r="GT133" i="2" s="1"/>
  <c r="GT107" i="2" a="1"/>
  <c r="GT107" i="2" s="1"/>
  <c r="GT189" i="2" a="1"/>
  <c r="GT189" i="2" s="1"/>
  <c r="GT184" i="2" a="1"/>
  <c r="GT184" i="2" s="1"/>
  <c r="GT174" i="2" a="1"/>
  <c r="GT174" i="2" s="1"/>
  <c r="GT198" i="2" a="1"/>
  <c r="GT198" i="2" s="1"/>
  <c r="GT11" i="2" a="1"/>
  <c r="GT11" i="2" s="1"/>
  <c r="GT102" i="2" a="1"/>
  <c r="GT102" i="2" s="1"/>
  <c r="GT190" i="2" a="1"/>
  <c r="GT190" i="2" s="1"/>
  <c r="GT191" i="2" a="1"/>
  <c r="GT191" i="2" s="1"/>
  <c r="GT12" i="2" a="1"/>
  <c r="GT12" i="2" s="1"/>
  <c r="GT147" i="2" a="1"/>
  <c r="GT147" i="2" s="1"/>
  <c r="GT21" i="2" a="1"/>
  <c r="GT21" i="2" s="1"/>
  <c r="GT152" i="2" a="1"/>
  <c r="GT152" i="2" s="1"/>
  <c r="GT38" i="2" a="1"/>
  <c r="GT38" i="2" s="1"/>
  <c r="GT126" i="2" a="1"/>
  <c r="GT126" i="2" s="1"/>
  <c r="GT33" i="2" a="1"/>
  <c r="GT33" i="2" s="1"/>
  <c r="GT181" i="2" a="1"/>
  <c r="GT181" i="2" s="1"/>
  <c r="GT115" i="2" a="1"/>
  <c r="GT115" i="2" s="1"/>
  <c r="GT121" i="2" a="1"/>
  <c r="GT121" i="2" s="1"/>
  <c r="GT122" i="2" a="1"/>
  <c r="GT122" i="2" s="1"/>
  <c r="GT68" i="2" a="1"/>
  <c r="GT68" i="2" s="1"/>
  <c r="HH203" i="2"/>
  <c r="HG203" i="2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D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T203" i="2"/>
  <c r="DI203" i="2"/>
  <c r="CN203" i="2"/>
  <c r="EY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25" i="2" l="1"/>
  <c r="GE178" i="2"/>
  <c r="GE139" i="2"/>
  <c r="GE142" i="2"/>
  <c r="GE151" i="2"/>
  <c r="GE199" i="2"/>
  <c r="GE113" i="2"/>
  <c r="GE116" i="2"/>
  <c r="GE168" i="2"/>
  <c r="GE82" i="2"/>
  <c r="GE32" i="2"/>
  <c r="GE106" i="2"/>
  <c r="GE105" i="2"/>
  <c r="GE34" i="2"/>
  <c r="GE63" i="2"/>
  <c r="GE130" i="2"/>
  <c r="GE60" i="2"/>
  <c r="GE158" i="2"/>
  <c r="GE17" i="2"/>
  <c r="GE30" i="2"/>
  <c r="GE110" i="2"/>
  <c r="GE93" i="2"/>
  <c r="GE90" i="2"/>
  <c r="GE121" i="2"/>
  <c r="GE73" i="2"/>
  <c r="GE37" i="2"/>
  <c r="GE50" i="2"/>
  <c r="GE47" i="2"/>
  <c r="GE5" i="2"/>
  <c r="GE10" i="2"/>
  <c r="GE161" i="2"/>
  <c r="GE7" i="2"/>
  <c r="GE20" i="2"/>
  <c r="GE15" i="2"/>
  <c r="GE94" i="2"/>
  <c r="GE3" i="2"/>
  <c r="C14" i="4" s="1"/>
  <c r="E14" i="4" s="1"/>
  <c r="F14" i="4" s="1"/>
  <c r="G14" i="4" s="1"/>
  <c r="L14" i="4" s="1"/>
  <c r="GE147" i="2"/>
  <c r="GE102" i="2"/>
  <c r="GE76" i="2"/>
  <c r="GE38" i="2"/>
  <c r="GE156" i="2"/>
  <c r="GE174" i="2"/>
  <c r="GE22" i="2"/>
  <c r="GE57" i="2"/>
  <c r="GE190" i="2"/>
  <c r="GE197" i="2"/>
  <c r="GE100" i="2"/>
  <c r="GE56" i="2"/>
  <c r="GE176" i="2"/>
  <c r="GE148" i="2"/>
  <c r="GE95" i="2"/>
  <c r="GE169" i="2"/>
  <c r="GE31" i="2"/>
  <c r="GE192" i="2"/>
  <c r="GE173" i="2"/>
  <c r="GE36" i="2"/>
  <c r="GE75" i="2"/>
  <c r="GE35" i="2"/>
  <c r="GE48" i="2"/>
  <c r="GE11" i="2"/>
  <c r="GE187" i="2"/>
  <c r="GE13" i="2"/>
  <c r="GE193" i="2"/>
  <c r="GE171" i="2"/>
  <c r="GE98" i="2"/>
  <c r="GE200" i="2"/>
  <c r="GE59" i="2"/>
  <c r="GE88" i="2"/>
  <c r="GE42" i="2"/>
  <c r="GE96" i="2"/>
  <c r="GE195" i="2"/>
  <c r="GE69" i="2"/>
  <c r="GE55" i="2"/>
  <c r="GE160" i="2"/>
  <c r="GE159" i="2"/>
  <c r="GE182" i="2"/>
  <c r="GE149" i="2"/>
  <c r="GE184" i="2"/>
  <c r="GE137" i="2"/>
  <c r="GE109" i="2"/>
  <c r="GE115" i="2"/>
  <c r="GE118" i="2"/>
  <c r="GE166" i="2"/>
  <c r="GE87" i="2"/>
  <c r="GE201" i="2"/>
  <c r="GE111" i="2"/>
  <c r="GE16" i="2"/>
  <c r="GE49" i="2"/>
  <c r="GE179" i="2"/>
  <c r="GE53" i="2"/>
  <c r="GE80" i="2"/>
  <c r="GE92" i="2"/>
  <c r="GE185" i="2"/>
  <c r="GE33" i="2"/>
  <c r="GE134" i="2"/>
  <c r="GE140" i="2"/>
  <c r="GE146" i="2"/>
  <c r="GE189" i="2"/>
  <c r="GE153" i="2"/>
  <c r="GE155" i="2"/>
  <c r="GE52" i="2"/>
  <c r="GE203" i="2"/>
  <c r="GE107" i="2"/>
  <c r="GE180" i="2"/>
  <c r="GE150" i="2"/>
  <c r="GE133" i="2"/>
  <c r="GE64" i="2"/>
  <c r="GE165" i="2"/>
  <c r="GE175" i="2"/>
  <c r="GE97" i="2"/>
  <c r="GE62" i="2"/>
  <c r="GE112" i="2"/>
  <c r="GE162" i="2"/>
  <c r="GE152" i="2"/>
  <c r="GE123" i="2"/>
  <c r="GE28" i="2"/>
  <c r="GE131" i="2"/>
  <c r="GE89" i="2"/>
  <c r="GE188" i="2"/>
  <c r="GE127" i="2"/>
  <c r="GE183" i="2"/>
  <c r="GE54" i="2"/>
  <c r="GE19" i="2"/>
  <c r="GE99" i="2"/>
  <c r="GE45" i="2"/>
  <c r="GE164" i="2"/>
  <c r="GE65" i="2"/>
  <c r="GE67" i="2"/>
  <c r="GE14" i="2"/>
  <c r="GE66" i="2"/>
  <c r="GE104" i="2"/>
  <c r="GE119" i="2"/>
  <c r="GE44" i="2"/>
  <c r="GE40" i="2"/>
  <c r="GE51" i="2"/>
  <c r="GE27" i="2"/>
  <c r="GE78" i="2"/>
  <c r="GE39" i="2"/>
  <c r="GE8" i="2"/>
  <c r="GE85" i="2"/>
  <c r="GE41" i="2"/>
  <c r="GE125" i="2"/>
  <c r="GE61" i="2"/>
  <c r="GE43" i="2"/>
  <c r="GE21" i="2"/>
  <c r="GE124" i="2"/>
  <c r="GE18" i="2"/>
  <c r="GE9" i="2"/>
  <c r="GE84" i="2"/>
  <c r="GE141" i="2"/>
  <c r="GE101" i="2"/>
  <c r="GE120" i="2"/>
  <c r="GE126" i="2"/>
  <c r="GE72" i="2"/>
  <c r="GE6" i="2"/>
  <c r="GE181" i="2"/>
  <c r="GE26" i="2"/>
  <c r="GE157" i="2"/>
  <c r="GE74" i="2"/>
  <c r="GE132" i="2"/>
  <c r="GE24" i="2"/>
  <c r="GE191" i="2"/>
  <c r="GE177" i="2"/>
  <c r="GE143" i="2"/>
  <c r="GE77" i="2"/>
  <c r="GE70" i="2"/>
  <c r="GE23" i="2"/>
  <c r="GE135" i="2"/>
  <c r="GE129" i="2"/>
  <c r="GE103" i="2"/>
  <c r="GE114" i="2"/>
  <c r="GE46" i="2"/>
  <c r="GE136" i="2"/>
  <c r="GE29" i="2"/>
  <c r="GE198" i="2"/>
  <c r="GE202" i="2"/>
  <c r="GE170" i="2"/>
  <c r="GE71" i="2"/>
  <c r="GE186" i="2"/>
  <c r="GE172" i="2"/>
  <c r="GE144" i="2"/>
  <c r="GE79" i="2"/>
  <c r="GE122" i="2"/>
  <c r="GE4" i="2"/>
  <c r="GE128" i="2"/>
  <c r="GE91" i="2"/>
  <c r="GE68" i="2"/>
  <c r="GE163" i="2"/>
  <c r="GE81" i="2"/>
  <c r="GE196" i="2"/>
  <c r="GE12" i="2"/>
  <c r="GE167" i="2"/>
  <c r="GE58" i="2"/>
  <c r="GE138" i="2"/>
  <c r="GE194" i="2"/>
  <c r="GE86" i="2"/>
  <c r="GE83" i="2"/>
  <c r="GE145" i="2"/>
  <c r="GE154" i="2"/>
  <c r="GE108" i="2"/>
  <c r="GE11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197" i="2" l="1"/>
  <c r="CD38" i="2"/>
  <c r="CD108" i="2"/>
  <c r="CD78" i="2"/>
  <c r="CD8" i="2"/>
  <c r="CD23" i="2"/>
  <c r="CD21" i="2"/>
  <c r="CD138" i="2"/>
  <c r="CD113" i="2"/>
  <c r="CD165" i="2"/>
  <c r="CD114" i="2"/>
  <c r="CD35" i="2"/>
  <c r="CD203" i="2"/>
  <c r="CD145" i="2"/>
  <c r="CD39" i="2"/>
  <c r="CD5" i="2"/>
  <c r="CD142" i="2"/>
  <c r="CD129" i="2"/>
  <c r="CD202" i="2"/>
  <c r="CD65" i="2"/>
  <c r="CD183" i="2"/>
  <c r="CD53" i="2"/>
  <c r="CD105" i="2"/>
  <c r="CD177" i="2"/>
  <c r="CD72" i="2"/>
  <c r="CD37" i="2"/>
  <c r="CD192" i="2"/>
  <c r="CD89" i="2"/>
  <c r="CD83" i="2"/>
  <c r="CD128" i="2"/>
  <c r="CD132" i="2"/>
  <c r="CD110" i="2"/>
  <c r="CD3" i="2"/>
  <c r="C9" i="4" s="1"/>
  <c r="E9" i="4" s="1"/>
  <c r="F9" i="4" s="1"/>
  <c r="G9" i="4" s="1"/>
  <c r="L9" i="4" s="1"/>
  <c r="CD97" i="2"/>
  <c r="CD125" i="2"/>
  <c r="CD172" i="2"/>
  <c r="CD144" i="2"/>
  <c r="CD155" i="2"/>
  <c r="CD52" i="2"/>
  <c r="CD10" i="2"/>
  <c r="CD62" i="2"/>
  <c r="CD133" i="2"/>
  <c r="CD190" i="2"/>
  <c r="CD55" i="2"/>
  <c r="CD28" i="2"/>
  <c r="CD134" i="2"/>
  <c r="CD164" i="2"/>
  <c r="CD102" i="2"/>
  <c r="CD68" i="2"/>
  <c r="CD194" i="2"/>
  <c r="CD140" i="2"/>
  <c r="CD73" i="2"/>
  <c r="CD4" i="2"/>
  <c r="CD31" i="2"/>
  <c r="CD118" i="2"/>
  <c r="CD42" i="2"/>
  <c r="CD75" i="2"/>
  <c r="CD124" i="2"/>
  <c r="CD27" i="2"/>
  <c r="CD90" i="2"/>
  <c r="CD119" i="2"/>
  <c r="CD51" i="2"/>
  <c r="CD147" i="2"/>
  <c r="CD25" i="2"/>
  <c r="CD185" i="2"/>
  <c r="CD46" i="2"/>
  <c r="CD58" i="2"/>
  <c r="CD92" i="2"/>
  <c r="CD12" i="2"/>
  <c r="CD70" i="2"/>
  <c r="CD17" i="2"/>
  <c r="CD167" i="2"/>
  <c r="CD122" i="2"/>
  <c r="CD40" i="2"/>
  <c r="CD193" i="2"/>
  <c r="CD152" i="2"/>
  <c r="CD67" i="2"/>
  <c r="CD54" i="2"/>
  <c r="CD29" i="2"/>
  <c r="CD96" i="2"/>
  <c r="CD104" i="2"/>
  <c r="CD153" i="2"/>
  <c r="CD11" i="2"/>
  <c r="CD32" i="2"/>
  <c r="CD123" i="2"/>
  <c r="CD86" i="2"/>
  <c r="CD137" i="2"/>
  <c r="CD101" i="2"/>
  <c r="CD33" i="2"/>
  <c r="CD6" i="2"/>
  <c r="CD94" i="2"/>
  <c r="CD20" i="2"/>
  <c r="CD13" i="2"/>
  <c r="CD44" i="2"/>
  <c r="CD107" i="2"/>
  <c r="CD16" i="2"/>
  <c r="CD121" i="2"/>
  <c r="CD61" i="2"/>
  <c r="CD139" i="2"/>
  <c r="CD120" i="2"/>
  <c r="CD57" i="2"/>
  <c r="CD109" i="2"/>
  <c r="CD36" i="2"/>
  <c r="CD162" i="2"/>
  <c r="CD168" i="2"/>
  <c r="CD198" i="2"/>
  <c r="CD136" i="2"/>
  <c r="CD64" i="2"/>
  <c r="CD130" i="2"/>
  <c r="CD200" i="2"/>
  <c r="CD150" i="2"/>
  <c r="CD149" i="2"/>
  <c r="CD14" i="2"/>
  <c r="CD115" i="2"/>
  <c r="CD18" i="2"/>
  <c r="CD99" i="2"/>
  <c r="CD195" i="2"/>
  <c r="CD47" i="2"/>
  <c r="CD76" i="2"/>
  <c r="CD85" i="2"/>
  <c r="CD201" i="2"/>
  <c r="CD148" i="2"/>
  <c r="CD66" i="2"/>
  <c r="CD71" i="2"/>
  <c r="CD30" i="2"/>
  <c r="CD186" i="2"/>
  <c r="CD74" i="2"/>
  <c r="CD80" i="2"/>
  <c r="CD43" i="2"/>
  <c r="CD156" i="2"/>
  <c r="CD48" i="2"/>
  <c r="CD19" i="2"/>
  <c r="CD82" i="2"/>
  <c r="CD59" i="2"/>
  <c r="CD159" i="2"/>
  <c r="CD171" i="2"/>
  <c r="CD160" i="2"/>
  <c r="CD187" i="2"/>
  <c r="CD34" i="2"/>
  <c r="CD79" i="2"/>
  <c r="CD126" i="2"/>
  <c r="CD131" i="2"/>
  <c r="CD158" i="2"/>
  <c r="CD191" i="2"/>
  <c r="CD176" i="2"/>
  <c r="CD81" i="2"/>
  <c r="CD135" i="2"/>
  <c r="CD45" i="2"/>
  <c r="CD127" i="2"/>
  <c r="CD141" i="2"/>
  <c r="CD50" i="2"/>
  <c r="CD98" i="2"/>
  <c r="CD181" i="2"/>
  <c r="CD60" i="2"/>
  <c r="CD188" i="2"/>
  <c r="CD189" i="2"/>
  <c r="CD63" i="2"/>
  <c r="CD196" i="2"/>
  <c r="CD7" i="2"/>
  <c r="CD154" i="2"/>
  <c r="CD9" i="2"/>
  <c r="CD157" i="2"/>
  <c r="CD117" i="2"/>
  <c r="CD69" i="2"/>
  <c r="CD170" i="2"/>
  <c r="CD49" i="2"/>
  <c r="CD95" i="2"/>
  <c r="CD26" i="2"/>
  <c r="CD112" i="2"/>
  <c r="CD93" i="2"/>
  <c r="CD180" i="2"/>
  <c r="CD24" i="2"/>
  <c r="CD178" i="2"/>
  <c r="CD106" i="2"/>
  <c r="CD56" i="2"/>
  <c r="CD146" i="2"/>
  <c r="CD116" i="2"/>
  <c r="CD169" i="2"/>
  <c r="CD143" i="2"/>
  <c r="CD163" i="2"/>
  <c r="CD199" i="2"/>
  <c r="CD100" i="2"/>
  <c r="CD103" i="2"/>
  <c r="CD41" i="2"/>
  <c r="CD166" i="2"/>
  <c r="CD173" i="2"/>
  <c r="CD91" i="2"/>
  <c r="CD175" i="2"/>
  <c r="CD174" i="2"/>
  <c r="CD179" i="2"/>
  <c r="CD77" i="2"/>
  <c r="CD22" i="2"/>
  <c r="CD182" i="2"/>
  <c r="CD84" i="2"/>
  <c r="CD87" i="2"/>
  <c r="CD15" i="2"/>
  <c r="CD151" i="2"/>
  <c r="CD161" i="2"/>
  <c r="CD111" i="2"/>
  <c r="CD88" i="2"/>
  <c r="CD184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J81" i="2" l="1"/>
  <c r="FJ154" i="2"/>
  <c r="FJ121" i="2"/>
  <c r="FJ96" i="2"/>
  <c r="FJ114" i="2"/>
  <c r="FJ57" i="2"/>
  <c r="FJ190" i="2"/>
  <c r="FJ160" i="2"/>
  <c r="FJ30" i="2"/>
  <c r="FJ161" i="2"/>
  <c r="FJ82" i="2"/>
  <c r="FJ169" i="2"/>
  <c r="FJ68" i="2"/>
  <c r="FJ100" i="2"/>
  <c r="FJ126" i="2"/>
  <c r="FJ112" i="2"/>
  <c r="FJ140" i="2"/>
  <c r="FJ109" i="2"/>
  <c r="FJ116" i="2"/>
  <c r="FJ33" i="2"/>
  <c r="FJ118" i="2"/>
  <c r="FJ49" i="2"/>
  <c r="FJ120" i="2"/>
  <c r="FJ158" i="2"/>
  <c r="FJ52" i="2"/>
  <c r="FJ196" i="2"/>
  <c r="FJ4" i="2"/>
  <c r="FJ40" i="2"/>
  <c r="FJ137" i="2"/>
  <c r="FJ195" i="2"/>
  <c r="FJ198" i="2"/>
  <c r="FJ159" i="2"/>
  <c r="FJ175" i="2"/>
  <c r="FJ86" i="2"/>
  <c r="FJ103" i="2"/>
  <c r="FJ168" i="2"/>
  <c r="FJ186" i="2"/>
  <c r="FJ46" i="2"/>
  <c r="FJ124" i="2"/>
  <c r="FJ122" i="2"/>
  <c r="FJ62" i="2"/>
  <c r="FJ98" i="2"/>
  <c r="FJ127" i="2"/>
  <c r="FJ56" i="2"/>
  <c r="FJ15" i="2"/>
  <c r="FJ176" i="2"/>
  <c r="FJ157" i="2"/>
  <c r="FJ119" i="2"/>
  <c r="FJ199" i="2"/>
  <c r="FJ32" i="2"/>
  <c r="FJ189" i="2"/>
  <c r="FJ104" i="2"/>
  <c r="FJ167" i="2"/>
  <c r="FJ12" i="2"/>
  <c r="FJ39" i="2"/>
  <c r="FJ148" i="2"/>
  <c r="FJ172" i="2"/>
  <c r="FJ63" i="2"/>
  <c r="FJ182" i="2"/>
  <c r="FJ192" i="2"/>
  <c r="FJ26" i="2"/>
  <c r="FJ141" i="2"/>
  <c r="FJ18" i="2"/>
  <c r="FJ133" i="2"/>
  <c r="FJ80" i="2"/>
  <c r="FJ99" i="2"/>
  <c r="FJ147" i="2"/>
  <c r="FJ89" i="2"/>
  <c r="FJ201" i="2"/>
  <c r="FJ75" i="2"/>
  <c r="FJ165" i="2"/>
  <c r="FJ50" i="2"/>
  <c r="FJ150" i="2"/>
  <c r="FJ97" i="2"/>
  <c r="FJ129" i="2"/>
  <c r="FJ19" i="2"/>
  <c r="FJ187" i="2"/>
  <c r="FJ146" i="2"/>
  <c r="FJ108" i="2"/>
  <c r="FJ123" i="2"/>
  <c r="FJ55" i="2"/>
  <c r="FJ85" i="2"/>
  <c r="FJ47" i="2"/>
  <c r="FJ27" i="2"/>
  <c r="FJ53" i="2"/>
  <c r="FJ178" i="2"/>
  <c r="FJ66" i="2"/>
  <c r="FJ110" i="2"/>
  <c r="FJ94" i="2"/>
  <c r="FJ164" i="2"/>
  <c r="FJ24" i="2"/>
  <c r="FJ76" i="2"/>
  <c r="FJ151" i="2"/>
  <c r="FJ188" i="2"/>
  <c r="FJ117" i="2"/>
  <c r="FJ193" i="2"/>
  <c r="FJ113" i="2"/>
  <c r="FJ78" i="2"/>
  <c r="FJ3" i="2"/>
  <c r="C13" i="4" s="1"/>
  <c r="E13" i="4" s="1"/>
  <c r="F13" i="4" s="1"/>
  <c r="G13" i="4" s="1"/>
  <c r="L13" i="4" s="1"/>
  <c r="FJ128" i="2"/>
  <c r="FJ131" i="2"/>
  <c r="FJ74" i="2"/>
  <c r="FJ153" i="2"/>
  <c r="FJ31" i="2"/>
  <c r="FJ65" i="2"/>
  <c r="FJ88" i="2"/>
  <c r="FJ17" i="2"/>
  <c r="FJ111" i="2"/>
  <c r="FJ64" i="2"/>
  <c r="FJ139" i="2"/>
  <c r="FJ69" i="2"/>
  <c r="FJ179" i="2"/>
  <c r="FJ202" i="2"/>
  <c r="FJ84" i="2"/>
  <c r="FJ72" i="2"/>
  <c r="FJ59" i="2"/>
  <c r="FJ142" i="2"/>
  <c r="FJ185" i="2"/>
  <c r="FJ106" i="2"/>
  <c r="FJ91" i="2"/>
  <c r="FJ79" i="2"/>
  <c r="FJ16" i="2"/>
  <c r="FJ45" i="2"/>
  <c r="FJ174" i="2"/>
  <c r="FJ115" i="2"/>
  <c r="FJ29" i="2"/>
  <c r="FJ125" i="2"/>
  <c r="FJ200" i="2"/>
  <c r="FJ194" i="2"/>
  <c r="FJ13" i="2"/>
  <c r="FJ149" i="2"/>
  <c r="FJ23" i="2"/>
  <c r="FJ77" i="2"/>
  <c r="FJ132" i="2"/>
  <c r="FJ173" i="2"/>
  <c r="FJ36" i="2"/>
  <c r="FJ70" i="2"/>
  <c r="FJ44" i="2"/>
  <c r="FJ51" i="2"/>
  <c r="FJ184" i="2"/>
  <c r="FJ25" i="2"/>
  <c r="FJ181" i="2"/>
  <c r="FJ35" i="2"/>
  <c r="FJ177" i="2"/>
  <c r="FJ60" i="2"/>
  <c r="FJ170" i="2"/>
  <c r="FJ41" i="2"/>
  <c r="FJ21" i="2"/>
  <c r="FJ42" i="2"/>
  <c r="FJ138" i="2"/>
  <c r="FJ130" i="2"/>
  <c r="FJ136" i="2"/>
  <c r="FJ83" i="2"/>
  <c r="FJ152" i="2"/>
  <c r="FJ163" i="2"/>
  <c r="FJ203" i="2"/>
  <c r="FJ162" i="2"/>
  <c r="FJ67" i="2"/>
  <c r="FJ90" i="2"/>
  <c r="FJ102" i="2"/>
  <c r="FJ155" i="2"/>
  <c r="FJ171" i="2"/>
  <c r="FJ28" i="2"/>
  <c r="FJ8" i="2"/>
  <c r="FJ143" i="2"/>
  <c r="FJ156" i="2"/>
  <c r="FJ54" i="2"/>
  <c r="FJ101" i="2"/>
  <c r="FJ38" i="2"/>
  <c r="FJ37" i="2"/>
  <c r="FJ9" i="2"/>
  <c r="FJ92" i="2"/>
  <c r="FJ61" i="2"/>
  <c r="FJ135" i="2"/>
  <c r="FJ93" i="2"/>
  <c r="FJ58" i="2"/>
  <c r="FJ183" i="2"/>
  <c r="FJ87" i="2"/>
  <c r="FJ20" i="2"/>
  <c r="FJ43" i="2"/>
  <c r="FJ48" i="2"/>
  <c r="FJ5" i="2"/>
  <c r="FJ34" i="2"/>
  <c r="FJ105" i="2"/>
  <c r="FJ107" i="2"/>
  <c r="FJ95" i="2"/>
  <c r="FJ134" i="2"/>
  <c r="FJ11" i="2"/>
  <c r="FJ22" i="2"/>
  <c r="FJ144" i="2"/>
  <c r="FJ71" i="2"/>
  <c r="FJ191" i="2"/>
  <c r="FJ180" i="2"/>
  <c r="FJ14" i="2"/>
  <c r="FJ73" i="2"/>
  <c r="FJ166" i="2"/>
  <c r="FJ10" i="2"/>
  <c r="FJ197" i="2"/>
  <c r="FJ6" i="2"/>
  <c r="FJ145" i="2"/>
  <c r="FJ7" i="2"/>
  <c r="GZ173" i="2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0" i="2"/>
  <c r="BI150" i="2"/>
  <c r="BI155" i="2"/>
  <c r="BI78" i="2"/>
  <c r="BI127" i="2"/>
  <c r="BI85" i="2"/>
  <c r="BI163" i="2"/>
  <c r="BI133" i="2"/>
  <c r="BI104" i="2"/>
  <c r="BI168" i="2"/>
  <c r="BI77" i="2"/>
  <c r="BI109" i="2"/>
  <c r="BI119" i="2"/>
  <c r="BI51" i="2"/>
  <c r="BI165" i="2"/>
  <c r="BI199" i="2"/>
  <c r="BI148" i="2"/>
  <c r="BI176" i="2"/>
  <c r="BI196" i="2"/>
  <c r="BI68" i="2"/>
  <c r="BI80" i="2"/>
  <c r="BI144" i="2"/>
  <c r="BI158" i="2"/>
  <c r="BI101" i="2"/>
  <c r="BI145" i="2"/>
  <c r="BI166" i="2"/>
  <c r="BI34" i="2"/>
  <c r="BI30" i="2"/>
  <c r="BI202" i="2"/>
  <c r="BI124" i="2"/>
  <c r="BI96" i="2"/>
  <c r="BI161" i="2"/>
  <c r="BI36" i="2"/>
  <c r="BI115" i="2"/>
  <c r="BI37" i="2"/>
  <c r="BI187" i="2"/>
  <c r="BI159" i="2"/>
  <c r="BI201" i="2"/>
  <c r="BI103" i="2"/>
  <c r="BI42" i="2"/>
  <c r="BI191" i="2"/>
  <c r="BI21" i="2"/>
  <c r="BI67" i="2"/>
  <c r="BI9" i="2"/>
  <c r="BI134" i="2"/>
  <c r="BI6" i="2"/>
  <c r="BI169" i="2"/>
  <c r="BI106" i="2"/>
  <c r="BI46" i="2"/>
  <c r="BI183" i="2"/>
  <c r="BI121" i="2"/>
  <c r="BI44" i="2"/>
  <c r="BI178" i="2"/>
  <c r="BI41" i="2"/>
  <c r="BI22" i="2"/>
  <c r="BI79" i="2"/>
  <c r="BI186" i="2"/>
  <c r="BI162" i="2"/>
  <c r="BI76" i="2"/>
  <c r="BI86" i="2"/>
  <c r="BI20" i="2"/>
  <c r="BI179" i="2"/>
  <c r="BI50" i="2"/>
  <c r="BI100" i="2"/>
  <c r="BI142" i="2"/>
  <c r="BI89" i="2"/>
  <c r="BI117" i="2"/>
  <c r="BI194" i="2"/>
  <c r="BI140" i="2"/>
  <c r="BI143" i="2"/>
  <c r="BI175" i="2"/>
  <c r="BI102" i="2"/>
  <c r="BI123" i="2"/>
  <c r="BI48" i="2"/>
  <c r="BI136" i="2"/>
  <c r="BI118" i="2"/>
  <c r="BI24" i="2"/>
  <c r="BI132" i="2"/>
  <c r="BI53" i="2"/>
  <c r="BI84" i="2"/>
  <c r="BI157" i="2"/>
  <c r="BI184" i="2"/>
  <c r="BI7" i="2"/>
  <c r="BI14" i="2"/>
  <c r="BI107" i="2"/>
  <c r="BI147" i="2"/>
  <c r="BI188" i="2"/>
  <c r="BI56" i="2"/>
  <c r="BI3" i="2"/>
  <c r="C8" i="4" s="1"/>
  <c r="E8" i="4" s="1"/>
  <c r="F8" i="4" s="1"/>
  <c r="G8" i="4" s="1"/>
  <c r="L8" i="4" s="1"/>
  <c r="BI8" i="2"/>
  <c r="BI40" i="2"/>
  <c r="BI74" i="2"/>
  <c r="BI64" i="2"/>
  <c r="BI62" i="2"/>
  <c r="BI112" i="2"/>
  <c r="BI193" i="2"/>
  <c r="BI75" i="2"/>
  <c r="BI126" i="2"/>
  <c r="BI154" i="2"/>
  <c r="BI95" i="2"/>
  <c r="BI18" i="2"/>
  <c r="BI116" i="2"/>
  <c r="BI149" i="2"/>
  <c r="BI135" i="2"/>
  <c r="BI87" i="2"/>
  <c r="BI182" i="2"/>
  <c r="BI55" i="2"/>
  <c r="BI83" i="2"/>
  <c r="BI17" i="2"/>
  <c r="BI19" i="2"/>
  <c r="BI4" i="2"/>
  <c r="BI10" i="2"/>
  <c r="BI151" i="2"/>
  <c r="BI66" i="2"/>
  <c r="BI128" i="2"/>
  <c r="BI181" i="2"/>
  <c r="BI192" i="2"/>
  <c r="BI105" i="2"/>
  <c r="BI73" i="2"/>
  <c r="BI58" i="2"/>
  <c r="BI13" i="2"/>
  <c r="BI57" i="2"/>
  <c r="BI65" i="2"/>
  <c r="BI122" i="2"/>
  <c r="BI200" i="2"/>
  <c r="BI25" i="2"/>
  <c r="BI190" i="2"/>
  <c r="BI170" i="2"/>
  <c r="BI43" i="2"/>
  <c r="BI11" i="2"/>
  <c r="BI129" i="2"/>
  <c r="BI173" i="2"/>
  <c r="BI38" i="2"/>
  <c r="BI180" i="2"/>
  <c r="BI82" i="2"/>
  <c r="BI152" i="2"/>
  <c r="BI63" i="2"/>
  <c r="BI114" i="2"/>
  <c r="BI91" i="2"/>
  <c r="BI59" i="2"/>
  <c r="BI137" i="2"/>
  <c r="BI49" i="2"/>
  <c r="BI92" i="2"/>
  <c r="BI54" i="2"/>
  <c r="BI111" i="2"/>
  <c r="BI16" i="2"/>
  <c r="BI156" i="2"/>
  <c r="BI12" i="2"/>
  <c r="BI52" i="2"/>
  <c r="BI33" i="2"/>
  <c r="BI189" i="2"/>
  <c r="BI108" i="2"/>
  <c r="BI69" i="2"/>
  <c r="BI99" i="2"/>
  <c r="BI120" i="2"/>
  <c r="BI27" i="2"/>
  <c r="BI5" i="2"/>
  <c r="BI61" i="2"/>
  <c r="BI113" i="2"/>
  <c r="BI39" i="2"/>
  <c r="BI185" i="2"/>
  <c r="BI172" i="2"/>
  <c r="BI26" i="2"/>
  <c r="BI32" i="2"/>
  <c r="BI35" i="2"/>
  <c r="BI72" i="2"/>
  <c r="BI90" i="2"/>
  <c r="BI15" i="2"/>
  <c r="BI139" i="2"/>
  <c r="BI23" i="2"/>
  <c r="BI60" i="2"/>
  <c r="BI71" i="2"/>
  <c r="BI45" i="2"/>
  <c r="BI171" i="2"/>
  <c r="BI131" i="2"/>
  <c r="BI203" i="2"/>
  <c r="BI93" i="2"/>
  <c r="BI177" i="2"/>
  <c r="BI153" i="2"/>
  <c r="BI31" i="2"/>
  <c r="BI130" i="2"/>
  <c r="BI197" i="2"/>
  <c r="BI146" i="2"/>
  <c r="BI164" i="2"/>
  <c r="BI167" i="2"/>
  <c r="BI94" i="2"/>
  <c r="BI138" i="2"/>
  <c r="BI174" i="2"/>
  <c r="BI70" i="2"/>
  <c r="BI195" i="2"/>
  <c r="BI28" i="2"/>
  <c r="BI141" i="2"/>
  <c r="BI81" i="2"/>
  <c r="BI98" i="2"/>
  <c r="BI198" i="2"/>
  <c r="BI125" i="2"/>
  <c r="BI110" i="2"/>
  <c r="BI88" i="2"/>
  <c r="BI97" i="2"/>
  <c r="BI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<sst xmlns="http://schemas.openxmlformats.org/spreadsheetml/2006/main" count="1147" uniqueCount="324">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</sst>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258.94814067849393</c:v>
                </c:pt>
                <c:pt idx="32">
                  <c:v>274.60158300734776</c:v>
                </c:pt>
                <c:pt idx="33">
                  <c:v>290.23498252743809</c:v>
                </c:pt>
                <c:pt idx="34">
                  <c:v>305.84957082840884</c:v>
                </c:pt>
                <c:pt idx="35">
                  <c:v>321.44644345960904</c:v>
                </c:pt>
                <c:pt idx="36">
                  <c:v>221.82117142251073</c:v>
                </c:pt>
                <c:pt idx="37">
                  <c:v>239.97776963491199</c:v>
                </c:pt>
                <c:pt idx="38">
                  <c:v>258.10309568549462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312.31478349482393</c:v>
                </c:pt>
                <c:pt idx="42">
                  <c:v>255.72039353124964</c:v>
                </c:pt>
                <c:pt idx="43">
                  <c:v>273.88106684535086</c:v>
                </c:pt>
                <c:pt idx="44">
                  <c:v>292.01468408800241</c:v>
                </c:pt>
                <c:pt idx="45">
                  <c:v>310.12316145287963</c:v>
                </c:pt>
                <c:pt idx="46">
                  <c:v>328.20817307415138</c:v>
                </c:pt>
                <c:pt idx="47">
                  <c:v>346.27119353720633</c:v>
                </c:pt>
                <c:pt idx="48">
                  <c:v>364.31353104988244</c:v>
                </c:pt>
                <c:pt idx="49">
                  <c:v>288.58007809052577</c:v>
                </c:pt>
                <c:pt idx="50">
                  <c:v>305.77968125048278</c:v>
                </c:pt>
                <c:pt idx="51">
                  <c:v>322.95778432037196</c:v>
                </c:pt>
                <c:pt idx="52">
                  <c:v>340.11569160143591</c:v>
                </c:pt>
                <c:pt idx="53">
                  <c:v>357.25456506572556</c:v>
                </c:pt>
                <c:pt idx="54">
                  <c:v>374.37544611289837</c:v>
                </c:pt>
                <c:pt idx="55">
                  <c:v>391.47927313799431</c:v>
                </c:pt>
                <c:pt idx="56">
                  <c:v>320.48361258921801</c:v>
                </c:pt>
                <c:pt idx="57">
                  <c:v>336.67903038787364</c:v>
                </c:pt>
                <c:pt idx="58">
                  <c:v>352.85729940854344</c:v>
                </c:pt>
                <c:pt idx="59">
                  <c:v>369.01931645885975</c:v>
                </c:pt>
                <c:pt idx="60">
                  <c:v>385.16589338963871</c:v>
                </c:pt>
                <c:pt idx="61">
                  <c:v>401.29776844134739</c:v>
                </c:pt>
                <c:pt idx="62">
                  <c:v>417.41561567067311</c:v>
                </c:pt>
                <c:pt idx="63">
                  <c:v>433.52005284512489</c:v>
                </c:pt>
                <c:pt idx="64">
                  <c:v>368.77354749803999</c:v>
                </c:pt>
                <c:pt idx="65">
                  <c:v>384.39219996126917</c:v>
                </c:pt>
                <c:pt idx="66">
                  <c:v>399.99706566096523</c:v>
                </c:pt>
                <c:pt idx="67">
                  <c:v>415.58875807076885</c:v>
                </c:pt>
                <c:pt idx="68">
                  <c:v>431.16784088676042</c:v>
                </c:pt>
                <c:pt idx="69">
                  <c:v>446.73483375648271</c:v>
                </c:pt>
                <c:pt idx="70">
                  <c:v>462.29021716786838</c:v>
                </c:pt>
                <c:pt idx="71">
                  <c:v>477.83443664595023</c:v>
                </c:pt>
                <c:pt idx="72">
                  <c:v>416.18008617131954</c:v>
                </c:pt>
                <c:pt idx="73">
                  <c:v>431.26352307198675</c:v>
                </c:pt>
                <c:pt idx="74">
                  <c:v>446.33562973688754</c:v>
                </c:pt>
                <c:pt idx="75">
                  <c:v>461.3968425581499</c:v>
                </c:pt>
                <c:pt idx="76">
                  <c:v>476.44756712169919</c:v>
                </c:pt>
                <c:pt idx="77">
                  <c:v>491.48818130664989</c:v>
                </c:pt>
                <c:pt idx="78">
                  <c:v>506.51903798562699</c:v>
                </c:pt>
                <c:pt idx="79">
                  <c:v>521.54046738795955</c:v>
                </c:pt>
                <c:pt idx="80">
                  <c:v>536.55277917652279</c:v>
                </c:pt>
                <c:pt idx="81">
                  <c:v>463.50656260260411</c:v>
                </c:pt>
                <c:pt idx="82">
                  <c:v>477.88908984737236</c:v>
                </c:pt>
                <c:pt idx="83">
                  <c:v>492.26241502045281</c:v>
                </c:pt>
                <c:pt idx="84">
                  <c:v>506.62684458100836</c:v>
                </c:pt>
                <c:pt idx="85">
                  <c:v>520.98266619811454</c:v>
                </c:pt>
                <c:pt idx="86">
                  <c:v>535.33015039964948</c:v>
                </c:pt>
                <c:pt idx="87">
                  <c:v>549.66955203526913</c:v>
                </c:pt>
                <c:pt idx="88">
                  <c:v>564.00111157883271</c:v>
                </c:pt>
                <c:pt idx="89">
                  <c:v>578.32505629161221</c:v>
                </c:pt>
                <c:pt idx="90">
                  <c:v>497.54781834683246</c:v>
                </c:pt>
                <c:pt idx="91">
                  <c:v>511.3021834460132</c:v>
                </c:pt>
                <c:pt idx="92">
                  <c:v>525.0487354862172</c:v>
                </c:pt>
                <c:pt idx="93">
                  <c:v>538.78770778433466</c:v>
                </c:pt>
                <c:pt idx="94">
                  <c:v>552.51932079162111</c:v>
                </c:pt>
                <c:pt idx="95">
                  <c:v>566.2437831119247</c:v>
                </c:pt>
                <c:pt idx="96">
                  <c:v>579.96129241609663</c:v>
                </c:pt>
                <c:pt idx="97">
                  <c:v>593.67203626542425</c:v>
                </c:pt>
                <c:pt idx="98">
                  <c:v>607.37619285506821</c:v>
                </c:pt>
                <c:pt idx="99">
                  <c:v>621.07393168694807</c:v>
                </c:pt>
                <c:pt idx="100">
                  <c:v>542.69775145946699</c:v>
                </c:pt>
                <c:pt idx="101">
                  <c:v>556.07428889692221</c:v>
                </c:pt>
                <c:pt idx="102">
                  <c:v>569.44408833111663</c:v>
                </c:pt>
                <c:pt idx="103">
                  <c:v>582.80733019679406</c:v>
                </c:pt>
                <c:pt idx="104">
                  <c:v>596.16418598267194</c:v>
                </c:pt>
                <c:pt idx="105">
                  <c:v>609.51481886966769</c:v>
                </c:pt>
                <c:pt idx="106">
                  <c:v>622.85938431032332</c:v>
                </c:pt>
                <c:pt idx="107">
                  <c:v>636.19803055601562</c:v>
                </c:pt>
                <c:pt idx="108">
                  <c:v>649.53089913767428</c:v>
                </c:pt>
                <c:pt idx="109">
                  <c:v>662.85812530500016</c:v>
                </c:pt>
                <c:pt idx="110">
                  <c:v>578.06785471008243</c:v>
                </c:pt>
                <c:pt idx="111">
                  <c:v>591.14539111471265</c:v>
                </c:pt>
                <c:pt idx="112">
                  <c:v>604.21690639023745</c:v>
                </c:pt>
                <c:pt idx="113">
                  <c:v>617.28254910051817</c:v>
                </c:pt>
                <c:pt idx="114">
                  <c:v>630.34246101011342</c:v>
                </c:pt>
                <c:pt idx="115">
                  <c:v>643.39677753283024</c:v>
                </c:pt>
                <c:pt idx="116">
                  <c:v>656.44562814199264</c:v>
                </c:pt>
                <c:pt idx="117">
                  <c:v>669.48913674641392</c:v>
                </c:pt>
                <c:pt idx="118">
                  <c:v>682.5274220355592</c:v>
                </c:pt>
                <c:pt idx="119">
                  <c:v>695.56059779698035</c:v>
                </c:pt>
                <c:pt idx="120">
                  <c:v>415.93410136559504</c:v>
                </c:pt>
                <c:pt idx="121">
                  <c:v>423.30201611855676</c:v>
                </c:pt>
                <c:pt idx="122">
                  <c:v>430.66717084686138</c:v>
                </c:pt>
                <c:pt idx="123">
                  <c:v>438.02961943852762</c:v>
                </c:pt>
                <c:pt idx="124">
                  <c:v>293.61402449000741</c:v>
                </c:pt>
                <c:pt idx="125">
                  <c:v>298.14022151190977</c:v>
                </c:pt>
                <c:pt idx="126">
                  <c:v>302.66488711697389</c:v>
                </c:pt>
                <c:pt idx="127">
                  <c:v>307.18804746662357</c:v>
                </c:pt>
                <c:pt idx="128">
                  <c:v>213.06200089969022</c:v>
                </c:pt>
                <c:pt idx="129">
                  <c:v>216.00348689034254</c:v>
                </c:pt>
                <c:pt idx="130">
                  <c:v>218.94405119022016</c:v>
                </c:pt>
                <c:pt idx="131">
                  <c:v>221.88370795710989</c:v>
                </c:pt>
                <c:pt idx="132">
                  <c:v>9.8479201135599071E-12</c:v>
                </c:pt>
                <c:pt idx="133">
                  <c:v>9.8479201135599071E-12</c:v>
                </c:pt>
                <c:pt idx="134">
                  <c:v>9.8479201135599071E-12</c:v>
                </c:pt>
                <c:pt idx="135">
                  <c:v>9.8479201135599071E-12</c:v>
                </c:pt>
                <c:pt idx="136">
                  <c:v>9.8479201135599071E-12</c:v>
                </c:pt>
                <c:pt idx="137">
                  <c:v>9.8479201135599071E-12</c:v>
                </c:pt>
                <c:pt idx="138">
                  <c:v>9.8479201135599071E-12</c:v>
                </c:pt>
                <c:pt idx="139">
                  <c:v>9.8479201135599071E-12</c:v>
                </c:pt>
                <c:pt idx="140">
                  <c:v>9.8479201135599071E-12</c:v>
                </c:pt>
                <c:pt idx="141">
                  <c:v>9.8479201135599071E-12</c:v>
                </c:pt>
                <c:pt idx="142">
                  <c:v>9.8479201135599071E-12</c:v>
                </c:pt>
                <c:pt idx="143">
                  <c:v>9.8479201135599071E-12</c:v>
                </c:pt>
                <c:pt idx="144">
                  <c:v>9.8479201135599071E-12</c:v>
                </c:pt>
                <c:pt idx="145">
                  <c:v>9.8479201135599071E-12</c:v>
                </c:pt>
                <c:pt idx="146">
                  <c:v>9.8479201135599071E-12</c:v>
                </c:pt>
                <c:pt idx="147">
                  <c:v>9.8479201135599071E-12</c:v>
                </c:pt>
                <c:pt idx="148">
                  <c:v>9.8479201135599071E-12</c:v>
                </c:pt>
                <c:pt idx="149">
                  <c:v>9.8479201135599071E-12</c:v>
                </c:pt>
                <c:pt idx="150">
                  <c:v>9.8479201135599071E-12</c:v>
                </c:pt>
                <c:pt idx="151">
                  <c:v>9.8479201135599071E-12</c:v>
                </c:pt>
                <c:pt idx="152">
                  <c:v>9.8479201135599071E-12</c:v>
                </c:pt>
                <c:pt idx="153">
                  <c:v>9.8479201135599071E-12</c:v>
                </c:pt>
                <c:pt idx="154">
                  <c:v>9.8479201135599071E-12</c:v>
                </c:pt>
                <c:pt idx="155">
                  <c:v>9.8479201135599071E-12</c:v>
                </c:pt>
                <c:pt idx="156">
                  <c:v>9.8479201135599071E-12</c:v>
                </c:pt>
                <c:pt idx="157">
                  <c:v>9.8479201135599071E-12</c:v>
                </c:pt>
                <c:pt idx="158">
                  <c:v>9.8479201135599071E-12</c:v>
                </c:pt>
                <c:pt idx="159">
                  <c:v>9.8479201135599071E-12</c:v>
                </c:pt>
                <c:pt idx="160">
                  <c:v>9.8479201135599071E-12</c:v>
                </c:pt>
                <c:pt idx="161">
                  <c:v>9.8479201135599071E-12</c:v>
                </c:pt>
                <c:pt idx="162">
                  <c:v>9.8479201135599071E-12</c:v>
                </c:pt>
                <c:pt idx="163">
                  <c:v>9.8479201135599071E-12</c:v>
                </c:pt>
                <c:pt idx="164">
                  <c:v>9.8479201135599071E-12</c:v>
                </c:pt>
                <c:pt idx="165">
                  <c:v>9.8479201135599071E-12</c:v>
                </c:pt>
                <c:pt idx="166">
                  <c:v>9.8479201135599071E-12</c:v>
                </c:pt>
                <c:pt idx="167">
                  <c:v>9.8479201135599071E-12</c:v>
                </c:pt>
                <c:pt idx="168">
                  <c:v>9.8479201135599071E-12</c:v>
                </c:pt>
                <c:pt idx="169">
                  <c:v>9.8479201135599071E-12</c:v>
                </c:pt>
                <c:pt idx="170">
                  <c:v>9.8479201135599071E-12</c:v>
                </c:pt>
                <c:pt idx="171">
                  <c:v>9.8479201135599071E-12</c:v>
                </c:pt>
                <c:pt idx="172">
                  <c:v>9.8479201135599071E-12</c:v>
                </c:pt>
                <c:pt idx="173">
                  <c:v>9.8479201135599071E-12</c:v>
                </c:pt>
                <c:pt idx="174">
                  <c:v>9.8479201135599071E-12</c:v>
                </c:pt>
                <c:pt idx="175">
                  <c:v>9.8479201135599071E-12</c:v>
                </c:pt>
                <c:pt idx="176">
                  <c:v>9.8479201135599071E-12</c:v>
                </c:pt>
                <c:pt idx="177">
                  <c:v>9.8479201135599071E-12</c:v>
                </c:pt>
                <c:pt idx="178">
                  <c:v>9.8479201135599071E-12</c:v>
                </c:pt>
                <c:pt idx="179">
                  <c:v>9.8479201135599071E-12</c:v>
                </c:pt>
                <c:pt idx="180">
                  <c:v>9.8479201135599071E-12</c:v>
                </c:pt>
                <c:pt idx="181">
                  <c:v>9.8479201135599071E-12</c:v>
                </c:pt>
                <c:pt idx="182">
                  <c:v>9.8479201135599071E-12</c:v>
                </c:pt>
                <c:pt idx="183">
                  <c:v>9.8479201135599071E-12</c:v>
                </c:pt>
                <c:pt idx="184">
                  <c:v>9.8479201135599071E-12</c:v>
                </c:pt>
                <c:pt idx="185">
                  <c:v>9.8479201135599071E-12</c:v>
                </c:pt>
                <c:pt idx="186">
                  <c:v>9.8479201135599071E-12</c:v>
                </c:pt>
                <c:pt idx="187">
                  <c:v>9.8479201135599071E-12</c:v>
                </c:pt>
                <c:pt idx="188">
                  <c:v>9.8479201135599071E-12</c:v>
                </c:pt>
                <c:pt idx="189">
                  <c:v>9.8479201135599071E-12</c:v>
                </c:pt>
                <c:pt idx="190">
                  <c:v>9.8479201135599071E-12</c:v>
                </c:pt>
                <c:pt idx="191">
                  <c:v>9.8479201135599071E-12</c:v>
                </c:pt>
                <c:pt idx="192">
                  <c:v>9.8479201135599071E-12</c:v>
                </c:pt>
                <c:pt idx="193">
                  <c:v>9.8479201135599071E-12</c:v>
                </c:pt>
                <c:pt idx="194">
                  <c:v>9.8479201135599071E-12</c:v>
                </c:pt>
                <c:pt idx="195">
                  <c:v>9.8479201135599071E-12</c:v>
                </c:pt>
                <c:pt idx="196">
                  <c:v>9.8479201135599071E-12</c:v>
                </c:pt>
                <c:pt idx="197">
                  <c:v>9.8479201135599071E-12</c:v>
                </c:pt>
                <c:pt idx="198">
                  <c:v>9.8479201135599071E-12</c:v>
                </c:pt>
                <c:pt idx="199">
                  <c:v>9.8479201135599071E-12</c:v>
                </c:pt>
                <c:pt idx="200">
                  <c:v>9.8479201135599071E-12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0086992"/>
        <c:axId val="360088624"/>
      </c:scatterChart>
      <c:valAx>
        <c:axId val="360086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0088624"/>
        <c:crosses val="autoZero"/>
        <c:crossBetween val="midCat"/>
      </c:valAx>
      <c:valAx>
        <c:axId val="3600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0086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813088"/>
        <c:axId val="1676818528"/>
      </c:scatterChart>
      <c:valAx>
        <c:axId val="16768130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76818528"/>
        <c:crosses val="autoZero"/>
        <c:crossBetween val="midCat"/>
      </c:valAx>
      <c:valAx>
        <c:axId val="167681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76813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3.1904352749090896</c:v>
                </c:pt>
                <c:pt idx="2">
                  <c:v>3.9479952096425546</c:v>
                </c:pt>
                <c:pt idx="3">
                  <c:v>4.8861194960456427</c:v>
                </c:pt>
                <c:pt idx="4">
                  <c:v>6.0479991503667376</c:v>
                </c:pt>
                <c:pt idx="5">
                  <c:v>7.4871908172580284</c:v>
                </c:pt>
                <c:pt idx="6">
                  <c:v>9.2701121193526035</c:v>
                </c:pt>
                <c:pt idx="7">
                  <c:v>11.479139419197621</c:v>
                </c:pt>
                <c:pt idx="8">
                  <c:v>14.216453800562897</c:v>
                </c:pt>
                <c:pt idx="9">
                  <c:v>17.608816450136668</c:v>
                </c:pt>
                <c:pt idx="10">
                  <c:v>21.813498594931037</c:v>
                </c:pt>
                <c:pt idx="11">
                  <c:v>27.025645820324655</c:v>
                </c:pt>
                <c:pt idx="12">
                  <c:v>33.487424564748132</c:v>
                </c:pt>
                <c:pt idx="13">
                  <c:v>41.499383101881484</c:v>
                </c:pt>
                <c:pt idx="14">
                  <c:v>51.434564413840938</c:v>
                </c:pt>
                <c:pt idx="15">
                  <c:v>63.756039048355916</c:v>
                </c:pt>
                <c:pt idx="16">
                  <c:v>79.03868858474091</c:v>
                </c:pt>
                <c:pt idx="17">
                  <c:v>97.996272479076239</c:v>
                </c:pt>
                <c:pt idx="18">
                  <c:v>121.51506248959903</c:v>
                </c:pt>
                <c:pt idx="19">
                  <c:v>150.69564163463787</c:v>
                </c:pt>
                <c:pt idx="20">
                  <c:v>186.90485368679899</c:v>
                </c:pt>
                <c:pt idx="21">
                  <c:v>155.66640500294662</c:v>
                </c:pt>
                <c:pt idx="22">
                  <c:v>175.04114578206176</c:v>
                </c:pt>
                <c:pt idx="23">
                  <c:v>194.36550298334646</c:v>
                </c:pt>
                <c:pt idx="24">
                  <c:v>213.64519260214209</c:v>
                </c:pt>
                <c:pt idx="25">
                  <c:v>232.88481320255315</c:v>
                </c:pt>
                <c:pt idx="26">
                  <c:v>253.39621912172095</c:v>
                </c:pt>
                <c:pt idx="27">
                  <c:v>273.870029571327</c:v>
                </c:pt>
                <c:pt idx="28">
                  <c:v>294.30944959160263</c:v>
                </c:pt>
                <c:pt idx="29">
                  <c:v>314.71720261424787</c:v>
                </c:pt>
                <c:pt idx="30">
                  <c:v>335.09563003042587</c:v>
                </c:pt>
                <c:pt idx="31">
                  <c:v>254.26818635687172</c:v>
                </c:pt>
                <c:pt idx="32">
                  <c:v>275.61085228054054</c:v>
                </c:pt>
                <c:pt idx="33">
                  <c:v>296.91640552163273</c:v>
                </c:pt>
                <c:pt idx="34">
                  <c:v>318.18788254193026</c:v>
                </c:pt>
                <c:pt idx="35">
                  <c:v>339.42788067295527</c:v>
                </c:pt>
                <c:pt idx="36">
                  <c:v>361.07122825453945</c:v>
                </c:pt>
                <c:pt idx="37">
                  <c:v>382.68621644309746</c:v>
                </c:pt>
                <c:pt idx="38">
                  <c:v>404.27467126938319</c:v>
                </c:pt>
                <c:pt idx="39">
                  <c:v>425.83820792683758</c:v>
                </c:pt>
                <c:pt idx="40">
                  <c:v>447.37826477754771</c:v>
                </c:pt>
                <c:pt idx="41">
                  <c:v>347.65581965898076</c:v>
                </c:pt>
                <c:pt idx="42">
                  <c:v>368.85579068631296</c:v>
                </c:pt>
                <c:pt idx="43">
                  <c:v>390.02918316043593</c:v>
                </c:pt>
                <c:pt idx="44">
                  <c:v>411.17764196176864</c:v>
                </c:pt>
                <c:pt idx="45">
                  <c:v>432.3026290462214</c:v>
                </c:pt>
                <c:pt idx="46">
                  <c:v>453.40545191559823</c:v>
                </c:pt>
                <c:pt idx="47">
                  <c:v>474.48728651141624</c:v>
                </c:pt>
                <c:pt idx="48">
                  <c:v>495.54919582854546</c:v>
                </c:pt>
                <c:pt idx="49">
                  <c:v>516.59214520035437</c:v>
                </c:pt>
                <c:pt idx="50">
                  <c:v>537.61701496454418</c:v>
                </c:pt>
                <c:pt idx="51">
                  <c:v>427.56225857158489</c:v>
                </c:pt>
                <c:pt idx="52">
                  <c:v>448.66995036462805</c:v>
                </c:pt>
                <c:pt idx="53">
                  <c:v>469.75640033198812</c:v>
                </c:pt>
                <c:pt idx="54">
                  <c:v>490.82269538774102</c:v>
                </c:pt>
                <c:pt idx="55">
                  <c:v>511.86982160316512</c:v>
                </c:pt>
                <c:pt idx="56">
                  <c:v>532.46969417446098</c:v>
                </c:pt>
                <c:pt idx="57">
                  <c:v>553.05280785462708</c:v>
                </c:pt>
                <c:pt idx="58">
                  <c:v>573.61987360020987</c:v>
                </c:pt>
                <c:pt idx="59">
                  <c:v>594.17154727265449</c:v>
                </c:pt>
                <c:pt idx="60">
                  <c:v>614.70843570434818</c:v>
                </c:pt>
                <c:pt idx="61">
                  <c:v>496.83807519423505</c:v>
                </c:pt>
                <c:pt idx="62">
                  <c:v>516.1628808360781</c:v>
                </c:pt>
                <c:pt idx="63">
                  <c:v>535.47242448427471</c:v>
                </c:pt>
                <c:pt idx="64">
                  <c:v>554.76733354996088</c:v>
                </c:pt>
                <c:pt idx="65">
                  <c:v>574.04818827573695</c:v>
                </c:pt>
                <c:pt idx="66">
                  <c:v>593.31552677912725</c:v>
                </c:pt>
                <c:pt idx="67">
                  <c:v>612.56984940724237</c:v>
                </c:pt>
                <c:pt idx="68">
                  <c:v>631.81162251582703</c:v>
                </c:pt>
                <c:pt idx="69">
                  <c:v>651.04128176433744</c:v>
                </c:pt>
                <c:pt idx="70">
                  <c:v>670.25923500177134</c:v>
                </c:pt>
                <c:pt idx="71">
                  <c:v>555.62455474096203</c:v>
                </c:pt>
                <c:pt idx="72">
                  <c:v>573.61987360020987</c:v>
                </c:pt>
                <c:pt idx="73">
                  <c:v>591.60340863525744</c:v>
                </c:pt>
                <c:pt idx="74">
                  <c:v>609.57556821855803</c:v>
                </c:pt>
                <c:pt idx="75">
                  <c:v>627.53673469761077</c:v>
                </c:pt>
                <c:pt idx="76">
                  <c:v>644.63271561373767</c:v>
                </c:pt>
                <c:pt idx="77">
                  <c:v>661.71934259144541</c:v>
                </c:pt>
                <c:pt idx="78">
                  <c:v>678.79689098808171</c:v>
                </c:pt>
                <c:pt idx="79">
                  <c:v>695.86562118765949</c:v>
                </c:pt>
                <c:pt idx="80">
                  <c:v>712.92577976987525</c:v>
                </c:pt>
                <c:pt idx="81">
                  <c:v>603.15822108828786</c:v>
                </c:pt>
                <c:pt idx="82">
                  <c:v>619.41278333107118</c:v>
                </c:pt>
                <c:pt idx="83">
                  <c:v>635.65851003973069</c:v>
                </c:pt>
                <c:pt idx="84">
                  <c:v>651.89565867529166</c:v>
                </c:pt>
                <c:pt idx="85">
                  <c:v>668.12447283690142</c:v>
                </c:pt>
                <c:pt idx="86">
                  <c:v>683.49166016703759</c:v>
                </c:pt>
                <c:pt idx="87">
                  <c:v>698.85176093315692</c:v>
                </c:pt>
                <c:pt idx="88">
                  <c:v>714.20495271831294</c:v>
                </c:pt>
                <c:pt idx="89">
                  <c:v>729.55140485397112</c:v>
                </c:pt>
                <c:pt idx="90">
                  <c:v>744.89127897250307</c:v>
                </c:pt>
                <c:pt idx="91">
                  <c:v>642.06892172603023</c:v>
                </c:pt>
                <c:pt idx="92">
                  <c:v>656.59431997733645</c:v>
                </c:pt>
                <c:pt idx="93">
                  <c:v>671.1131007030815</c:v>
                </c:pt>
                <c:pt idx="94">
                  <c:v>685.62542714569827</c:v>
                </c:pt>
                <c:pt idx="95">
                  <c:v>700.13145507817137</c:v>
                </c:pt>
                <c:pt idx="96">
                  <c:v>713.77856694008312</c:v>
                </c:pt>
                <c:pt idx="97">
                  <c:v>727.42035012096778</c:v>
                </c:pt>
                <c:pt idx="98">
                  <c:v>741.0569185676826</c:v>
                </c:pt>
                <c:pt idx="99">
                  <c:v>754.68838169448702</c:v>
                </c:pt>
                <c:pt idx="100">
                  <c:v>768.31484464364928</c:v>
                </c:pt>
                <c:pt idx="101">
                  <c:v>672.82076514505195</c:v>
                </c:pt>
                <c:pt idx="102">
                  <c:v>686.05216418180953</c:v>
                </c:pt>
                <c:pt idx="103">
                  <c:v>699.2783309736875</c:v>
                </c:pt>
                <c:pt idx="104">
                  <c:v>712.49937837079108</c:v>
                </c:pt>
                <c:pt idx="105">
                  <c:v>725.71541469625208</c:v>
                </c:pt>
                <c:pt idx="106">
                  <c:v>738.07435919597845</c:v>
                </c:pt>
                <c:pt idx="107">
                  <c:v>750.42909145514238</c:v>
                </c:pt>
                <c:pt idx="108">
                  <c:v>762.77969055283802</c:v>
                </c:pt>
                <c:pt idx="109">
                  <c:v>775.12623280017124</c:v>
                </c:pt>
                <c:pt idx="110">
                  <c:v>787.46879188061018</c:v>
                </c:pt>
                <c:pt idx="111">
                  <c:v>697.99860485695535</c:v>
                </c:pt>
                <c:pt idx="112">
                  <c:v>708.661530717353</c:v>
                </c:pt>
                <c:pt idx="113">
                  <c:v>719.32117747825225</c:v>
                </c:pt>
                <c:pt idx="114">
                  <c:v>729.97760056150582</c:v>
                </c:pt>
                <c:pt idx="115">
                  <c:v>740.63085363962239</c:v>
                </c:pt>
                <c:pt idx="116">
                  <c:v>751.28098871588372</c:v>
                </c:pt>
                <c:pt idx="117">
                  <c:v>761.9280561996801</c:v>
                </c:pt>
                <c:pt idx="118">
                  <c:v>772.5721049774221</c:v>
                </c:pt>
                <c:pt idx="119">
                  <c:v>783.21318247934244</c:v>
                </c:pt>
                <c:pt idx="120">
                  <c:v>793.8513347424813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0087536"/>
        <c:axId val="360088080"/>
      </c:scatterChart>
      <c:valAx>
        <c:axId val="36008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0088080"/>
        <c:crosses val="autoZero"/>
        <c:crossBetween val="midCat"/>
      </c:valAx>
      <c:valAx>
        <c:axId val="36008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008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512.60960277392599</c:v>
                </c:pt>
                <c:pt idx="67">
                  <c:v>520.01938663702481</c:v>
                </c:pt>
                <c:pt idx="68">
                  <c:v>527.42694440011928</c:v>
                </c:pt>
                <c:pt idx="69">
                  <c:v>534.83231174765172</c:v>
                </c:pt>
                <c:pt idx="70">
                  <c:v>542.23552329497841</c:v>
                </c:pt>
                <c:pt idx="71">
                  <c:v>527.7635992605982</c:v>
                </c:pt>
                <c:pt idx="72">
                  <c:v>535.16886787415797</c:v>
                </c:pt>
                <c:pt idx="73">
                  <c:v>542.57198223629871</c:v>
                </c:pt>
                <c:pt idx="74">
                  <c:v>549.97297589437528</c:v>
                </c:pt>
                <c:pt idx="75">
                  <c:v>557.37188141896661</c:v>
                </c:pt>
                <c:pt idx="76">
                  <c:v>543.24488697768481</c:v>
                </c:pt>
                <c:pt idx="77">
                  <c:v>549.30024505818915</c:v>
                </c:pt>
                <c:pt idx="78">
                  <c:v>555.35420335873334</c:v>
                </c:pt>
                <c:pt idx="79">
                  <c:v>561.40677929677679</c:v>
                </c:pt>
                <c:pt idx="80">
                  <c:v>567.4579898834462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0098960"/>
        <c:axId val="360089168"/>
      </c:scatterChart>
      <c:valAx>
        <c:axId val="360098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0089168"/>
        <c:crosses val="autoZero"/>
        <c:crossBetween val="midCat"/>
      </c:valAx>
      <c:valAx>
        <c:axId val="36008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0098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2.2914870097786264</c:v>
                </c:pt>
                <c:pt idx="2">
                  <c:v>3.0318793754800732</c:v>
                </c:pt>
                <c:pt idx="3">
                  <c:v>4.0124802913056792</c:v>
                </c:pt>
                <c:pt idx="4">
                  <c:v>5.3115222017889865</c:v>
                </c:pt>
                <c:pt idx="5">
                  <c:v>7.0328082116035331</c:v>
                </c:pt>
                <c:pt idx="6">
                  <c:v>9.3140977190254759</c:v>
                </c:pt>
                <c:pt idx="7">
                  <c:v>12.33825041049009</c:v>
                </c:pt>
                <c:pt idx="8">
                  <c:v>16.348038471537279</c:v>
                </c:pt>
                <c:pt idx="9">
                  <c:v>21.665837745842509</c:v>
                </c:pt>
                <c:pt idx="10">
                  <c:v>28.719809172762542</c:v>
                </c:pt>
                <c:pt idx="11">
                  <c:v>38.078715274510586</c:v>
                </c:pt>
                <c:pt idx="12">
                  <c:v>50.498226886138504</c:v>
                </c:pt>
                <c:pt idx="13">
                  <c:v>66.982521556758726</c:v>
                </c:pt>
                <c:pt idx="14">
                  <c:v>88.866235521427257</c:v>
                </c:pt>
                <c:pt idx="15">
                  <c:v>117.92351039680756</c:v>
                </c:pt>
                <c:pt idx="16">
                  <c:v>132.58566846707615</c:v>
                </c:pt>
                <c:pt idx="17">
                  <c:v>147.20868319853497</c:v>
                </c:pt>
                <c:pt idx="18">
                  <c:v>161.79699433043689</c:v>
                </c:pt>
                <c:pt idx="19">
                  <c:v>176.35417385644337</c:v>
                </c:pt>
                <c:pt idx="20">
                  <c:v>190.88315490424284</c:v>
                </c:pt>
                <c:pt idx="21">
                  <c:v>148.1448304530447</c:v>
                </c:pt>
                <c:pt idx="22">
                  <c:v>162.35744096511164</c:v>
                </c:pt>
                <c:pt idx="23">
                  <c:v>176.54061559438961</c:v>
                </c:pt>
                <c:pt idx="24">
                  <c:v>190.69705365420279</c:v>
                </c:pt>
                <c:pt idx="25">
                  <c:v>204.82902043085244</c:v>
                </c:pt>
                <c:pt idx="26">
                  <c:v>218.19637580534933</c:v>
                </c:pt>
                <c:pt idx="27">
                  <c:v>231.54491400588816</c:v>
                </c:pt>
                <c:pt idx="28">
                  <c:v>244.87587306175826</c:v>
                </c:pt>
                <c:pt idx="29">
                  <c:v>258.19034511136186</c:v>
                </c:pt>
                <c:pt idx="30">
                  <c:v>271.48930039264548</c:v>
                </c:pt>
                <c:pt idx="31">
                  <c:v>227.65345831954789</c:v>
                </c:pt>
                <c:pt idx="32">
                  <c:v>240.24898910471029</c:v>
                </c:pt>
                <c:pt idx="33">
                  <c:v>252.82948997931717</c:v>
                </c:pt>
                <c:pt idx="34">
                  <c:v>265.3958144897008</c:v>
                </c:pt>
                <c:pt idx="35">
                  <c:v>277.94872870657542</c:v>
                </c:pt>
                <c:pt idx="36">
                  <c:v>289.38293116514234</c:v>
                </c:pt>
                <c:pt idx="37">
                  <c:v>300.80703762598421</c:v>
                </c:pt>
                <c:pt idx="38">
                  <c:v>312.22148572483741</c:v>
                </c:pt>
                <c:pt idx="39">
                  <c:v>323.62667847115443</c:v>
                </c:pt>
                <c:pt idx="40">
                  <c:v>335.02298813768738</c:v>
                </c:pt>
                <c:pt idx="41">
                  <c:v>288.82989941789356</c:v>
                </c:pt>
                <c:pt idx="42">
                  <c:v>299.70190776572849</c:v>
                </c:pt>
                <c:pt idx="43">
                  <c:v>310.56513314671798</c:v>
                </c:pt>
                <c:pt idx="44">
                  <c:v>321.41992623463284</c:v>
                </c:pt>
                <c:pt idx="45">
                  <c:v>332.26661207234366</c:v>
                </c:pt>
                <c:pt idx="46">
                  <c:v>342.37089418257489</c:v>
                </c:pt>
                <c:pt idx="47">
                  <c:v>352.46862226287652</c:v>
                </c:pt>
                <c:pt idx="48">
                  <c:v>362.56001063918217</c:v>
                </c:pt>
                <c:pt idx="49">
                  <c:v>372.64526072714688</c:v>
                </c:pt>
                <c:pt idx="50">
                  <c:v>382.72456214571116</c:v>
                </c:pt>
                <c:pt idx="51">
                  <c:v>339.98320906401625</c:v>
                </c:pt>
                <c:pt idx="52">
                  <c:v>349.53176450400855</c:v>
                </c:pt>
                <c:pt idx="53">
                  <c:v>359.07459859126061</c:v>
                </c:pt>
                <c:pt idx="54">
                  <c:v>368.61188489876866</c:v>
                </c:pt>
                <c:pt idx="55">
                  <c:v>378.14378727996063</c:v>
                </c:pt>
                <c:pt idx="56">
                  <c:v>386.93782188026211</c:v>
                </c:pt>
                <c:pt idx="57">
                  <c:v>395.7275166731165</c:v>
                </c:pt>
                <c:pt idx="58">
                  <c:v>404.51298169693899</c:v>
                </c:pt>
                <c:pt idx="59">
                  <c:v>413.29432181793192</c:v>
                </c:pt>
                <c:pt idx="60">
                  <c:v>422.07163708031607</c:v>
                </c:pt>
                <c:pt idx="61">
                  <c:v>379.97624131213121</c:v>
                </c:pt>
                <c:pt idx="62">
                  <c:v>388.21991999001648</c:v>
                </c:pt>
                <c:pt idx="63">
                  <c:v>396.4597988325782</c:v>
                </c:pt>
                <c:pt idx="64">
                  <c:v>404.69596800009577</c:v>
                </c:pt>
                <c:pt idx="65">
                  <c:v>412.92851368148507</c:v>
                </c:pt>
                <c:pt idx="66">
                  <c:v>420.42619259356735</c:v>
                </c:pt>
                <c:pt idx="67">
                  <c:v>427.92099191345005</c:v>
                </c:pt>
                <c:pt idx="68">
                  <c:v>435.41296921989988</c:v>
                </c:pt>
                <c:pt idx="69">
                  <c:v>442.90217994739669</c:v>
                </c:pt>
                <c:pt idx="70">
                  <c:v>450.38867750169061</c:v>
                </c:pt>
                <c:pt idx="71">
                  <c:v>412.92851368148513</c:v>
                </c:pt>
                <c:pt idx="72">
                  <c:v>420.24335687514667</c:v>
                </c:pt>
                <c:pt idx="73">
                  <c:v>427.55545787700925</c:v>
                </c:pt>
                <c:pt idx="74">
                  <c:v>434.8648702289716</c:v>
                </c:pt>
                <c:pt idx="75">
                  <c:v>442.17164552507165</c:v>
                </c:pt>
                <c:pt idx="76">
                  <c:v>448.92810808361315</c:v>
                </c:pt>
                <c:pt idx="77">
                  <c:v>455.68239493388319</c:v>
                </c:pt>
                <c:pt idx="78">
                  <c:v>462.4345428939136</c:v>
                </c:pt>
                <c:pt idx="79">
                  <c:v>469.18458761820074</c:v>
                </c:pt>
                <c:pt idx="80">
                  <c:v>475.9325636510539</c:v>
                </c:pt>
                <c:pt idx="81">
                  <c:v>441.25844110945678</c:v>
                </c:pt>
                <c:pt idx="82">
                  <c:v>447.65002642287277</c:v>
                </c:pt>
                <c:pt idx="83">
                  <c:v>454.03965853817658</c:v>
                </c:pt>
                <c:pt idx="84">
                  <c:v>460.42736883834408</c:v>
                </c:pt>
                <c:pt idx="85">
                  <c:v>466.81318776396671</c:v>
                </c:pt>
                <c:pt idx="86">
                  <c:v>473.01477165455441</c:v>
                </c:pt>
                <c:pt idx="87">
                  <c:v>479.214624883559</c:v>
                </c:pt>
                <c:pt idx="88">
                  <c:v>485.4127730136849</c:v>
                </c:pt>
                <c:pt idx="89">
                  <c:v>491.60924090118425</c:v>
                </c:pt>
                <c:pt idx="90">
                  <c:v>497.8040527242361</c:v>
                </c:pt>
                <c:pt idx="91">
                  <c:v>464.44153106100708</c:v>
                </c:pt>
                <c:pt idx="92">
                  <c:v>470.27899364015747</c:v>
                </c:pt>
                <c:pt idx="93">
                  <c:v>476.11491298718494</c:v>
                </c:pt>
                <c:pt idx="94">
                  <c:v>481.94931069924172</c:v>
                </c:pt>
                <c:pt idx="95">
                  <c:v>487.78220780757994</c:v>
                </c:pt>
                <c:pt idx="96">
                  <c:v>493.43141522263085</c:v>
                </c:pt>
                <c:pt idx="97">
                  <c:v>499.07925174186192</c:v>
                </c:pt>
                <c:pt idx="98">
                  <c:v>504.72573507714452</c:v>
                </c:pt>
                <c:pt idx="99">
                  <c:v>510.37088251149186</c:v>
                </c:pt>
                <c:pt idx="100">
                  <c:v>516.01471091417579</c:v>
                </c:pt>
                <c:pt idx="101">
                  <c:v>485.59504593187461</c:v>
                </c:pt>
                <c:pt idx="102">
                  <c:v>490.69810005821245</c:v>
                </c:pt>
                <c:pt idx="103">
                  <c:v>495.80002866911053</c:v>
                </c:pt>
                <c:pt idx="104">
                  <c:v>500.90084498851155</c:v>
                </c:pt>
                <c:pt idx="105">
                  <c:v>506.00056194887856</c:v>
                </c:pt>
                <c:pt idx="106">
                  <c:v>511.28126619569656</c:v>
                </c:pt>
                <c:pt idx="107">
                  <c:v>516.5608184699023</c:v>
                </c:pt>
                <c:pt idx="108">
                  <c:v>521.83923221342832</c:v>
                </c:pt>
                <c:pt idx="109">
                  <c:v>527.11652057393383</c:v>
                </c:pt>
                <c:pt idx="110">
                  <c:v>532.39269641419389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0092432"/>
        <c:axId val="360093520"/>
      </c:scatterChart>
      <c:valAx>
        <c:axId val="360092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0093520"/>
        <c:crosses val="autoZero"/>
        <c:crossBetween val="midCat"/>
      </c:valAx>
      <c:valAx>
        <c:axId val="36009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0092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3.3541613439413211</c:v>
                </c:pt>
                <c:pt idx="2">
                  <c:v>4.1195857919439485</c:v>
                </c:pt>
                <c:pt idx="3">
                  <c:v>5.0603389505584326</c:v>
                </c:pt>
                <c:pt idx="4">
                  <c:v>6.2167236355155131</c:v>
                </c:pt>
                <c:pt idx="5">
                  <c:v>7.6383375643704605</c:v>
                </c:pt>
                <c:pt idx="6">
                  <c:v>9.3862235381627368</c:v>
                </c:pt>
                <c:pt idx="7">
                  <c:v>11.535518416553316</c:v>
                </c:pt>
                <c:pt idx="8">
                  <c:v>14.178716891836151</c:v>
                </c:pt>
                <c:pt idx="9">
                  <c:v>17.429693109767172</c:v>
                </c:pt>
                <c:pt idx="10">
                  <c:v>21.428656545034158</c:v>
                </c:pt>
                <c:pt idx="11">
                  <c:v>26.348259694992166</c:v>
                </c:pt>
                <c:pt idx="12">
                  <c:v>32.40112593225836</c:v>
                </c:pt>
                <c:pt idx="13">
                  <c:v>39.849128508206562</c:v>
                </c:pt>
                <c:pt idx="14">
                  <c:v>49.014829007232315</c:v>
                </c:pt>
                <c:pt idx="15">
                  <c:v>60.295578950570139</c:v>
                </c:pt>
                <c:pt idx="16">
                  <c:v>74.18090597931814</c:v>
                </c:pt>
                <c:pt idx="17">
                  <c:v>91.27395134572491</c:v>
                </c:pt>
                <c:pt idx="18">
                  <c:v>112.31790477605797</c:v>
                </c:pt>
                <c:pt idx="19">
                  <c:v>138.22860412280747</c:v>
                </c:pt>
                <c:pt idx="20">
                  <c:v>170.13474046014426</c:v>
                </c:pt>
                <c:pt idx="21">
                  <c:v>145.80166896583853</c:v>
                </c:pt>
                <c:pt idx="22">
                  <c:v>163.59217380275376</c:v>
                </c:pt>
                <c:pt idx="23">
                  <c:v>181.33692408739259</c:v>
                </c:pt>
                <c:pt idx="24">
                  <c:v>199.04102959808699</c:v>
                </c:pt>
                <c:pt idx="25">
                  <c:v>216.7086154094917</c:v>
                </c:pt>
                <c:pt idx="26">
                  <c:v>235.73394911793238</c:v>
                </c:pt>
                <c:pt idx="27">
                  <c:v>254.7242653034034</c:v>
                </c:pt>
                <c:pt idx="28">
                  <c:v>273.68254154848717</c:v>
                </c:pt>
                <c:pt idx="29">
                  <c:v>292.61130907849321</c:v>
                </c:pt>
                <c:pt idx="30">
                  <c:v>311.51274483481546</c:v>
                </c:pt>
                <c:pt idx="31">
                  <c:v>241.29557265534098</c:v>
                </c:pt>
                <c:pt idx="32">
                  <c:v>261.20128985354512</c:v>
                </c:pt>
                <c:pt idx="33">
                  <c:v>281.07276143896291</c:v>
                </c:pt>
                <c:pt idx="34">
                  <c:v>300.91274840428326</c:v>
                </c:pt>
                <c:pt idx="35">
                  <c:v>320.72361789290409</c:v>
                </c:pt>
                <c:pt idx="36">
                  <c:v>340.96720197828137</c:v>
                </c:pt>
                <c:pt idx="37">
                  <c:v>361.18436335857831</c:v>
                </c:pt>
                <c:pt idx="38">
                  <c:v>381.37678831502041</c:v>
                </c:pt>
                <c:pt idx="39">
                  <c:v>401.54597005780846</c:v>
                </c:pt>
                <c:pt idx="40">
                  <c:v>421.69323961894656</c:v>
                </c:pt>
                <c:pt idx="41">
                  <c:v>331.76895779885058</c:v>
                </c:pt>
                <c:pt idx="42">
                  <c:v>351.99790751820501</c:v>
                </c:pt>
                <c:pt idx="43">
                  <c:v>372.20138039050329</c:v>
                </c:pt>
                <c:pt idx="44">
                  <c:v>392.38095311431579</c:v>
                </c:pt>
                <c:pt idx="45">
                  <c:v>412.5380270460987</c:v>
                </c:pt>
                <c:pt idx="46">
                  <c:v>432.67385549047049</c:v>
                </c:pt>
                <c:pt idx="47">
                  <c:v>452.78956564506052</c:v>
                </c:pt>
                <c:pt idx="48">
                  <c:v>472.88617644259716</c:v>
                </c:pt>
                <c:pt idx="49">
                  <c:v>492.96461320246812</c:v>
                </c:pt>
                <c:pt idx="50">
                  <c:v>513.02571977154469</c:v>
                </c:pt>
                <c:pt idx="51">
                  <c:v>411.6222662964928</c:v>
                </c:pt>
                <c:pt idx="52">
                  <c:v>431.30160930646508</c:v>
                </c:pt>
                <c:pt idx="53">
                  <c:v>450.96166855105645</c:v>
                </c:pt>
                <c:pt idx="54">
                  <c:v>470.60340248231097</c:v>
                </c:pt>
                <c:pt idx="55">
                  <c:v>490.22768306866277</c:v>
                </c:pt>
                <c:pt idx="56">
                  <c:v>508.9236828935525</c:v>
                </c:pt>
                <c:pt idx="57">
                  <c:v>527.60517400741946</c:v>
                </c:pt>
                <c:pt idx="58">
                  <c:v>546.27274209528707</c:v>
                </c:pt>
                <c:pt idx="59">
                  <c:v>564.92692957745021</c:v>
                </c:pt>
                <c:pt idx="60">
                  <c:v>583.56824015764721</c:v>
                </c:pt>
                <c:pt idx="61">
                  <c:v>479.27669956446067</c:v>
                </c:pt>
                <c:pt idx="62">
                  <c:v>497.98148322541033</c:v>
                </c:pt>
                <c:pt idx="63">
                  <c:v>516.67139318273348</c:v>
                </c:pt>
                <c:pt idx="64">
                  <c:v>535.34704284494785</c:v>
                </c:pt>
                <c:pt idx="65">
                  <c:v>554.00899936215012</c:v>
                </c:pt>
                <c:pt idx="66">
                  <c:v>571.29367866643008</c:v>
                </c:pt>
                <c:pt idx="67">
                  <c:v>588.56743763742338</c:v>
                </c:pt>
                <c:pt idx="68">
                  <c:v>605.830641684282</c:v>
                </c:pt>
                <c:pt idx="69">
                  <c:v>623.08363370836162</c:v>
                </c:pt>
                <c:pt idx="70">
                  <c:v>640.32673608720324</c:v>
                </c:pt>
                <c:pt idx="71">
                  <c:v>537.16831555051442</c:v>
                </c:pt>
                <c:pt idx="72">
                  <c:v>554.46400248305508</c:v>
                </c:pt>
                <c:pt idx="73">
                  <c:v>571.74838952524476</c:v>
                </c:pt>
                <c:pt idx="74">
                  <c:v>589.02186615684775</c:v>
                </c:pt>
                <c:pt idx="75">
                  <c:v>606.28479716717118</c:v>
                </c:pt>
                <c:pt idx="76">
                  <c:v>622.17583079004885</c:v>
                </c:pt>
                <c:pt idx="77">
                  <c:v>638.05846086868894</c:v>
                </c:pt>
                <c:pt idx="78">
                  <c:v>653.93292590911062</c:v>
                </c:pt>
                <c:pt idx="79">
                  <c:v>669.79945190168928</c:v>
                </c:pt>
                <c:pt idx="80">
                  <c:v>685.6582532649245</c:v>
                </c:pt>
                <c:pt idx="81">
                  <c:v>585.38623300966719</c:v>
                </c:pt>
                <c:pt idx="82">
                  <c:v>600.83446335823419</c:v>
                </c:pt>
                <c:pt idx="83">
                  <c:v>616.27444100355149</c:v>
                </c:pt>
                <c:pt idx="84">
                  <c:v>631.70640170705326</c:v>
                </c:pt>
                <c:pt idx="85">
                  <c:v>647.13056877940483</c:v>
                </c:pt>
                <c:pt idx="86">
                  <c:v>661.18716684283243</c:v>
                </c:pt>
                <c:pt idx="87">
                  <c:v>675.23761494166627</c:v>
                </c:pt>
                <c:pt idx="88">
                  <c:v>689.28205899868408</c:v>
                </c:pt>
                <c:pt idx="89">
                  <c:v>703.32063850908401</c:v>
                </c:pt>
                <c:pt idx="90">
                  <c:v>717.35348694890672</c:v>
                </c:pt>
                <c:pt idx="91">
                  <c:v>624.44528674225796</c:v>
                </c:pt>
                <c:pt idx="92">
                  <c:v>638.05846086868894</c:v>
                </c:pt>
                <c:pt idx="93">
                  <c:v>651.66563639464141</c:v>
                </c:pt>
                <c:pt idx="94">
                  <c:v>665.26695615745723</c:v>
                </c:pt>
                <c:pt idx="95">
                  <c:v>678.86255668089996</c:v>
                </c:pt>
                <c:pt idx="96">
                  <c:v>691.54673911683642</c:v>
                </c:pt>
                <c:pt idx="97">
                  <c:v>704.22615511836545</c:v>
                </c:pt>
                <c:pt idx="98">
                  <c:v>716.90090255028838</c:v>
                </c:pt>
                <c:pt idx="99">
                  <c:v>729.57107553677588</c:v>
                </c:pt>
                <c:pt idx="100">
                  <c:v>742.23676466817381</c:v>
                </c:pt>
                <c:pt idx="101">
                  <c:v>657.10685920908099</c:v>
                </c:pt>
                <c:pt idx="102">
                  <c:v>669.3462307808519</c:v>
                </c:pt>
                <c:pt idx="103">
                  <c:v>681.58100207055327</c:v>
                </c:pt>
                <c:pt idx="104">
                  <c:v>693.81126725428646</c:v>
                </c:pt>
                <c:pt idx="105">
                  <c:v>706.03711691888964</c:v>
                </c:pt>
                <c:pt idx="106">
                  <c:v>717.80606551735002</c:v>
                </c:pt>
                <c:pt idx="107">
                  <c:v>729.57107553677554</c:v>
                </c:pt>
                <c:pt idx="108">
                  <c:v>741.33221940809153</c:v>
                </c:pt>
                <c:pt idx="109">
                  <c:v>753.08956707789775</c:v>
                </c:pt>
                <c:pt idx="110">
                  <c:v>764.84318613194398</c:v>
                </c:pt>
                <c:pt idx="111">
                  <c:v>684.75224053522095</c:v>
                </c:pt>
                <c:pt idx="112">
                  <c:v>695.16991142173231</c:v>
                </c:pt>
                <c:pt idx="113">
                  <c:v>705.5843853851062</c:v>
                </c:pt>
                <c:pt idx="114">
                  <c:v>715.9957162457132</c:v>
                </c:pt>
                <c:pt idx="115">
                  <c:v>726.40395613171552</c:v>
                </c:pt>
                <c:pt idx="116">
                  <c:v>736.80915555626746</c:v>
                </c:pt>
                <c:pt idx="117">
                  <c:v>747.21136349013284</c:v>
                </c:pt>
                <c:pt idx="118">
                  <c:v>757.61062743004959</c:v>
                </c:pt>
                <c:pt idx="119">
                  <c:v>768.00699346314775</c:v>
                </c:pt>
                <c:pt idx="120">
                  <c:v>778.40050632770044</c:v>
                </c:pt>
                <c:pt idx="121">
                  <c:v>6.1963820762326169E-12</c:v>
                </c:pt>
                <c:pt idx="122">
                  <c:v>6.1963820762326169E-12</c:v>
                </c:pt>
                <c:pt idx="123">
                  <c:v>6.1963820762326169E-12</c:v>
                </c:pt>
                <c:pt idx="124">
                  <c:v>6.1963820762326169E-12</c:v>
                </c:pt>
                <c:pt idx="125">
                  <c:v>6.1963820762326169E-12</c:v>
                </c:pt>
                <c:pt idx="126">
                  <c:v>6.1963820762326169E-12</c:v>
                </c:pt>
                <c:pt idx="127">
                  <c:v>6.1963820762326169E-12</c:v>
                </c:pt>
                <c:pt idx="128">
                  <c:v>6.1963820762326169E-12</c:v>
                </c:pt>
                <c:pt idx="129">
                  <c:v>6.1963820762326169E-12</c:v>
                </c:pt>
                <c:pt idx="130">
                  <c:v>6.1963820762326169E-12</c:v>
                </c:pt>
                <c:pt idx="131">
                  <c:v>6.1963820762326169E-12</c:v>
                </c:pt>
                <c:pt idx="132">
                  <c:v>6.1963820762326169E-12</c:v>
                </c:pt>
                <c:pt idx="133">
                  <c:v>6.1963820762326169E-12</c:v>
                </c:pt>
                <c:pt idx="134">
                  <c:v>6.1963820762326169E-12</c:v>
                </c:pt>
                <c:pt idx="135">
                  <c:v>6.1963820762326169E-12</c:v>
                </c:pt>
                <c:pt idx="136">
                  <c:v>6.1963820762326169E-12</c:v>
                </c:pt>
                <c:pt idx="137">
                  <c:v>6.1963820762326169E-12</c:v>
                </c:pt>
                <c:pt idx="138">
                  <c:v>6.1963820762326169E-12</c:v>
                </c:pt>
                <c:pt idx="139">
                  <c:v>6.1963820762326169E-12</c:v>
                </c:pt>
                <c:pt idx="140">
                  <c:v>6.1963820762326169E-12</c:v>
                </c:pt>
                <c:pt idx="141">
                  <c:v>6.1963820762326169E-12</c:v>
                </c:pt>
                <c:pt idx="142">
                  <c:v>6.1963820762326169E-12</c:v>
                </c:pt>
                <c:pt idx="143">
                  <c:v>6.1963820762326169E-12</c:v>
                </c:pt>
                <c:pt idx="144">
                  <c:v>6.1963820762326169E-12</c:v>
                </c:pt>
                <c:pt idx="145">
                  <c:v>6.1963820762326169E-12</c:v>
                </c:pt>
                <c:pt idx="146">
                  <c:v>6.1963820762326169E-12</c:v>
                </c:pt>
                <c:pt idx="147">
                  <c:v>6.1963820762326169E-12</c:v>
                </c:pt>
                <c:pt idx="148">
                  <c:v>6.1963820762326169E-12</c:v>
                </c:pt>
                <c:pt idx="149">
                  <c:v>6.1963820762326169E-12</c:v>
                </c:pt>
                <c:pt idx="150">
                  <c:v>6.1963820762326169E-12</c:v>
                </c:pt>
                <c:pt idx="151">
                  <c:v>6.1963820762326169E-12</c:v>
                </c:pt>
                <c:pt idx="152">
                  <c:v>6.1963820762326169E-12</c:v>
                </c:pt>
                <c:pt idx="153">
                  <c:v>6.1963820762326169E-12</c:v>
                </c:pt>
                <c:pt idx="154">
                  <c:v>6.1963820762326169E-12</c:v>
                </c:pt>
                <c:pt idx="155">
                  <c:v>6.1963820762326169E-12</c:v>
                </c:pt>
                <c:pt idx="156">
                  <c:v>6.1963820762326169E-12</c:v>
                </c:pt>
                <c:pt idx="157">
                  <c:v>6.1963820762326169E-12</c:v>
                </c:pt>
                <c:pt idx="158">
                  <c:v>6.1963820762326169E-12</c:v>
                </c:pt>
                <c:pt idx="159">
                  <c:v>6.1963820762326169E-12</c:v>
                </c:pt>
                <c:pt idx="160">
                  <c:v>6.1963820762326169E-12</c:v>
                </c:pt>
                <c:pt idx="161">
                  <c:v>6.1963820762326169E-12</c:v>
                </c:pt>
                <c:pt idx="162">
                  <c:v>6.1963820762326169E-12</c:v>
                </c:pt>
                <c:pt idx="163">
                  <c:v>6.1963820762326169E-12</c:v>
                </c:pt>
                <c:pt idx="164">
                  <c:v>6.1963820762326169E-12</c:v>
                </c:pt>
                <c:pt idx="165">
                  <c:v>6.1963820762326169E-12</c:v>
                </c:pt>
                <c:pt idx="166">
                  <c:v>6.1963820762326169E-12</c:v>
                </c:pt>
                <c:pt idx="167">
                  <c:v>6.1963820762326169E-12</c:v>
                </c:pt>
                <c:pt idx="168">
                  <c:v>6.1963820762326169E-12</c:v>
                </c:pt>
                <c:pt idx="169">
                  <c:v>6.1963820762326169E-12</c:v>
                </c:pt>
                <c:pt idx="170">
                  <c:v>6.1963820762326169E-12</c:v>
                </c:pt>
                <c:pt idx="171">
                  <c:v>6.1963820762326169E-12</c:v>
                </c:pt>
                <c:pt idx="172">
                  <c:v>6.1963820762326169E-12</c:v>
                </c:pt>
                <c:pt idx="173">
                  <c:v>6.1963820762326169E-12</c:v>
                </c:pt>
                <c:pt idx="174">
                  <c:v>6.1963820762326169E-12</c:v>
                </c:pt>
                <c:pt idx="175">
                  <c:v>6.1963820762326169E-12</c:v>
                </c:pt>
                <c:pt idx="176">
                  <c:v>6.1963820762326169E-12</c:v>
                </c:pt>
                <c:pt idx="177">
                  <c:v>6.1963820762326169E-12</c:v>
                </c:pt>
                <c:pt idx="178">
                  <c:v>6.1963820762326169E-12</c:v>
                </c:pt>
                <c:pt idx="179">
                  <c:v>6.1963820762326169E-12</c:v>
                </c:pt>
                <c:pt idx="180">
                  <c:v>6.1963820762326169E-12</c:v>
                </c:pt>
                <c:pt idx="181">
                  <c:v>6.1963820762326169E-12</c:v>
                </c:pt>
                <c:pt idx="182">
                  <c:v>6.1963820762326169E-12</c:v>
                </c:pt>
                <c:pt idx="183">
                  <c:v>6.1963820762326169E-12</c:v>
                </c:pt>
                <c:pt idx="184">
                  <c:v>6.1963820762326169E-12</c:v>
                </c:pt>
                <c:pt idx="185">
                  <c:v>6.1963820762326169E-12</c:v>
                </c:pt>
                <c:pt idx="186">
                  <c:v>6.1963820762326169E-12</c:v>
                </c:pt>
                <c:pt idx="187">
                  <c:v>6.1963820762326169E-12</c:v>
                </c:pt>
                <c:pt idx="188">
                  <c:v>6.1963820762326169E-12</c:v>
                </c:pt>
                <c:pt idx="189">
                  <c:v>6.1963820762326169E-12</c:v>
                </c:pt>
                <c:pt idx="190">
                  <c:v>6.1963820762326169E-12</c:v>
                </c:pt>
                <c:pt idx="191">
                  <c:v>6.1963820762326169E-12</c:v>
                </c:pt>
                <c:pt idx="192">
                  <c:v>6.1963820762326169E-12</c:v>
                </c:pt>
                <c:pt idx="193">
                  <c:v>6.1963820762326169E-12</c:v>
                </c:pt>
                <c:pt idx="194">
                  <c:v>6.1963820762326169E-12</c:v>
                </c:pt>
                <c:pt idx="195">
                  <c:v>6.1963820762326169E-12</c:v>
                </c:pt>
                <c:pt idx="196">
                  <c:v>6.1963820762326169E-12</c:v>
                </c:pt>
                <c:pt idx="197">
                  <c:v>6.1963820762326169E-12</c:v>
                </c:pt>
                <c:pt idx="198">
                  <c:v>6.1963820762326169E-12</c:v>
                </c:pt>
                <c:pt idx="199">
                  <c:v>6.1963820762326169E-12</c:v>
                </c:pt>
                <c:pt idx="200">
                  <c:v>6.1963820762326169E-12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0094608"/>
        <c:axId val="360095152"/>
      </c:scatterChart>
      <c:valAx>
        <c:axId val="360094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0095152"/>
        <c:crosses val="autoZero"/>
        <c:crossBetween val="midCat"/>
      </c:valAx>
      <c:valAx>
        <c:axId val="36009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0094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0097328"/>
        <c:axId val="360096240"/>
      </c:scatterChart>
      <c:valAx>
        <c:axId val="360097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0096240"/>
        <c:crosses val="autoZero"/>
        <c:crossBetween val="midCat"/>
      </c:valAx>
      <c:valAx>
        <c:axId val="36009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0097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0096784"/>
        <c:axId val="1676807104"/>
      </c:scatterChart>
      <c:valAx>
        <c:axId val="360096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76807104"/>
        <c:crosses val="autoZero"/>
        <c:crossBetween val="midCat"/>
      </c:valAx>
      <c:valAx>
        <c:axId val="167680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0096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807648"/>
        <c:axId val="1676816896"/>
      </c:scatterChart>
      <c:valAx>
        <c:axId val="1676807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76816896"/>
        <c:crosses val="autoZero"/>
        <c:crossBetween val="midCat"/>
      </c:valAx>
      <c:valAx>
        <c:axId val="167681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76807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812544"/>
        <c:axId val="1676815264"/>
      </c:scatterChart>
      <c:valAx>
        <c:axId val="1676812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76815264"/>
        <c:crosses val="autoZero"/>
        <c:crossBetween val="midCat"/>
      </c:valAx>
      <c:valAx>
        <c:axId val="16768152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76812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111" zoomScaleNormal="100" workbookViewId="0">
      <selection activeCell="B114" sqref="B11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5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5"/>
      <c r="I4" s="225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2.2999999999999998</v>
      </c>
      <c r="D5" s="303" t="s">
        <v>229</v>
      </c>
      <c r="E5" s="304"/>
      <c r="F5" s="95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7"/>
      <c r="H6" s="238"/>
      <c r="I6" s="238"/>
      <c r="J6" s="245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0.4</v>
      </c>
      <c r="D9" s="36">
        <f t="shared" ref="D9:D18" si="0">C9*$C$5</f>
        <v>0.91999999999999993</v>
      </c>
      <c r="E9" s="37">
        <v>161</v>
      </c>
      <c r="F9" s="38" t="str">
        <f t="array" ref="F9">IF(E9="","",IF(INDEX(A:A,MAX(IF(ISNUMBER($A$36:$A$55),ROW($A$36:$A$55),"")))&lt;&gt;E9,"Corrigez : révolution incorrecte","OK"))</f>
        <v>Corrigez : révolution incorrecte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0.3</v>
      </c>
      <c r="D10" s="36">
        <f t="shared" si="0"/>
        <v>0.69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22</v>
      </c>
      <c r="C11" s="35">
        <v>0.1</v>
      </c>
      <c r="D11" s="36">
        <f t="shared" si="0"/>
        <v>0.22999999999999998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50</v>
      </c>
      <c r="C12" s="35">
        <v>0.1</v>
      </c>
      <c r="D12" s="36">
        <f t="shared" si="0"/>
        <v>0.22999999999999998</v>
      </c>
      <c r="E12" s="37">
        <v>110</v>
      </c>
      <c r="F12" s="38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52</v>
      </c>
      <c r="C13" s="35">
        <v>0.1</v>
      </c>
      <c r="D13" s="36">
        <f t="shared" si="0"/>
        <v>0.22999999999999998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0.99999999999999989</v>
      </c>
      <c r="D19" s="41">
        <f>SUM(D9:D18)</f>
        <v>2.2999999999999998</v>
      </c>
      <c r="E19" s="5"/>
      <c r="F19" s="99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H22" s="227"/>
      <c r="I22" s="245"/>
      <c r="J22" s="245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7"/>
      <c r="H30" s="245"/>
      <c r="I30" s="245"/>
      <c r="J30" s="245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30</v>
      </c>
      <c r="B36" s="61">
        <f>190.14/1.56</f>
        <v>121.88461538461537</v>
      </c>
      <c r="C36" s="61"/>
      <c r="D36" s="61"/>
      <c r="E36" s="54"/>
      <c r="F36" s="54"/>
      <c r="G36" s="54"/>
      <c r="H36" s="54"/>
      <c r="I36" s="52">
        <f>IFERROR(B36/A36,"")</f>
        <v>4.0628205128205126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35</v>
      </c>
      <c r="B37" s="61">
        <f>252.98/1.56</f>
        <v>162.16666666666666</v>
      </c>
      <c r="C37" s="61">
        <v>1</v>
      </c>
      <c r="D37" s="61">
        <f>94.54/1.56</f>
        <v>60.602564102564102</v>
      </c>
      <c r="E37" s="54"/>
      <c r="F37" s="54"/>
      <c r="G37" s="54"/>
      <c r="H37" s="54"/>
      <c r="I37" s="56">
        <f t="shared" ref="I37:I55" si="1">IF(A37&lt;&gt;0,(B37-(B36-D36))/(A37-A36),"")</f>
        <v>8.0564102564102562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41</v>
      </c>
      <c r="B38" s="61">
        <f>245.62/1.56</f>
        <v>157.44871794871796</v>
      </c>
      <c r="C38" s="61">
        <v>2</v>
      </c>
      <c r="D38" s="61">
        <f>60.08/1.56</f>
        <v>38.512820512820511</v>
      </c>
      <c r="E38" s="54"/>
      <c r="F38" s="54"/>
      <c r="G38" s="54"/>
      <c r="H38" s="54"/>
      <c r="I38" s="56">
        <f t="shared" si="1"/>
        <v>9.3141025641025674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48</v>
      </c>
      <c r="B39" s="61">
        <f>287.59/1.56</f>
        <v>184.35256410256409</v>
      </c>
      <c r="C39" s="61">
        <v>3</v>
      </c>
      <c r="D39" s="61">
        <f>74.92/1.56</f>
        <v>48.025641025641022</v>
      </c>
      <c r="E39" s="54"/>
      <c r="F39" s="54"/>
      <c r="G39" s="54"/>
      <c r="H39" s="54"/>
      <c r="I39" s="52">
        <f t="shared" si="1"/>
        <v>9.3452380952380913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55</v>
      </c>
      <c r="B40" s="61">
        <f>309.57/1.56</f>
        <v>198.44230769230768</v>
      </c>
      <c r="C40" s="61">
        <v>4</v>
      </c>
      <c r="D40" s="61">
        <f>70.43/1.56</f>
        <v>45.147435897435898</v>
      </c>
      <c r="E40" s="54"/>
      <c r="F40" s="54"/>
      <c r="G40" s="54"/>
      <c r="H40" s="54"/>
      <c r="I40" s="52">
        <f t="shared" si="1"/>
        <v>8.8736263736263741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63</v>
      </c>
      <c r="B41" s="61">
        <f>343.65/1.56</f>
        <v>220.28846153846152</v>
      </c>
      <c r="C41" s="61">
        <v>5</v>
      </c>
      <c r="D41" s="61">
        <f>65.09/1.56</f>
        <v>41.724358974358978</v>
      </c>
      <c r="E41" s="54"/>
      <c r="F41" s="54"/>
      <c r="G41" s="54"/>
      <c r="H41" s="54"/>
      <c r="I41" s="56">
        <f t="shared" si="1"/>
        <v>8.374198717948719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71</v>
      </c>
      <c r="B42" s="61">
        <f>379.65/1.56</f>
        <v>243.36538461538458</v>
      </c>
      <c r="C42" s="61">
        <v>6</v>
      </c>
      <c r="D42" s="61">
        <f>62.3/1.56</f>
        <v>39.935897435897431</v>
      </c>
      <c r="E42" s="54"/>
      <c r="F42" s="54"/>
      <c r="G42" s="54"/>
      <c r="H42" s="54"/>
      <c r="I42" s="56">
        <f t="shared" si="1"/>
        <v>8.1001602564102555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0">
        <v>80</v>
      </c>
      <c r="B43" s="61">
        <f>427.46/1.56</f>
        <v>274.0128205128205</v>
      </c>
      <c r="C43" s="61">
        <v>7</v>
      </c>
      <c r="D43" s="61">
        <f>71.15/1.56</f>
        <v>45.608974358974358</v>
      </c>
      <c r="E43" s="54"/>
      <c r="F43" s="54"/>
      <c r="G43" s="54"/>
      <c r="H43" s="54"/>
      <c r="I43" s="52">
        <f t="shared" si="1"/>
        <v>7.8425925925925934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0">
        <v>89</v>
      </c>
      <c r="B44" s="61">
        <f>461.54/1.56</f>
        <v>295.85897435897436</v>
      </c>
      <c r="C44" s="61">
        <v>8</v>
      </c>
      <c r="D44" s="61">
        <f>77.05/1.56</f>
        <v>49.391025641025635</v>
      </c>
      <c r="E44" s="54"/>
      <c r="F44" s="54"/>
      <c r="G44" s="54"/>
      <c r="H44" s="54"/>
      <c r="I44" s="52">
        <f t="shared" si="1"/>
        <v>7.4950142450142483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0">
        <v>99</v>
      </c>
      <c r="B45" s="61">
        <f>496.47/1.56</f>
        <v>318.25</v>
      </c>
      <c r="C45" s="61">
        <v>9</v>
      </c>
      <c r="D45" s="61">
        <f>74.91/1.56</f>
        <v>48.019230769230766</v>
      </c>
      <c r="E45" s="54"/>
      <c r="F45" s="54"/>
      <c r="G45" s="54"/>
      <c r="H45" s="54"/>
      <c r="I45" s="52">
        <f t="shared" si="1"/>
        <v>7.1782051282051267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0">
        <v>109</v>
      </c>
      <c r="B46" s="61">
        <f>530.66/1.56</f>
        <v>340.16666666666663</v>
      </c>
      <c r="C46" s="61">
        <v>10</v>
      </c>
      <c r="D46" s="61">
        <f>80.01/1.56</f>
        <v>51.28846153846154</v>
      </c>
      <c r="E46" s="54"/>
      <c r="F46" s="54"/>
      <c r="G46" s="54"/>
      <c r="H46" s="54"/>
      <c r="I46" s="52">
        <f t="shared" si="1"/>
        <v>6.9935897435897401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0">
        <v>119</v>
      </c>
      <c r="B47" s="61">
        <f>557.45/1.56</f>
        <v>357.33974358974359</v>
      </c>
      <c r="C47" s="61">
        <v>11</v>
      </c>
      <c r="D47" s="61">
        <f>234.04/1.56</f>
        <v>150.02564102564102</v>
      </c>
      <c r="E47" s="54"/>
      <c r="F47" s="54"/>
      <c r="G47" s="54"/>
      <c r="H47" s="54"/>
      <c r="I47" s="52">
        <f t="shared" si="1"/>
        <v>6.8461538461538511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0">
        <v>123</v>
      </c>
      <c r="B48" s="61">
        <f>347.31/1.56</f>
        <v>222.63461538461539</v>
      </c>
      <c r="C48" s="61">
        <v>12</v>
      </c>
      <c r="D48" s="61">
        <f>120.39/1.56</f>
        <v>77.17307692307692</v>
      </c>
      <c r="E48" s="54"/>
      <c r="F48" s="54"/>
      <c r="G48" s="54"/>
      <c r="H48" s="54"/>
      <c r="I48" s="52">
        <f t="shared" si="1"/>
        <v>3.8301282051282044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0">
        <v>127</v>
      </c>
      <c r="B49" s="61">
        <f>241.49/1.56</f>
        <v>154.80128205128204</v>
      </c>
      <c r="C49" s="61">
        <v>13</v>
      </c>
      <c r="D49" s="61">
        <f>77.87/1.56</f>
        <v>49.916666666666671</v>
      </c>
      <c r="E49" s="54"/>
      <c r="F49" s="54"/>
      <c r="G49" s="54"/>
      <c r="H49" s="54"/>
      <c r="I49" s="52">
        <f t="shared" si="1"/>
        <v>2.3349358974358978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0">
        <v>131</v>
      </c>
      <c r="B50" s="61">
        <f>173.02/1.56</f>
        <v>110.91025641025641</v>
      </c>
      <c r="C50" s="61">
        <v>14</v>
      </c>
      <c r="D50" s="61">
        <f>173.02/1.56</f>
        <v>110.91025641025641</v>
      </c>
      <c r="E50" s="54"/>
      <c r="F50" s="54"/>
      <c r="G50" s="54"/>
      <c r="H50" s="54"/>
      <c r="I50" s="52">
        <f t="shared" si="1"/>
        <v>1.5064102564102591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0"/>
      <c r="B51" s="61"/>
      <c r="C51" s="61"/>
      <c r="D51" s="61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0"/>
      <c r="B52" s="61"/>
      <c r="C52" s="61"/>
      <c r="D52" s="61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0"/>
      <c r="B53" s="61"/>
      <c r="C53" s="61"/>
      <c r="D53" s="61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0"/>
      <c r="B54" s="61"/>
      <c r="C54" s="61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0"/>
      <c r="B55" s="61"/>
      <c r="C55" s="61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f>60+18+5</f>
        <v>83</v>
      </c>
      <c r="C62" s="61">
        <v>1</v>
      </c>
      <c r="D62" s="61">
        <f>18+5</f>
        <v>23</v>
      </c>
      <c r="E62" s="54"/>
      <c r="F62" s="54"/>
      <c r="G62" s="54"/>
      <c r="H62" s="91">
        <v>1</v>
      </c>
      <c r="I62" s="56">
        <f>IFERROR(B62/A62,"")</f>
        <v>4.1500000000000004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f>82+22</f>
        <v>104</v>
      </c>
      <c r="C63" s="61"/>
      <c r="D63" s="61"/>
      <c r="E63" s="54"/>
      <c r="F63" s="54"/>
      <c r="G63" s="54"/>
      <c r="H63" s="91"/>
      <c r="I63" s="52">
        <f>IF(A63&lt;&gt;0,(B63-(B62-D62))/(A63-A62),"")</f>
        <v>8.8000000000000007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f>104+25+22</f>
        <v>151</v>
      </c>
      <c r="C64" s="61">
        <v>2</v>
      </c>
      <c r="D64" s="61">
        <f>25+22</f>
        <v>47</v>
      </c>
      <c r="E64" s="91"/>
      <c r="F64" s="91">
        <v>0.2</v>
      </c>
      <c r="G64" s="91"/>
      <c r="H64" s="91">
        <v>0.8</v>
      </c>
      <c r="I64" s="52">
        <f>IF(A64&lt;&gt;0,(B64-(B63-D63))/(A64-A63),"")</f>
        <v>9.4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f>126+27</f>
        <v>153</v>
      </c>
      <c r="C65" s="61"/>
      <c r="D65" s="61"/>
      <c r="E65" s="91"/>
      <c r="F65" s="91"/>
      <c r="G65" s="91"/>
      <c r="H65" s="91"/>
      <c r="I65" s="52">
        <f>IF(A65&lt;&gt;0,(B65-(B64-D64))/(A65-A64),"")</f>
        <v>9.8000000000000007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f>147+29+27</f>
        <v>203</v>
      </c>
      <c r="C66" s="61">
        <v>3</v>
      </c>
      <c r="D66" s="61">
        <f>29+27</f>
        <v>56</v>
      </c>
      <c r="E66" s="91"/>
      <c r="F66" s="91"/>
      <c r="G66" s="91"/>
      <c r="H66" s="91"/>
      <c r="I66" s="52">
        <f t="shared" ref="I66:I81" si="2">IF(A66&lt;&gt;0,(B66-(B65-D65))/(A66-A65),"")</f>
        <v>10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f>166+30</f>
        <v>196</v>
      </c>
      <c r="C67" s="61"/>
      <c r="D67" s="61"/>
      <c r="E67" s="91"/>
      <c r="F67" s="91"/>
      <c r="G67" s="91"/>
      <c r="H67" s="91"/>
      <c r="I67" s="52">
        <f t="shared" si="2"/>
        <v>9.8000000000000007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f>184+31+30</f>
        <v>245</v>
      </c>
      <c r="C68" s="61">
        <v>4</v>
      </c>
      <c r="D68" s="61">
        <f>31+30</f>
        <v>61</v>
      </c>
      <c r="E68" s="91"/>
      <c r="F68" s="91"/>
      <c r="G68" s="91"/>
      <c r="H68" s="91"/>
      <c r="I68" s="52">
        <f t="shared" si="2"/>
        <v>9.8000000000000007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61">
        <v>55</v>
      </c>
      <c r="B69" s="61">
        <f>201+32</f>
        <v>233</v>
      </c>
      <c r="C69" s="61"/>
      <c r="D69" s="61"/>
      <c r="E69" s="91"/>
      <c r="F69" s="91"/>
      <c r="G69" s="91"/>
      <c r="H69" s="91"/>
      <c r="I69" s="52">
        <f t="shared" si="2"/>
        <v>9.8000000000000007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61">
        <v>60</v>
      </c>
      <c r="B70" s="61">
        <f>217+32+32</f>
        <v>281</v>
      </c>
      <c r="C70" s="61">
        <v>5</v>
      </c>
      <c r="D70" s="61">
        <f>32+32</f>
        <v>64</v>
      </c>
      <c r="E70" s="91"/>
      <c r="F70" s="91"/>
      <c r="G70" s="91"/>
      <c r="H70" s="91"/>
      <c r="I70" s="52">
        <f t="shared" si="2"/>
        <v>9.6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61">
        <v>65</v>
      </c>
      <c r="B71" s="61">
        <f>231+31</f>
        <v>262</v>
      </c>
      <c r="C71" s="61"/>
      <c r="D71" s="61"/>
      <c r="E71" s="91"/>
      <c r="F71" s="91"/>
      <c r="G71" s="91"/>
      <c r="H71" s="91"/>
      <c r="I71" s="52">
        <f t="shared" si="2"/>
        <v>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61">
        <v>70</v>
      </c>
      <c r="B72" s="61">
        <f>245+31+31</f>
        <v>307</v>
      </c>
      <c r="C72" s="61">
        <v>6</v>
      </c>
      <c r="D72" s="61">
        <f>31+31</f>
        <v>62</v>
      </c>
      <c r="E72" s="91"/>
      <c r="F72" s="91"/>
      <c r="G72" s="91"/>
      <c r="H72" s="91"/>
      <c r="I72" s="52">
        <f t="shared" si="2"/>
        <v>9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61">
        <v>75</v>
      </c>
      <c r="B73" s="61">
        <f>257+30</f>
        <v>287</v>
      </c>
      <c r="C73" s="61"/>
      <c r="D73" s="61"/>
      <c r="E73" s="91"/>
      <c r="F73" s="91"/>
      <c r="G73" s="91"/>
      <c r="H73" s="91"/>
      <c r="I73" s="52">
        <f t="shared" si="2"/>
        <v>8.4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61">
        <v>80</v>
      </c>
      <c r="B74" s="61">
        <f>268+29+30</f>
        <v>327</v>
      </c>
      <c r="C74" s="61">
        <v>7</v>
      </c>
      <c r="D74" s="61">
        <f>29+30</f>
        <v>59</v>
      </c>
      <c r="E74" s="66"/>
      <c r="F74" s="66"/>
      <c r="G74" s="66"/>
      <c r="H74" s="66"/>
      <c r="I74" s="52">
        <f t="shared" si="2"/>
        <v>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61">
        <v>85</v>
      </c>
      <c r="B75" s="61">
        <f>278+28</f>
        <v>306</v>
      </c>
      <c r="C75" s="61"/>
      <c r="D75" s="61"/>
      <c r="E75" s="66"/>
      <c r="F75" s="66"/>
      <c r="G75" s="66"/>
      <c r="H75" s="66"/>
      <c r="I75" s="52">
        <f t="shared" si="2"/>
        <v>7.6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61">
        <v>90</v>
      </c>
      <c r="B76" s="61">
        <f>287+27+28</f>
        <v>342</v>
      </c>
      <c r="C76" s="61">
        <v>8</v>
      </c>
      <c r="D76" s="61">
        <f>27+28</f>
        <v>55</v>
      </c>
      <c r="E76" s="57"/>
      <c r="F76" s="57"/>
      <c r="G76" s="57"/>
      <c r="H76" s="57"/>
      <c r="I76" s="52">
        <f t="shared" si="2"/>
        <v>7.2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280">
        <v>95</v>
      </c>
      <c r="B77" s="61">
        <f>295+26</f>
        <v>321</v>
      </c>
      <c r="C77" s="61"/>
      <c r="D77" s="61"/>
      <c r="E77" s="54"/>
      <c r="F77" s="54"/>
      <c r="G77" s="54"/>
      <c r="H77" s="54"/>
      <c r="I77" s="52">
        <f t="shared" si="2"/>
        <v>6.8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280">
        <v>100</v>
      </c>
      <c r="B78" s="61">
        <f>302+25+26</f>
        <v>353</v>
      </c>
      <c r="C78" s="61">
        <v>9</v>
      </c>
      <c r="D78" s="61">
        <f>25+26</f>
        <v>51</v>
      </c>
      <c r="E78" s="54"/>
      <c r="F78" s="54"/>
      <c r="G78" s="54"/>
      <c r="H78" s="54"/>
      <c r="I78" s="52">
        <f t="shared" si="2"/>
        <v>6.4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280">
        <v>105</v>
      </c>
      <c r="B79" s="61">
        <f>309+24</f>
        <v>333</v>
      </c>
      <c r="C79" s="61"/>
      <c r="D79" s="61"/>
      <c r="E79" s="54"/>
      <c r="F79" s="54"/>
      <c r="G79" s="54"/>
      <c r="H79" s="54"/>
      <c r="I79" s="52">
        <f t="shared" si="2"/>
        <v>6.2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280">
        <v>110</v>
      </c>
      <c r="B80" s="61">
        <f>315+23+24</f>
        <v>362</v>
      </c>
      <c r="C80" s="61">
        <v>10</v>
      </c>
      <c r="D80" s="61">
        <f>23+24</f>
        <v>47</v>
      </c>
      <c r="E80" s="54"/>
      <c r="F80" s="54"/>
      <c r="G80" s="54"/>
      <c r="H80" s="54"/>
      <c r="I80" s="52">
        <f t="shared" si="2"/>
        <v>5.8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280">
        <v>120</v>
      </c>
      <c r="B81" s="61">
        <f>324+20+21</f>
        <v>365</v>
      </c>
      <c r="C81" s="61">
        <v>11</v>
      </c>
      <c r="D81" s="61">
        <f>B81</f>
        <v>365</v>
      </c>
      <c r="E81" s="54"/>
      <c r="F81" s="54"/>
      <c r="G81" s="54"/>
      <c r="H81" s="54"/>
      <c r="I81" s="52">
        <f t="shared" si="2"/>
        <v>5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plane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61">
        <v>10</v>
      </c>
      <c r="B88" s="61">
        <v>11</v>
      </c>
      <c r="C88" s="61"/>
      <c r="D88" s="61"/>
      <c r="E88" s="54"/>
      <c r="F88" s="54"/>
      <c r="G88" s="54"/>
      <c r="H88" s="54"/>
      <c r="I88" s="56">
        <f>IFERROR(B88/A88,"")</f>
        <v>1.1000000000000001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61">
        <v>15</v>
      </c>
      <c r="B89" s="61">
        <v>65</v>
      </c>
      <c r="C89" s="61">
        <v>1</v>
      </c>
      <c r="D89" s="61">
        <v>32</v>
      </c>
      <c r="E89" s="54"/>
      <c r="F89" s="54"/>
      <c r="G89" s="54"/>
      <c r="H89" s="54">
        <v>1</v>
      </c>
      <c r="I89" s="56">
        <f t="shared" ref="I89:I107" si="3">IF(A89&lt;&gt;0,(B89-(B88-D88))/(A89-A88),"")</f>
        <v>10.8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61">
        <v>20</v>
      </c>
      <c r="B90" s="61">
        <v>102</v>
      </c>
      <c r="C90" s="61">
        <v>2</v>
      </c>
      <c r="D90" s="61">
        <v>35</v>
      </c>
      <c r="E90" s="54"/>
      <c r="F90" s="54"/>
      <c r="G90" s="54"/>
      <c r="H90" s="54">
        <v>1</v>
      </c>
      <c r="I90" s="56">
        <f t="shared" si="3"/>
        <v>13.8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61">
        <v>25</v>
      </c>
      <c r="B91" s="61">
        <v>141</v>
      </c>
      <c r="C91" s="61">
        <v>3</v>
      </c>
      <c r="D91" s="61">
        <v>35</v>
      </c>
      <c r="E91" s="54"/>
      <c r="F91" s="54">
        <v>0.2</v>
      </c>
      <c r="G91" s="54"/>
      <c r="H91" s="54">
        <v>0.8</v>
      </c>
      <c r="I91" s="56">
        <f t="shared" si="3"/>
        <v>14.8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61">
        <v>30</v>
      </c>
      <c r="B92" s="61">
        <v>177</v>
      </c>
      <c r="C92" s="61">
        <v>4</v>
      </c>
      <c r="D92" s="61">
        <v>35</v>
      </c>
      <c r="E92" s="54"/>
      <c r="F92" s="54">
        <v>0.2</v>
      </c>
      <c r="G92" s="54"/>
      <c r="H92" s="54">
        <v>0.8</v>
      </c>
      <c r="I92" s="56">
        <f t="shared" si="3"/>
        <v>14.2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61">
        <v>35</v>
      </c>
      <c r="B93" s="61">
        <v>206</v>
      </c>
      <c r="C93" s="61">
        <v>5</v>
      </c>
      <c r="D93" s="61">
        <v>35</v>
      </c>
      <c r="E93" s="54"/>
      <c r="F93" s="54"/>
      <c r="G93" s="54"/>
      <c r="H93" s="54"/>
      <c r="I93" s="56">
        <f t="shared" si="3"/>
        <v>12.8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1">
        <v>40</v>
      </c>
      <c r="B94" s="61">
        <v>228</v>
      </c>
      <c r="C94" s="61">
        <v>6</v>
      </c>
      <c r="D94" s="61">
        <v>35</v>
      </c>
      <c r="E94" s="54"/>
      <c r="F94" s="54"/>
      <c r="G94" s="54"/>
      <c r="H94" s="54"/>
      <c r="I94" s="56">
        <f t="shared" si="3"/>
        <v>11.4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1">
        <v>45</v>
      </c>
      <c r="B95" s="61">
        <v>242</v>
      </c>
      <c r="C95" s="61">
        <v>7</v>
      </c>
      <c r="D95" s="61">
        <v>24</v>
      </c>
      <c r="E95" s="54"/>
      <c r="F95" s="54"/>
      <c r="G95" s="54"/>
      <c r="H95" s="54"/>
      <c r="I95" s="56">
        <f t="shared" si="3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1">
        <v>50</v>
      </c>
      <c r="B96" s="61">
        <v>261</v>
      </c>
      <c r="C96" s="61">
        <v>8</v>
      </c>
      <c r="D96" s="61">
        <v>19</v>
      </c>
      <c r="E96" s="54"/>
      <c r="F96" s="54"/>
      <c r="G96" s="54"/>
      <c r="H96" s="54"/>
      <c r="I96" s="56">
        <f t="shared" si="3"/>
        <v>8.6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1">
        <v>55</v>
      </c>
      <c r="B97" s="61">
        <v>279</v>
      </c>
      <c r="C97" s="61">
        <v>9</v>
      </c>
      <c r="D97" s="61">
        <v>16</v>
      </c>
      <c r="E97" s="54"/>
      <c r="F97" s="54"/>
      <c r="G97" s="54"/>
      <c r="H97" s="54"/>
      <c r="I97" s="56">
        <f t="shared" si="3"/>
        <v>7.4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1">
        <v>60</v>
      </c>
      <c r="B98" s="61">
        <v>294</v>
      </c>
      <c r="C98" s="61">
        <v>10</v>
      </c>
      <c r="D98" s="61">
        <v>14</v>
      </c>
      <c r="E98" s="54"/>
      <c r="F98" s="54"/>
      <c r="G98" s="54"/>
      <c r="H98" s="54"/>
      <c r="I98" s="56">
        <f t="shared" si="3"/>
        <v>6.2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1">
        <v>65</v>
      </c>
      <c r="B99" s="61">
        <v>306</v>
      </c>
      <c r="C99" s="61">
        <v>11</v>
      </c>
      <c r="D99" s="61">
        <v>13</v>
      </c>
      <c r="E99" s="54"/>
      <c r="F99" s="54"/>
      <c r="G99" s="54"/>
      <c r="H99" s="54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1">
        <v>70</v>
      </c>
      <c r="B100" s="61">
        <v>315</v>
      </c>
      <c r="C100" s="61">
        <v>12</v>
      </c>
      <c r="D100" s="61">
        <v>13</v>
      </c>
      <c r="E100" s="54"/>
      <c r="F100" s="54"/>
      <c r="G100" s="54"/>
      <c r="H100" s="54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1">
        <v>75</v>
      </c>
      <c r="B101" s="61">
        <v>324</v>
      </c>
      <c r="C101" s="61">
        <v>13</v>
      </c>
      <c r="D101" s="61">
        <v>12</v>
      </c>
      <c r="E101" s="54"/>
      <c r="F101" s="54"/>
      <c r="G101" s="54"/>
      <c r="H101" s="54"/>
      <c r="I101" s="56">
        <f t="shared" si="3"/>
        <v>4.4000000000000004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1">
        <v>80</v>
      </c>
      <c r="B102" s="61">
        <v>330</v>
      </c>
      <c r="C102" s="61">
        <v>14</v>
      </c>
      <c r="D102" s="61">
        <f>B102</f>
        <v>330</v>
      </c>
      <c r="E102" s="54"/>
      <c r="F102" s="54"/>
      <c r="G102" s="54"/>
      <c r="H102" s="54"/>
      <c r="I102" s="56">
        <f t="shared" si="3"/>
        <v>3.6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80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80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80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80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80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Tilleul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1">
        <f>(110+12)/1.56</f>
        <v>78.205128205128204</v>
      </c>
      <c r="C114" s="61"/>
      <c r="D114" s="61"/>
      <c r="E114" s="54"/>
      <c r="F114" s="54"/>
      <c r="G114" s="54"/>
      <c r="H114" s="54"/>
      <c r="I114" s="56">
        <f>IFERROR(B114/A114,"")</f>
        <v>5.2136752136752138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1">
        <f>(166+12+22)/1.56</f>
        <v>128.2051282051282</v>
      </c>
      <c r="C115" s="61">
        <v>1</v>
      </c>
      <c r="D115" s="61">
        <f>(27+22+12)/1.56</f>
        <v>39.102564102564102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10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1">
        <f>(215)/1.56</f>
        <v>137.82051282051282</v>
      </c>
      <c r="C116" s="61"/>
      <c r="D116" s="61"/>
      <c r="E116" s="54"/>
      <c r="F116" s="54"/>
      <c r="G116" s="54"/>
      <c r="H116" s="54"/>
      <c r="I116" s="56">
        <f t="shared" si="4"/>
        <v>9.7435897435897427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1">
        <f>(257+30)/1.56</f>
        <v>183.97435897435898</v>
      </c>
      <c r="C117" s="61">
        <v>2</v>
      </c>
      <c r="D117" s="61">
        <f>(31+30)/1.56</f>
        <v>39.102564102564102</v>
      </c>
      <c r="E117" s="54"/>
      <c r="F117" s="54">
        <v>0.2</v>
      </c>
      <c r="G117" s="54"/>
      <c r="H117" s="54">
        <v>0.8</v>
      </c>
      <c r="I117" s="56">
        <f t="shared" si="4"/>
        <v>9.2307692307692317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1">
        <f>(294)/1.56</f>
        <v>188.46153846153845</v>
      </c>
      <c r="C118" s="61"/>
      <c r="D118" s="61"/>
      <c r="E118" s="54"/>
      <c r="F118" s="54"/>
      <c r="G118" s="54"/>
      <c r="H118" s="54"/>
      <c r="I118" s="56">
        <f t="shared" si="4"/>
        <v>8.717948717948719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1">
        <f>(325+31)/1.56</f>
        <v>228.2051282051282</v>
      </c>
      <c r="C119" s="61">
        <v>3</v>
      </c>
      <c r="D119" s="61">
        <f>(31+31)/1.56</f>
        <v>39.743589743589745</v>
      </c>
      <c r="E119" s="54"/>
      <c r="F119" s="54"/>
      <c r="G119" s="54"/>
      <c r="H119" s="54"/>
      <c r="I119" s="56">
        <f t="shared" si="4"/>
        <v>7.9487179487179507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45</v>
      </c>
      <c r="B120" s="61">
        <f>(353)/1.56</f>
        <v>226.28205128205127</v>
      </c>
      <c r="C120" s="61"/>
      <c r="D120" s="61"/>
      <c r="E120" s="54"/>
      <c r="F120" s="54"/>
      <c r="G120" s="54"/>
      <c r="H120" s="54"/>
      <c r="I120" s="56">
        <f t="shared" si="4"/>
        <v>7.5641025641025639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50</v>
      </c>
      <c r="B121" s="61">
        <f>(378+30)/1.56</f>
        <v>261.53846153846155</v>
      </c>
      <c r="C121" s="61">
        <v>4</v>
      </c>
      <c r="D121" s="61">
        <f>(27+30)/1.56</f>
        <v>36.53846153846154</v>
      </c>
      <c r="E121" s="54"/>
      <c r="F121" s="54"/>
      <c r="G121" s="54"/>
      <c r="H121" s="54"/>
      <c r="I121" s="56">
        <f t="shared" si="4"/>
        <v>7.0512820512820555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55</v>
      </c>
      <c r="B122" s="61">
        <f>(403)/1.56</f>
        <v>258.33333333333331</v>
      </c>
      <c r="C122" s="61"/>
      <c r="D122" s="61"/>
      <c r="E122" s="54"/>
      <c r="F122" s="54"/>
      <c r="G122" s="54"/>
      <c r="H122" s="54"/>
      <c r="I122" s="56">
        <f t="shared" si="4"/>
        <v>6.6666666666666625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60</v>
      </c>
      <c r="B123" s="61">
        <f>(423+28)/1.56</f>
        <v>289.10256410256409</v>
      </c>
      <c r="C123" s="61">
        <v>5</v>
      </c>
      <c r="D123" s="61">
        <f>(27+28)/1.56</f>
        <v>35.256410256410255</v>
      </c>
      <c r="E123" s="54"/>
      <c r="F123" s="54"/>
      <c r="G123" s="54"/>
      <c r="H123" s="54"/>
      <c r="I123" s="56">
        <f t="shared" si="4"/>
        <v>6.1538461538461551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65</v>
      </c>
      <c r="B124" s="61">
        <f>(441)/1.56</f>
        <v>282.69230769230768</v>
      </c>
      <c r="C124" s="61"/>
      <c r="D124" s="61"/>
      <c r="E124" s="54"/>
      <c r="F124" s="54"/>
      <c r="G124" s="54"/>
      <c r="H124" s="54"/>
      <c r="I124" s="56">
        <f t="shared" si="4"/>
        <v>5.7692307692307683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70</v>
      </c>
      <c r="B125" s="61">
        <f>(457+25)/1.56</f>
        <v>308.97435897435895</v>
      </c>
      <c r="C125" s="61">
        <v>6</v>
      </c>
      <c r="D125" s="61">
        <f>(24+25)/1.56</f>
        <v>31.410256410256409</v>
      </c>
      <c r="E125" s="54"/>
      <c r="F125" s="54"/>
      <c r="G125" s="54"/>
      <c r="H125" s="54"/>
      <c r="I125" s="56">
        <f t="shared" si="4"/>
        <v>5.2564102564102537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75</v>
      </c>
      <c r="B126" s="61">
        <f>(473)/1.56</f>
        <v>303.20512820512818</v>
      </c>
      <c r="C126" s="61"/>
      <c r="D126" s="61"/>
      <c r="E126" s="54"/>
      <c r="F126" s="54"/>
      <c r="G126" s="54"/>
      <c r="H126" s="54"/>
      <c r="I126" s="56">
        <f t="shared" si="4"/>
        <v>5.1282051282051269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80</v>
      </c>
      <c r="B127" s="61">
        <f>(487+23)/1.56</f>
        <v>326.92307692307691</v>
      </c>
      <c r="C127" s="61">
        <v>7</v>
      </c>
      <c r="D127" s="61">
        <f>(22+23)/1.56</f>
        <v>28.846153846153847</v>
      </c>
      <c r="E127" s="54"/>
      <c r="F127" s="54"/>
      <c r="G127" s="54"/>
      <c r="H127" s="54"/>
      <c r="I127" s="56">
        <f t="shared" si="4"/>
        <v>4.7435897435897463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85</v>
      </c>
      <c r="B128" s="61">
        <f>(500)/1.56</f>
        <v>320.5128205128205</v>
      </c>
      <c r="C128" s="61"/>
      <c r="D128" s="61"/>
      <c r="E128" s="54"/>
      <c r="F128" s="54"/>
      <c r="G128" s="54"/>
      <c r="H128" s="54"/>
      <c r="I128" s="56">
        <f t="shared" si="4"/>
        <v>4.4871794871794917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90</v>
      </c>
      <c r="B129" s="61">
        <f>(512+22)/1.56</f>
        <v>342.30769230769232</v>
      </c>
      <c r="C129" s="61">
        <v>8</v>
      </c>
      <c r="D129" s="61">
        <f>(21+22)/1.56</f>
        <v>27.564102564102562</v>
      </c>
      <c r="E129" s="54"/>
      <c r="F129" s="54"/>
      <c r="G129" s="54"/>
      <c r="H129" s="54"/>
      <c r="I129" s="56">
        <f t="shared" si="4"/>
        <v>4.3589743589743648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95</v>
      </c>
      <c r="B130" s="61">
        <f>(523)/1.56</f>
        <v>335.25641025641022</v>
      </c>
      <c r="C130" s="61"/>
      <c r="D130" s="61"/>
      <c r="E130" s="54"/>
      <c r="F130" s="54"/>
      <c r="G130" s="54"/>
      <c r="H130" s="54"/>
      <c r="I130" s="56">
        <f t="shared" si="4"/>
        <v>4.102564102564088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100</v>
      </c>
      <c r="B131" s="61">
        <f>(534+20)/1.56</f>
        <v>355.12820512820514</v>
      </c>
      <c r="C131" s="61">
        <v>9</v>
      </c>
      <c r="D131" s="61">
        <f>(19+20)/1.56</f>
        <v>25</v>
      </c>
      <c r="E131" s="54"/>
      <c r="F131" s="54"/>
      <c r="G131" s="54"/>
      <c r="H131" s="54"/>
      <c r="I131" s="56">
        <f t="shared" si="4"/>
        <v>3.9743589743589838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105</v>
      </c>
      <c r="B132" s="61">
        <f>(543)/1.56</f>
        <v>348.07692307692304</v>
      </c>
      <c r="C132" s="53"/>
      <c r="D132" s="61"/>
      <c r="E132" s="54"/>
      <c r="F132" s="54"/>
      <c r="G132" s="54"/>
      <c r="H132" s="54"/>
      <c r="I132" s="56">
        <f t="shared" si="4"/>
        <v>3.5897435897435797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110</v>
      </c>
      <c r="B133" s="61">
        <f>(553+19)/1.56</f>
        <v>366.66666666666663</v>
      </c>
      <c r="C133" s="53">
        <v>10</v>
      </c>
      <c r="D133" s="61">
        <f>B133</f>
        <v>366.66666666666663</v>
      </c>
      <c r="E133" s="54"/>
      <c r="F133" s="54"/>
      <c r="G133" s="54"/>
      <c r="H133" s="54"/>
      <c r="I133" s="56">
        <f t="shared" si="4"/>
        <v>3.7179487179487181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Cormier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f>53+18</f>
        <v>71</v>
      </c>
      <c r="C140" s="61">
        <v>1</v>
      </c>
      <c r="D140" s="61">
        <f>18</f>
        <v>18</v>
      </c>
      <c r="E140" s="54"/>
      <c r="F140" s="54"/>
      <c r="G140" s="54"/>
      <c r="H140" s="91">
        <v>1</v>
      </c>
      <c r="I140" s="59">
        <f>IFERROR(B140/A140,"")</f>
        <v>3.55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f>73+18</f>
        <v>91</v>
      </c>
      <c r="C141" s="61"/>
      <c r="D141" s="61"/>
      <c r="E141" s="54"/>
      <c r="F141" s="54"/>
      <c r="G141" s="54"/>
      <c r="H141" s="91"/>
      <c r="I141" s="59">
        <f t="shared" ref="I141:I159" si="5">IF(A141&lt;&gt;0,(B141-(B140-D140))/(A141-A140),"")</f>
        <v>7.6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f>93+21+18</f>
        <v>132</v>
      </c>
      <c r="C142" s="61">
        <v>2</v>
      </c>
      <c r="D142" s="61">
        <f>21+18</f>
        <v>39</v>
      </c>
      <c r="E142" s="91"/>
      <c r="F142" s="91">
        <v>0.2</v>
      </c>
      <c r="G142" s="91"/>
      <c r="H142" s="91">
        <v>0.8</v>
      </c>
      <c r="I142" s="59">
        <f t="shared" si="5"/>
        <v>8.1999999999999993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f>113+23</f>
        <v>136</v>
      </c>
      <c r="C143" s="61"/>
      <c r="D143" s="61"/>
      <c r="E143" s="91"/>
      <c r="F143" s="91"/>
      <c r="G143" s="91"/>
      <c r="H143" s="91"/>
      <c r="I143" s="59">
        <f t="shared" si="5"/>
        <v>8.6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f>132+25+23</f>
        <v>180</v>
      </c>
      <c r="C144" s="61">
        <v>3</v>
      </c>
      <c r="D144" s="61">
        <f>25+23</f>
        <v>48</v>
      </c>
      <c r="E144" s="91"/>
      <c r="F144" s="91"/>
      <c r="G144" s="91"/>
      <c r="H144" s="91"/>
      <c r="I144" s="59">
        <f t="shared" si="5"/>
        <v>8.8000000000000007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f>150+26</f>
        <v>176</v>
      </c>
      <c r="C145" s="61"/>
      <c r="D145" s="61"/>
      <c r="E145" s="91"/>
      <c r="F145" s="91"/>
      <c r="G145" s="91"/>
      <c r="H145" s="91"/>
      <c r="I145" s="59">
        <f t="shared" si="5"/>
        <v>8.8000000000000007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f>167+27+26</f>
        <v>220</v>
      </c>
      <c r="C146" s="61">
        <v>4</v>
      </c>
      <c r="D146" s="61">
        <f>27+26</f>
        <v>53</v>
      </c>
      <c r="E146" s="91"/>
      <c r="F146" s="91"/>
      <c r="G146" s="91"/>
      <c r="H146" s="91"/>
      <c r="I146" s="59">
        <f t="shared" si="5"/>
        <v>8.8000000000000007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61">
        <v>55</v>
      </c>
      <c r="B147" s="61">
        <f>183+27</f>
        <v>210</v>
      </c>
      <c r="C147" s="61"/>
      <c r="D147" s="61"/>
      <c r="E147" s="91"/>
      <c r="F147" s="91"/>
      <c r="G147" s="91"/>
      <c r="H147" s="91"/>
      <c r="I147" s="59">
        <f>IF(A147&lt;&gt;0,(B147-(B146-D146))/(A147-A146),"")</f>
        <v>8.6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61">
        <v>60</v>
      </c>
      <c r="B148" s="61">
        <f>197+27+27</f>
        <v>251</v>
      </c>
      <c r="C148" s="61">
        <v>5</v>
      </c>
      <c r="D148" s="61">
        <f>27+27</f>
        <v>54</v>
      </c>
      <c r="E148" s="91"/>
      <c r="F148" s="91"/>
      <c r="G148" s="91"/>
      <c r="H148" s="91"/>
      <c r="I148" s="59">
        <f t="shared" si="5"/>
        <v>8.1999999999999993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61">
        <v>65</v>
      </c>
      <c r="B149" s="61">
        <f>211+27</f>
        <v>238</v>
      </c>
      <c r="C149" s="61"/>
      <c r="D149" s="61"/>
      <c r="E149" s="91"/>
      <c r="F149" s="91"/>
      <c r="G149" s="91"/>
      <c r="H149" s="91"/>
      <c r="I149" s="59">
        <f t="shared" si="5"/>
        <v>8.1999999999999993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61">
        <v>70</v>
      </c>
      <c r="B150" s="61">
        <f>223+26+27</f>
        <v>276</v>
      </c>
      <c r="C150" s="61">
        <v>6</v>
      </c>
      <c r="D150" s="61">
        <f>26+27</f>
        <v>53</v>
      </c>
      <c r="E150" s="91"/>
      <c r="F150" s="91"/>
      <c r="G150" s="91"/>
      <c r="H150" s="91"/>
      <c r="I150" s="59">
        <f t="shared" si="5"/>
        <v>7.6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61">
        <v>75</v>
      </c>
      <c r="B151" s="61">
        <f>235+26</f>
        <v>261</v>
      </c>
      <c r="C151" s="61"/>
      <c r="D151" s="61"/>
      <c r="E151" s="91"/>
      <c r="F151" s="91"/>
      <c r="G151" s="91"/>
      <c r="H151" s="91"/>
      <c r="I151" s="59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61">
        <v>80</v>
      </c>
      <c r="B152" s="61">
        <f>245+25+26</f>
        <v>296</v>
      </c>
      <c r="C152" s="61">
        <v>7</v>
      </c>
      <c r="D152" s="61">
        <f>25+26</f>
        <v>51</v>
      </c>
      <c r="E152" s="66"/>
      <c r="F152" s="66"/>
      <c r="G152" s="66"/>
      <c r="H152" s="66"/>
      <c r="I152" s="59">
        <f t="shared" si="5"/>
        <v>7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61">
        <v>85</v>
      </c>
      <c r="B153" s="61">
        <f>255+24</f>
        <v>279</v>
      </c>
      <c r="C153" s="61"/>
      <c r="D153" s="61"/>
      <c r="E153" s="66"/>
      <c r="F153" s="66"/>
      <c r="G153" s="66"/>
      <c r="H153" s="66"/>
      <c r="I153" s="59">
        <f t="shared" si="5"/>
        <v>6.8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61">
        <v>90</v>
      </c>
      <c r="B154" s="61">
        <f>263+23+24</f>
        <v>310</v>
      </c>
      <c r="C154" s="61">
        <v>8</v>
      </c>
      <c r="D154" s="61">
        <f>23+24</f>
        <v>47</v>
      </c>
      <c r="E154" s="57"/>
      <c r="F154" s="57"/>
      <c r="G154" s="57"/>
      <c r="H154" s="57"/>
      <c r="I154" s="59">
        <f t="shared" si="5"/>
        <v>6.2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280">
        <v>95</v>
      </c>
      <c r="B155" s="61">
        <f>271+22</f>
        <v>293</v>
      </c>
      <c r="C155" s="61"/>
      <c r="D155" s="61"/>
      <c r="E155" s="54"/>
      <c r="F155" s="54"/>
      <c r="G155" s="54"/>
      <c r="H155" s="54"/>
      <c r="I155" s="59">
        <f t="shared" si="5"/>
        <v>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280">
        <v>100</v>
      </c>
      <c r="B156" s="61">
        <f>278+21+22</f>
        <v>321</v>
      </c>
      <c r="C156" s="61">
        <v>9</v>
      </c>
      <c r="D156" s="61">
        <f>21+22</f>
        <v>43</v>
      </c>
      <c r="E156" s="54"/>
      <c r="F156" s="54"/>
      <c r="G156" s="54"/>
      <c r="H156" s="54"/>
      <c r="I156" s="59">
        <f t="shared" si="5"/>
        <v>5.6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280">
        <v>105</v>
      </c>
      <c r="B157" s="61">
        <f>285+20</f>
        <v>305</v>
      </c>
      <c r="C157" s="61"/>
      <c r="D157" s="61"/>
      <c r="E157" s="54"/>
      <c r="F157" s="54"/>
      <c r="G157" s="54"/>
      <c r="H157" s="54"/>
      <c r="I157" s="59">
        <f t="shared" si="5"/>
        <v>5.4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280">
        <v>110</v>
      </c>
      <c r="B158" s="61">
        <f>291+20+20</f>
        <v>331</v>
      </c>
      <c r="C158" s="61">
        <v>10</v>
      </c>
      <c r="D158" s="61">
        <f>20+20</f>
        <v>40</v>
      </c>
      <c r="E158" s="54"/>
      <c r="F158" s="54"/>
      <c r="G158" s="54"/>
      <c r="H158" s="54"/>
      <c r="I158" s="59">
        <f t="shared" si="5"/>
        <v>5.2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280">
        <v>120</v>
      </c>
      <c r="B159" s="61">
        <f>300+18+19</f>
        <v>337</v>
      </c>
      <c r="C159" s="61">
        <v>11</v>
      </c>
      <c r="D159" s="61">
        <f>B159</f>
        <v>337</v>
      </c>
      <c r="E159" s="54"/>
      <c r="F159" s="54"/>
      <c r="G159" s="54"/>
      <c r="H159" s="54"/>
      <c r="I159" s="59">
        <f t="shared" si="5"/>
        <v>4.5999999999999996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1"/>
      <c r="C166" s="53"/>
      <c r="D166" s="61"/>
      <c r="E166" s="64"/>
      <c r="F166" s="64"/>
      <c r="G166" s="64"/>
      <c r="H166" s="6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1"/>
      <c r="C167" s="53"/>
      <c r="D167" s="61"/>
      <c r="E167" s="64"/>
      <c r="F167" s="64"/>
      <c r="G167" s="64"/>
      <c r="H167" s="6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1"/>
      <c r="C168" s="53"/>
      <c r="D168" s="61"/>
      <c r="E168" s="64"/>
      <c r="F168" s="64"/>
      <c r="G168" s="64"/>
      <c r="H168" s="6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8"/>
      <c r="B169" s="61"/>
      <c r="C169" s="58"/>
      <c r="D169" s="61"/>
      <c r="E169" s="64"/>
      <c r="F169" s="64"/>
      <c r="G169" s="64"/>
      <c r="H169" s="6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8"/>
      <c r="B170" s="61"/>
      <c r="C170" s="58"/>
      <c r="D170" s="61"/>
      <c r="E170" s="64"/>
      <c r="F170" s="64"/>
      <c r="G170" s="64"/>
      <c r="H170" s="6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8"/>
      <c r="B171" s="61"/>
      <c r="C171" s="58"/>
      <c r="D171" s="61"/>
      <c r="E171" s="64"/>
      <c r="F171" s="64"/>
      <c r="G171" s="64"/>
      <c r="H171" s="6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8"/>
      <c r="B172" s="61"/>
      <c r="C172" s="58"/>
      <c r="D172" s="61"/>
      <c r="E172" s="64"/>
      <c r="F172" s="64"/>
      <c r="G172" s="64"/>
      <c r="H172" s="6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8"/>
      <c r="B173" s="61"/>
      <c r="C173" s="58"/>
      <c r="D173" s="61"/>
      <c r="E173" s="64"/>
      <c r="F173" s="64"/>
      <c r="G173" s="64"/>
      <c r="H173" s="6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8"/>
      <c r="B174" s="61"/>
      <c r="C174" s="58"/>
      <c r="D174" s="61"/>
      <c r="E174" s="64"/>
      <c r="F174" s="64"/>
      <c r="G174" s="64"/>
      <c r="H174" s="6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61"/>
      <c r="C175" s="53"/>
      <c r="D175" s="61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61"/>
      <c r="C176" s="53"/>
      <c r="D176" s="61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61"/>
      <c r="C177" s="53"/>
      <c r="D177" s="61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61"/>
      <c r="C178" s="53"/>
      <c r="D178" s="61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61"/>
      <c r="C179" s="53"/>
      <c r="D179" s="61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61"/>
      <c r="C180" s="53"/>
      <c r="D180" s="61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61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1"/>
      <c r="C192" s="53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1"/>
      <c r="C193" s="53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289"/>
      <c r="B194" s="61"/>
      <c r="C194" s="53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1"/>
      <c r="C195" s="53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1"/>
      <c r="C196" s="53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289"/>
      <c r="B197" s="61"/>
      <c r="C197" s="53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1"/>
      <c r="C198" s="53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61"/>
      <c r="C199" s="53"/>
      <c r="D199" s="61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289"/>
      <c r="B200" s="61"/>
      <c r="C200" s="53"/>
      <c r="D200" s="61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61"/>
      <c r="C201" s="53"/>
      <c r="D201" s="61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61"/>
      <c r="C202" s="53"/>
      <c r="D202" s="61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289"/>
      <c r="B203" s="61"/>
      <c r="C203" s="53"/>
      <c r="D203" s="61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61"/>
      <c r="C204" s="53"/>
      <c r="D204" s="61"/>
      <c r="E204" s="57"/>
      <c r="F204" s="57"/>
      <c r="G204" s="57"/>
      <c r="H204" s="57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61"/>
      <c r="C205" s="61"/>
      <c r="D205" s="61"/>
      <c r="E205" s="66"/>
      <c r="F205" s="66"/>
      <c r="G205" s="66"/>
      <c r="H205" s="66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61"/>
      <c r="D206" s="53"/>
      <c r="E206" s="57"/>
      <c r="F206" s="57"/>
      <c r="G206" s="57"/>
      <c r="H206" s="57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61"/>
      <c r="D218" s="61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61"/>
      <c r="D219" s="61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61"/>
      <c r="D220" s="61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/>
      <c r="B221" s="61"/>
      <c r="C221" s="61"/>
      <c r="D221" s="61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/>
      <c r="B222" s="61"/>
      <c r="C222" s="61"/>
      <c r="D222" s="61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/>
      <c r="B223" s="61"/>
      <c r="C223" s="61"/>
      <c r="D223" s="61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/>
      <c r="B224" s="61"/>
      <c r="C224" s="61"/>
      <c r="D224" s="61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280"/>
      <c r="B225" s="61"/>
      <c r="C225" s="61"/>
      <c r="D225" s="61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280"/>
      <c r="B226" s="61"/>
      <c r="C226" s="61"/>
      <c r="D226" s="61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280"/>
      <c r="B227" s="61"/>
      <c r="C227" s="61"/>
      <c r="D227" s="61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280"/>
      <c r="B228" s="61"/>
      <c r="C228" s="61"/>
      <c r="D228" s="61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280"/>
      <c r="B229" s="61"/>
      <c r="C229" s="61"/>
      <c r="D229" s="61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280"/>
      <c r="B230" s="61"/>
      <c r="C230" s="61"/>
      <c r="D230" s="61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280"/>
      <c r="B231" s="61"/>
      <c r="C231" s="61"/>
      <c r="D231" s="61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280"/>
      <c r="B232" s="61"/>
      <c r="C232" s="53"/>
      <c r="D232" s="61"/>
      <c r="E232" s="54"/>
      <c r="F232" s="54"/>
      <c r="G232" s="54"/>
      <c r="H232" s="54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280"/>
      <c r="B233" s="61"/>
      <c r="C233" s="53"/>
      <c r="D233" s="61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280"/>
      <c r="B234" s="61"/>
      <c r="C234" s="53"/>
      <c r="D234" s="61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280"/>
      <c r="B235" s="53"/>
      <c r="C235" s="53"/>
      <c r="D235" s="53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280"/>
      <c r="B236" s="53"/>
      <c r="C236" s="53"/>
      <c r="D236" s="53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280"/>
      <c r="B237" s="53"/>
      <c r="C237" s="53"/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5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54"/>
      <c r="F245" s="54"/>
      <c r="G245" s="54"/>
      <c r="H245" s="5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54"/>
      <c r="F246" s="54"/>
      <c r="G246" s="54"/>
      <c r="H246" s="5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54"/>
      <c r="F247" s="54"/>
      <c r="G247" s="54"/>
      <c r="H247" s="5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54"/>
      <c r="F248" s="54"/>
      <c r="G248" s="54"/>
      <c r="H248" s="5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54"/>
      <c r="F249" s="54"/>
      <c r="G249" s="54"/>
      <c r="H249" s="5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54"/>
      <c r="F250" s="54"/>
      <c r="G250" s="54"/>
      <c r="H250" s="5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/>
      <c r="B251" s="61"/>
      <c r="C251" s="53"/>
      <c r="D251" s="61"/>
      <c r="E251" s="54"/>
      <c r="F251" s="54"/>
      <c r="G251" s="54"/>
      <c r="H251" s="5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/>
      <c r="B252" s="61"/>
      <c r="C252" s="53"/>
      <c r="D252" s="61"/>
      <c r="E252" s="54"/>
      <c r="F252" s="54"/>
      <c r="G252" s="54"/>
      <c r="H252" s="5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3"/>
      <c r="B253" s="61"/>
      <c r="C253" s="58"/>
      <c r="D253" s="61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3"/>
      <c r="B254" s="61"/>
      <c r="C254" s="58"/>
      <c r="D254" s="61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61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61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61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61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61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61"/>
      <c r="D275" s="61"/>
      <c r="E275" s="54"/>
      <c r="F275" s="54"/>
      <c r="G275" s="54"/>
      <c r="H275" s="5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61"/>
      <c r="D276" s="61"/>
      <c r="E276" s="54"/>
      <c r="F276" s="54"/>
      <c r="G276" s="54"/>
      <c r="H276" s="5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280"/>
      <c r="B277" s="61"/>
      <c r="C277" s="61"/>
      <c r="D277" s="61"/>
      <c r="E277" s="54"/>
      <c r="F277" s="54"/>
      <c r="G277" s="54"/>
      <c r="H277" s="5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280"/>
      <c r="B278" s="61"/>
      <c r="C278" s="61"/>
      <c r="D278" s="61"/>
      <c r="E278" s="54"/>
      <c r="F278" s="54"/>
      <c r="G278" s="54"/>
      <c r="H278" s="5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280"/>
      <c r="B279" s="61"/>
      <c r="C279" s="61"/>
      <c r="D279" s="61"/>
      <c r="E279" s="54"/>
      <c r="F279" s="54"/>
      <c r="G279" s="54"/>
      <c r="H279" s="5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280"/>
      <c r="B280" s="61"/>
      <c r="C280" s="61"/>
      <c r="D280" s="61"/>
      <c r="E280" s="54"/>
      <c r="F280" s="54"/>
      <c r="G280" s="54"/>
      <c r="H280" s="5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280"/>
      <c r="B281" s="61"/>
      <c r="C281" s="61"/>
      <c r="D281" s="61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280"/>
      <c r="B282" s="61"/>
      <c r="C282" s="61"/>
      <c r="D282" s="61"/>
      <c r="E282" s="54"/>
      <c r="F282" s="54"/>
      <c r="G282" s="54"/>
      <c r="H282" s="54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280"/>
      <c r="B283" s="61"/>
      <c r="C283" s="61"/>
      <c r="D283" s="61"/>
      <c r="E283" s="54"/>
      <c r="F283" s="54"/>
      <c r="G283" s="54"/>
      <c r="H283" s="54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280"/>
      <c r="B284" s="61"/>
      <c r="C284" s="53"/>
      <c r="D284" s="61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280"/>
      <c r="B285" s="61"/>
      <c r="C285" s="53"/>
      <c r="D285" s="61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280"/>
      <c r="B286" s="61"/>
      <c r="C286" s="53"/>
      <c r="D286" s="61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280"/>
      <c r="B287" s="61"/>
      <c r="C287" s="53"/>
      <c r="D287" s="61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280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280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2"/>
      <c r="E7" s="108"/>
      <c r="F7" s="29" t="s">
        <v>295</v>
      </c>
      <c r="G7" s="107" t="s">
        <v>215</v>
      </c>
      <c r="H7" s="233"/>
      <c r="I7" s="233"/>
      <c r="J7" s="233"/>
      <c r="K7" s="233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3"/>
      <c r="B13" s="114"/>
      <c r="C13" s="105" t="s">
        <v>273</v>
      </c>
      <c r="D13" s="233"/>
      <c r="E13" s="106"/>
      <c r="F13" s="114"/>
      <c r="G13" s="105" t="s">
        <v>301</v>
      </c>
      <c r="H13" s="233"/>
      <c r="I13" s="233"/>
      <c r="J13" s="233"/>
      <c r="K13" s="233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3"/>
      <c r="B14" s="114"/>
      <c r="C14" s="105" t="s">
        <v>309</v>
      </c>
      <c r="D14" s="233"/>
      <c r="E14" s="106"/>
      <c r="F14" s="114"/>
      <c r="G14" s="105" t="s">
        <v>294</v>
      </c>
      <c r="H14" s="233"/>
      <c r="I14" s="233"/>
      <c r="J14" s="233"/>
      <c r="K14" s="233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sessile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Chêne pubescent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Erable plane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Tilleul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Cormier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/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/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319.72731970820928</v>
      </c>
      <c r="T3" s="60">
        <f>IF('Données projet'!E9&gt;30,$R$33-$H$33,LOOKUP('Données projet'!$E$9,$A$3:$A$203,R3:R203)-LOOKUP('Données projet'!$E$9,$A$3:$A$203,$H$3:$H$203))</f>
        <v>279.93992813630513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505.64100207870439</v>
      </c>
      <c r="AO3" s="60">
        <f>IF('Données projet'!E10&gt;30,$AM$33-$H$33,LOOKUP('Données projet'!$E$10,$A$3:$A$203,AM3:AM203)-LOOKUP('Données projet'!$E$10,$A$3:$A$203,$H$3:$H$203))</f>
        <v>371.76229669709249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353.26636241468884</v>
      </c>
      <c r="BJ3" s="60">
        <f>IF('Données projet'!E11&gt;30,$BH$33-$H$33,LOOKUP('Données projet'!$E$11,$A$3:$A$203,BH3:BH203)-LOOKUP('Données projet'!$E$11,$A$3:$A$203,$H$3:$H$203))</f>
        <v>345.4750813433123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362.1372269575329</v>
      </c>
      <c r="CE3" s="60">
        <f>IF('Données projet'!E12&gt;30,$CC$33-$H$33,LOOKUP('Données projet'!$E$12,$A$3:$A$203,CC3:CC203)-LOOKUP('Données projet'!$E$12,$A$3:$A$203,$H$3:$H$203))</f>
        <v>308.1559670593121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488.44916315274139</v>
      </c>
      <c r="CZ3" s="60">
        <f>IF('Données projet'!E13&gt;30,$CX$33-$H$33,LOOKUP('Données projet'!$E$13,$A$3:$A$203,CX3:CX203)-LOOKUP('Données projet'!$E$13,$A$3:$A$203,$H$3:$H$203))</f>
        <v>348.17941150148209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4.0628205128205126</v>
      </c>
      <c r="N4" s="14">
        <f>IF('Données projet'!$A$36&gt;35,N3+M4-V3,IF(A4&lt;'Données projet'!$A$36,$K$205^A4,IF(A4='Données projet'!$A$36,'Données projet'!$B$36,N3+M4-V3)))</f>
        <v>1.1736311550444201</v>
      </c>
      <c r="O4" s="14">
        <f>N4*VLOOKUP('Données projet'!$B$9,Paramètres!$A$1:$I$89,3,0)*VLOOKUP('Données projet'!$B$9,Paramètres!$A$1:$I$89,5,0)</f>
        <v>1.0619014690841913</v>
      </c>
      <c r="P4" s="14">
        <f>EXP(-1.0587+0.8836*LN(O4)+0.284)</f>
        <v>0.48595950732890802</v>
      </c>
      <c r="Q4" s="22">
        <f t="shared" ref="Q4:Q34" si="2">(O4+P4)*0.475*44/12</f>
        <v>2.6958578672528142</v>
      </c>
      <c r="R4" s="60">
        <f t="shared" si="0"/>
        <v>260.58474675614167</v>
      </c>
      <c r="S4" s="60">
        <f ca="1">AVERAGE(OFFSET($R$3,0,0,'Données projet'!$E$9+1,1))-AVERAGE(OFFSET($H$3,0,0,'Données projet'!$E$9+1,1))</f>
        <v>319.72731970820928</v>
      </c>
      <c r="T4" s="60">
        <f>$T$3</f>
        <v>279.93992813630513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4.1500000000000004</v>
      </c>
      <c r="AI4" s="14">
        <f>IF('Données projet'!$A$62&gt;35,AI3+AH4-AQ3,IF(A4&lt;'Données projet'!$A$62,$AF$205^A4,IF(A4='Données projet'!$A$62,'Données projet'!$B$62,AI3+AH4-AQ3)))</f>
        <v>1.2472511258067986</v>
      </c>
      <c r="AJ4" s="14">
        <f>AI4*VLOOKUP('Données projet'!$B$10,Paramètres!$A$1:$I$89,3,0)*VLOOKUP('Données projet'!$B$10,Paramètres!$A$1:$I$89,5,0)</f>
        <v>1.2647126415680938</v>
      </c>
      <c r="AK4" s="14">
        <f>EXP(-1.0587+0.8836*LN(AJ4)+0.284)</f>
        <v>0.56711622440841714</v>
      </c>
      <c r="AL4" s="22">
        <f t="shared" ref="AL4:AL67" si="4">(AJ4+AK4)*0.475*44/12</f>
        <v>3.1904352749090896</v>
      </c>
      <c r="AM4" s="60">
        <f t="shared" ref="AM4:AM67" si="5">AL4+(AD4+AE4)*44/12</f>
        <v>261.07932416379793</v>
      </c>
      <c r="AN4" s="60">
        <f ca="1">AVERAGE(OFFSET($AM$3,0,0,'Données projet'!$E$10+1,1))-AVERAGE(OFFSET($H$3,0,0,'Données projet'!$E$10+1,1))</f>
        <v>505.64100207870439</v>
      </c>
      <c r="AO4" s="60">
        <f>$AO$3</f>
        <v>371.76229669709249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1.1000000000000001</v>
      </c>
      <c r="BD4" s="13">
        <f>IF('Données projet'!$A$88&gt;35,BD3+BC4-BL3,IF(A4&lt;'Données projet'!$A$88,$BA$205^A4,IF(A4='Données projet'!$A$88,'Données projet'!$B$88,BD3+BC4-BL3)))</f>
        <v>1.2709816152101407</v>
      </c>
      <c r="BE4" s="14">
        <f>BD4*VLOOKUP('Données projet'!$B$11,Paramètres!$A$1:$I$89,3,0)*VLOOKUP('Données projet'!$B$11,Paramètres!$A$1:$I$89,5,0)</f>
        <v>1.0111929730611879</v>
      </c>
      <c r="BF4" s="14">
        <f>EXP(-1.0587+0.8836*LN(BE4)+0.284)</f>
        <v>0.46539683474213156</v>
      </c>
      <c r="BG4" s="22">
        <f t="shared" ref="BG4:BG67" si="7">(BE4+BF4)*0.475*44/12</f>
        <v>2.5717272485907814</v>
      </c>
      <c r="BH4" s="60">
        <f t="shared" ref="BH4:BH67" si="8">BG4+(AY4+AZ4)*44/12</f>
        <v>260.46061613747963</v>
      </c>
      <c r="BI4" s="60">
        <f ca="1">AVERAGE(OFFSET($BH$3,0,0,'Données projet'!$E$11+1,1))-AVERAGE(OFFSET($H$3,0,0,'Données projet'!$E$11+1,1))</f>
        <v>353.26636241468884</v>
      </c>
      <c r="BJ4" s="60">
        <f>$BJ$3</f>
        <v>345.4750813433123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5.2136752136752138</v>
      </c>
      <c r="BY4" s="13">
        <f>IF('Données projet'!$A$114&gt;35,BY3+BX4-CG3,IF(A4&lt;'Données projet'!$A$114,$BV$205^A4,IF(A4='Données projet'!$A$114,'Données projet'!$B$114,BY3+BX4-CG3)))</f>
        <v>1.3372594701735672</v>
      </c>
      <c r="BZ4" s="14">
        <f>BY4*VLOOKUP('Données projet'!$B$12,Paramètres!$A$1:$I$89,3,0)*VLOOKUP('Données projet'!$B$12,Paramètres!$A$1:$I$89,5,0)</f>
        <v>0.89703365259242895</v>
      </c>
      <c r="CA4" s="14">
        <f>EXP(-1.0587+0.8836*LN(BZ4)+0.284)</f>
        <v>0.41865266881156721</v>
      </c>
      <c r="CB4" s="22">
        <f t="shared" ref="CB4:CB67" si="10">(BZ4+CA4)*0.475*44/12</f>
        <v>2.2914870097786264</v>
      </c>
      <c r="CC4" s="60">
        <f t="shared" ref="CC4:CC67" si="11">CB4+(BT4+BU4)*44/12</f>
        <v>260.18037589866748</v>
      </c>
      <c r="CD4" s="60">
        <f ca="1">AVERAGE(OFFSET($CC$3,0,0,'Données projet'!$E$12+1,1))-AVERAGE(OFFSET($H$3,0,0,'Données projet'!$E$12+1,1))</f>
        <v>362.1372269575329</v>
      </c>
      <c r="CE4" s="60">
        <f>$CE$3</f>
        <v>308.1559670593121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3.55</v>
      </c>
      <c r="CT4" s="13">
        <f>IF('Données projet'!$A$140&gt;35,CT3+CS4-DB3,IF(A4&lt;'Données projet'!$A$140,$CQ$205^A4,IF(A4='Données projet'!$A$140,'Données projet'!$B$140,CT3+CS4-DB3)))</f>
        <v>1.237550464288224</v>
      </c>
      <c r="CU4" s="18">
        <f>CT4*VLOOKUP('Données projet'!$B$13,Paramètres!$A$1:$I$89,3,0)*VLOOKUP('Données projet'!$B$13,Paramètres!$A$1:$I$89,5,0)</f>
        <v>1.3320993197598443</v>
      </c>
      <c r="CV4" s="14">
        <f>EXP(-1.0587+0.8836*LN(CU4)+0.284)</f>
        <v>0.59373494470407229</v>
      </c>
      <c r="CW4" s="22">
        <f t="shared" ref="CW4:CW67" si="13">(CU4+CV4)*0.475*44/12</f>
        <v>3.3541613439413211</v>
      </c>
      <c r="CX4" s="60">
        <f t="shared" ref="CX4:CX67" si="14">CW4+(CO4+CP4)*44/12</f>
        <v>261.24305023283017</v>
      </c>
      <c r="CY4" s="60">
        <f ca="1">AVERAGE(OFFSET($CX$3,0,0,'Données projet'!$E$13+1,1))-AVERAGE(OFFSET($H$3,0,0,'Données projet'!$E$13+1,1))</f>
        <v>488.44916315274139</v>
      </c>
      <c r="CZ4" s="60">
        <f>$CZ$3</f>
        <v>348.17941150148209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4.0628205128205126</v>
      </c>
      <c r="N5" s="14">
        <f>IF('Données projet'!$A$36&gt;35,N4+M5-V4,IF(A5&lt;'Données projet'!$A$36,$K$205^A5,IF(A5='Données projet'!$A$36,'Données projet'!$B$36,N4+M5-V4)))</f>
        <v>1.3774100880908995</v>
      </c>
      <c r="O5" s="14">
        <f>N5*VLOOKUP('Données projet'!$B$9,Paramètres!$A$1:$I$89,3,0)*VLOOKUP('Données projet'!$B$9,Paramètres!$A$1:$I$89,5,0)</f>
        <v>1.2462806477046457</v>
      </c>
      <c r="P5" s="14">
        <f t="shared" ref="P5:P68" si="33">EXP(-1.0587+0.8836*LN(O5)+0.284)</f>
        <v>0.55980687933617612</v>
      </c>
      <c r="Q5" s="22">
        <f t="shared" si="2"/>
        <v>3.1456024429294316</v>
      </c>
      <c r="R5" s="60">
        <f t="shared" si="0"/>
        <v>262.25671355404057</v>
      </c>
      <c r="S5" s="60">
        <f ca="1">AVERAGE(OFFSET($R$3,0,0,'Données projet'!$E$9+1,1))-AVERAGE(OFFSET($H$3,0,0,'Données projet'!$E$9+1,1))</f>
        <v>319.72731970820928</v>
      </c>
      <c r="T5" s="60">
        <f t="shared" ref="T5:T68" si="34">$T$3</f>
        <v>279.93992813630513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4.1500000000000004</v>
      </c>
      <c r="AI5" s="14">
        <f>IF('Données projet'!$A$62&gt;35,AI4+AH5-AQ4,IF(A5&lt;'Données projet'!$A$62,$AF$205^A5,IF(A5='Données projet'!$A$62,'Données projet'!$B$62,AI4+AH5-AQ4)))</f>
        <v>1.5556353708263266</v>
      </c>
      <c r="AJ5" s="14">
        <f>AI5*VLOOKUP('Données projet'!$B$10,Paramètres!$A$1:$I$89,3,0)*VLOOKUP('Données projet'!$B$10,Paramètres!$A$1:$I$89,5,0)</f>
        <v>1.5774142660178951</v>
      </c>
      <c r="AK5" s="14">
        <f t="shared" ref="AK5:AK68" si="35">EXP(-1.0587+0.8836*LN(AJ5)+0.284)</f>
        <v>0.68937724191084426</v>
      </c>
      <c r="AL5" s="22">
        <f t="shared" si="4"/>
        <v>3.9479952096425546</v>
      </c>
      <c r="AM5" s="60">
        <f t="shared" si="5"/>
        <v>263.0591063207537</v>
      </c>
      <c r="AN5" s="60">
        <f ca="1">AVERAGE(OFFSET($AM$3,0,0,'Données projet'!$E$10+1,1))-AVERAGE(OFFSET($H$3,0,0,'Données projet'!$E$10+1,1))</f>
        <v>505.64100207870439</v>
      </c>
      <c r="AO5" s="60">
        <f t="shared" ref="AO5:AO68" si="36">$AO$3</f>
        <v>371.76229669709249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1.1000000000000001</v>
      </c>
      <c r="BD5" s="13">
        <f>IF('Données projet'!$A$88&gt;35,BD4+BC5-BL4,IF(A5&lt;'Données projet'!$A$88,$BA$205^A5,IF(A5='Données projet'!$A$88,'Données projet'!$B$88,BD4+BC5-BL4)))</f>
        <v>1.6153942662021783</v>
      </c>
      <c r="BE5" s="14">
        <f>BD5*VLOOKUP('Données projet'!$B$11,Paramètres!$A$1:$I$89,3,0)*VLOOKUP('Données projet'!$B$11,Paramètres!$A$1:$I$89,5,0)</f>
        <v>1.2852076781904531</v>
      </c>
      <c r="BF5" s="14">
        <f t="shared" ref="BF5:BF68" si="37">EXP(-1.0587+0.8836*LN(BE5)+0.284)</f>
        <v>0.57522914588482876</v>
      </c>
      <c r="BG5" s="22">
        <f t="shared" si="7"/>
        <v>3.2402608019311159</v>
      </c>
      <c r="BH5" s="60">
        <f t="shared" si="8"/>
        <v>262.35137191304227</v>
      </c>
      <c r="BI5" s="60">
        <f ca="1">AVERAGE(OFFSET($BH$3,0,0,'Données projet'!$E$11+1,1))-AVERAGE(OFFSET($H$3,0,0,'Données projet'!$E$11+1,1))</f>
        <v>353.26636241468884</v>
      </c>
      <c r="BJ5" s="60">
        <f t="shared" ref="BJ5:BJ68" si="38">$BJ$3</f>
        <v>345.4750813433123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5.2136752136752138</v>
      </c>
      <c r="BY5" s="13">
        <f>IF('Données projet'!$A$114&gt;35,BY4+BX5-CG4,IF(A5&lt;'Données projet'!$A$114,$BV$205^A5,IF(A5='Données projet'!$A$114,'Données projet'!$B$114,BY4+BX5-CG4)))</f>
        <v>1.7882628905688895</v>
      </c>
      <c r="BZ5" s="14">
        <f>BY5*VLOOKUP('Données projet'!$B$12,Paramètres!$A$1:$I$89,3,0)*VLOOKUP('Données projet'!$B$12,Paramètres!$A$1:$I$89,5,0)</f>
        <v>1.1995667469936111</v>
      </c>
      <c r="CA5" s="14">
        <f t="shared" ref="CA5:CA68" si="39">EXP(-1.0587+0.8836*LN(BZ5)+0.284)</f>
        <v>0.54122523892796182</v>
      </c>
      <c r="CB5" s="22">
        <f t="shared" si="10"/>
        <v>3.0318793754800732</v>
      </c>
      <c r="CC5" s="60">
        <f t="shared" si="11"/>
        <v>262.1429904865912</v>
      </c>
      <c r="CD5" s="60">
        <f ca="1">AVERAGE(OFFSET($CC$3,0,0,'Données projet'!$E$12+1,1))-AVERAGE(OFFSET($H$3,0,0,'Données projet'!$E$12+1,1))</f>
        <v>362.1372269575329</v>
      </c>
      <c r="CE5" s="60">
        <f t="shared" ref="CE5:CE68" si="40">$CE$3</f>
        <v>308.1559670593121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3.55</v>
      </c>
      <c r="CT5" s="13">
        <f>IF('Données projet'!$A$140&gt;35,CT4+CS5-DB4,IF(A5&lt;'Données projet'!$A$140,$CQ$205^A5,IF(A5='Données projet'!$A$140,'Données projet'!$B$140,CT4+CS5-DB4)))</f>
        <v>1.5315311516599988</v>
      </c>
      <c r="CU5" s="18">
        <f>CT5*VLOOKUP('Données projet'!$B$13,Paramètres!$A$1:$I$89,3,0)*VLOOKUP('Données projet'!$B$13,Paramètres!$A$1:$I$89,5,0)</f>
        <v>1.6485401316468227</v>
      </c>
      <c r="CV5" s="14">
        <f t="shared" ref="CV5:CV68" si="41">EXP(-1.0587+0.8836*LN(CU5)+0.284)</f>
        <v>0.71677228478032451</v>
      </c>
      <c r="CW5" s="22">
        <f t="shared" si="13"/>
        <v>4.1195857919439485</v>
      </c>
      <c r="CX5" s="60">
        <f t="shared" si="14"/>
        <v>263.2306969030551</v>
      </c>
      <c r="CY5" s="60">
        <f ca="1">AVERAGE(OFFSET($CX$3,0,0,'Données projet'!$E$13+1,1))-AVERAGE(OFFSET($H$3,0,0,'Données projet'!$E$13+1,1))</f>
        <v>488.44916315274139</v>
      </c>
      <c r="CZ5" s="60">
        <f t="shared" ref="CZ5:CZ68" si="42">$CZ$3</f>
        <v>348.17941150148209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4.0628205128205126</v>
      </c>
      <c r="N6" s="14">
        <f>IF('Données projet'!$A$36&gt;35,N5+M6-V5,IF(A6&lt;'Données projet'!$A$36,$K$205^A6,IF(A6='Données projet'!$A$36,'Données projet'!$B$36,N5+M6-V5)))</f>
        <v>1.6165713926559588</v>
      </c>
      <c r="O6" s="14">
        <f>N6*VLOOKUP('Données projet'!$B$9,Paramètres!$A$1:$I$89,3,0)*VLOOKUP('Données projet'!$B$9,Paramètres!$A$1:$I$89,5,0)</f>
        <v>1.4626737960751115</v>
      </c>
      <c r="P6" s="14">
        <f t="shared" si="33"/>
        <v>0.64487624467855742</v>
      </c>
      <c r="Q6" s="22">
        <f t="shared" si="2"/>
        <v>3.6706496543126392</v>
      </c>
      <c r="R6" s="60">
        <f t="shared" si="0"/>
        <v>264.00398298764594</v>
      </c>
      <c r="S6" s="60">
        <f ca="1">AVERAGE(OFFSET($R$3,0,0,'Données projet'!$E$9+1,1))-AVERAGE(OFFSET($H$3,0,0,'Données projet'!$E$9+1,1))</f>
        <v>319.72731970820928</v>
      </c>
      <c r="T6" s="60">
        <f t="shared" si="34"/>
        <v>279.93992813630513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4.1500000000000004</v>
      </c>
      <c r="AI6" s="14">
        <f>IF('Données projet'!$A$62&gt;35,AI5+AH6-AQ5,IF(A6&lt;'Données projet'!$A$62,$AF$205^A6,IF(A6='Données projet'!$A$62,'Données projet'!$B$62,AI5+AH6-AQ5)))</f>
        <v>1.9402679676080126</v>
      </c>
      <c r="AJ6" s="14">
        <f>AI6*VLOOKUP('Données projet'!$B$10,Paramètres!$A$1:$I$89,3,0)*VLOOKUP('Données projet'!$B$10,Paramètres!$A$1:$I$89,5,0)</f>
        <v>1.967431719154525</v>
      </c>
      <c r="AK6" s="14">
        <f t="shared" si="35"/>
        <v>0.83799574268986321</v>
      </c>
      <c r="AL6" s="22">
        <f t="shared" si="4"/>
        <v>4.8861194960456427</v>
      </c>
      <c r="AM6" s="60">
        <f t="shared" si="5"/>
        <v>265.21945282937895</v>
      </c>
      <c r="AN6" s="60">
        <f ca="1">AVERAGE(OFFSET($AM$3,0,0,'Données projet'!$E$10+1,1))-AVERAGE(OFFSET($H$3,0,0,'Données projet'!$E$10+1,1))</f>
        <v>505.64100207870439</v>
      </c>
      <c r="AO6" s="60">
        <f t="shared" si="36"/>
        <v>371.76229669709249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1.1000000000000001</v>
      </c>
      <c r="BD6" s="13">
        <f>IF('Données projet'!$A$88&gt;35,BD5+BC6-BL5,IF(A6&lt;'Données projet'!$A$88,$BA$205^A6,IF(A6='Données projet'!$A$88,'Données projet'!$B$88,BD5+BC6-BL5)))</f>
        <v>2.0531364136588448</v>
      </c>
      <c r="BE6" s="14">
        <f>BD6*VLOOKUP('Données projet'!$B$11,Paramètres!$A$1:$I$89,3,0)*VLOOKUP('Données projet'!$B$11,Paramètres!$A$1:$I$89,5,0)</f>
        <v>1.6334753307069771</v>
      </c>
      <c r="BF6" s="14">
        <f t="shared" si="37"/>
        <v>0.71098156578295024</v>
      </c>
      <c r="BG6" s="22">
        <f t="shared" si="7"/>
        <v>4.0832624280532892</v>
      </c>
      <c r="BH6" s="60">
        <f t="shared" si="8"/>
        <v>264.41659576138659</v>
      </c>
      <c r="BI6" s="60">
        <f ca="1">AVERAGE(OFFSET($BH$3,0,0,'Données projet'!$E$11+1,1))-AVERAGE(OFFSET($H$3,0,0,'Données projet'!$E$11+1,1))</f>
        <v>353.26636241468884</v>
      </c>
      <c r="BJ6" s="60">
        <f t="shared" si="38"/>
        <v>345.4750813433123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5.2136752136752138</v>
      </c>
      <c r="BY6" s="13">
        <f>IF('Données projet'!$A$114&gt;35,BY5+BX6-CG5,IF(A6&lt;'Données projet'!$A$114,$BV$205^A6,IF(A6='Données projet'!$A$114,'Données projet'!$B$114,BY5+BX6-CG5)))</f>
        <v>2.3913714855732051</v>
      </c>
      <c r="BZ6" s="14">
        <f>BY6*VLOOKUP('Données projet'!$B$12,Paramètres!$A$1:$I$89,3,0)*VLOOKUP('Données projet'!$B$12,Paramètres!$A$1:$I$89,5,0)</f>
        <v>1.6041319925225062</v>
      </c>
      <c r="CA6" s="14">
        <f t="shared" si="39"/>
        <v>0.69968444267692698</v>
      </c>
      <c r="CB6" s="22">
        <f t="shared" si="10"/>
        <v>4.0124802913056792</v>
      </c>
      <c r="CC6" s="60">
        <f t="shared" si="11"/>
        <v>264.34581362463899</v>
      </c>
      <c r="CD6" s="60">
        <f ca="1">AVERAGE(OFFSET($CC$3,0,0,'Données projet'!$E$12+1,1))-AVERAGE(OFFSET($H$3,0,0,'Données projet'!$E$12+1,1))</f>
        <v>362.1372269575329</v>
      </c>
      <c r="CE6" s="60">
        <f t="shared" si="40"/>
        <v>308.1559670593121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3.55</v>
      </c>
      <c r="CT6" s="13">
        <f>IF('Données projet'!$A$140&gt;35,CT5+CS6-DB5,IF(A6&lt;'Données projet'!$A$140,$CQ$205^A6,IF(A6='Données projet'!$A$140,'Données projet'!$B$140,CT5+CS6-DB5)))</f>
        <v>1.89534708780871</v>
      </c>
      <c r="CU6" s="18">
        <f>CT6*VLOOKUP('Données projet'!$B$13,Paramètres!$A$1:$I$89,3,0)*VLOOKUP('Données projet'!$B$13,Paramètres!$A$1:$I$89,5,0)</f>
        <v>2.0401516053172957</v>
      </c>
      <c r="CV6" s="14">
        <f t="shared" si="41"/>
        <v>0.86530616533826343</v>
      </c>
      <c r="CW6" s="22">
        <f t="shared" si="13"/>
        <v>5.0603389505584326</v>
      </c>
      <c r="CX6" s="60">
        <f t="shared" si="14"/>
        <v>265.39367228389176</v>
      </c>
      <c r="CY6" s="60">
        <f ca="1">AVERAGE(OFFSET($CX$3,0,0,'Données projet'!$E$13+1,1))-AVERAGE(OFFSET($H$3,0,0,'Données projet'!$E$13+1,1))</f>
        <v>488.44916315274139</v>
      </c>
      <c r="CZ6" s="60">
        <f t="shared" si="42"/>
        <v>348.17941150148209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4.0628205128205126</v>
      </c>
      <c r="N7" s="14">
        <f>IF('Données projet'!$A$36&gt;35,N6+M7-V6,IF(A7&lt;'Données projet'!$A$36,$K$205^A7,IF(A7='Données projet'!$A$36,'Données projet'!$B$36,N6+M7-V6)))</f>
        <v>1.8972585507745794</v>
      </c>
      <c r="O7" s="14">
        <f>N7*VLOOKUP('Données projet'!$B$9,Paramètres!$A$1:$I$89,3,0)*VLOOKUP('Données projet'!$B$9,Paramètres!$A$1:$I$89,5,0)</f>
        <v>1.7166395367408394</v>
      </c>
      <c r="P7" s="14">
        <f t="shared" si="33"/>
        <v>0.74287291975378222</v>
      </c>
      <c r="Q7" s="22">
        <f t="shared" si="2"/>
        <v>4.283650861728133</v>
      </c>
      <c r="R7" s="60">
        <f t="shared" si="0"/>
        <v>265.83920641728366</v>
      </c>
      <c r="S7" s="60">
        <f ca="1">AVERAGE(OFFSET($R$3,0,0,'Données projet'!$E$9+1,1))-AVERAGE(OFFSET($H$3,0,0,'Données projet'!$E$9+1,1))</f>
        <v>319.72731970820928</v>
      </c>
      <c r="T7" s="60">
        <f t="shared" si="34"/>
        <v>279.93992813630513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4.1500000000000004</v>
      </c>
      <c r="AI7" s="14">
        <f>IF('Données projet'!$A$62&gt;35,AI6+AH7-AQ6,IF(A7&lt;'Données projet'!$A$62,$AF$205^A7,IF(A7='Données projet'!$A$62,'Données projet'!$B$62,AI6+AH7-AQ6)))</f>
        <v>2.4200014069659628</v>
      </c>
      <c r="AJ7" s="14">
        <f>AI7*VLOOKUP('Données projet'!$B$10,Paramètres!$A$1:$I$89,3,0)*VLOOKUP('Données projet'!$B$10,Paramètres!$A$1:$I$89,5,0)</f>
        <v>2.4538814266634863</v>
      </c>
      <c r="AK7" s="14">
        <f t="shared" si="35"/>
        <v>1.0186539706762674</v>
      </c>
      <c r="AL7" s="22">
        <f t="shared" si="4"/>
        <v>6.0479991503667376</v>
      </c>
      <c r="AM7" s="60">
        <f t="shared" si="5"/>
        <v>267.60355470592231</v>
      </c>
      <c r="AN7" s="60">
        <f ca="1">AVERAGE(OFFSET($AM$3,0,0,'Données projet'!$E$10+1,1))-AVERAGE(OFFSET($H$3,0,0,'Données projet'!$E$10+1,1))</f>
        <v>505.64100207870439</v>
      </c>
      <c r="AO7" s="60">
        <f t="shared" si="36"/>
        <v>371.76229669709249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1.1000000000000001</v>
      </c>
      <c r="BD7" s="13">
        <f>IF('Données projet'!$A$88&gt;35,BD6+BC7-BL6,IF(A7&lt;'Données projet'!$A$88,$BA$205^A7,IF(A7='Données projet'!$A$88,'Données projet'!$B$88,BD6+BC7-BL6)))</f>
        <v>2.6094986352788743</v>
      </c>
      <c r="BE7" s="14">
        <f>BD7*VLOOKUP('Données projet'!$B$11,Paramètres!$A$1:$I$89,3,0)*VLOOKUP('Données projet'!$B$11,Paramètres!$A$1:$I$89,5,0)</f>
        <v>2.0761171142278725</v>
      </c>
      <c r="BF7" s="14">
        <f t="shared" si="37"/>
        <v>0.87877116536856548</v>
      </c>
      <c r="BG7" s="22">
        <f t="shared" si="7"/>
        <v>5.14643042029713</v>
      </c>
      <c r="BH7" s="60">
        <f t="shared" si="8"/>
        <v>266.70198597585266</v>
      </c>
      <c r="BI7" s="60">
        <f ca="1">AVERAGE(OFFSET($BH$3,0,0,'Données projet'!$E$11+1,1))-AVERAGE(OFFSET($H$3,0,0,'Données projet'!$E$11+1,1))</f>
        <v>353.26636241468884</v>
      </c>
      <c r="BJ7" s="60">
        <f t="shared" si="38"/>
        <v>345.4750813433123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5.2136752136752138</v>
      </c>
      <c r="BY7" s="13">
        <f>IF('Données projet'!$A$114&gt;35,BY6+BX7-CG6,IF(A7&lt;'Données projet'!$A$114,$BV$205^A7,IF(A7='Données projet'!$A$114,'Données projet'!$B$114,BY6+BX7-CG6)))</f>
        <v>3.1978841657858004</v>
      </c>
      <c r="BZ7" s="14">
        <f>BY7*VLOOKUP('Données projet'!$B$12,Paramètres!$A$1:$I$89,3,0)*VLOOKUP('Données projet'!$B$12,Paramètres!$A$1:$I$89,5,0)</f>
        <v>2.145140698409115</v>
      </c>
      <c r="CA7" s="14">
        <f t="shared" si="39"/>
        <v>0.90453712079987292</v>
      </c>
      <c r="CB7" s="22">
        <f t="shared" si="10"/>
        <v>5.3115222017889865</v>
      </c>
      <c r="CC7" s="60">
        <f t="shared" si="11"/>
        <v>266.86707775734453</v>
      </c>
      <c r="CD7" s="60">
        <f ca="1">AVERAGE(OFFSET($CC$3,0,0,'Données projet'!$E$12+1,1))-AVERAGE(OFFSET($H$3,0,0,'Données projet'!$E$12+1,1))</f>
        <v>362.1372269575329</v>
      </c>
      <c r="CE7" s="60">
        <f t="shared" si="40"/>
        <v>308.1559670593121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3.55</v>
      </c>
      <c r="CT7" s="13">
        <f>IF('Données projet'!$A$140&gt;35,CT6+CS7-DB6,IF(A7&lt;'Données projet'!$A$140,$CQ$205^A7,IF(A7='Données projet'!$A$140,'Données projet'!$B$140,CT6+CS7-DB6)))</f>
        <v>2.3455876685050021</v>
      </c>
      <c r="CU7" s="18">
        <f>CT7*VLOOKUP('Données projet'!$B$13,Paramètres!$A$1:$I$89,3,0)*VLOOKUP('Données projet'!$B$13,Paramètres!$A$1:$I$89,5,0)</f>
        <v>2.5247905663787842</v>
      </c>
      <c r="CV7" s="14">
        <f t="shared" si="41"/>
        <v>1.0446201334387353</v>
      </c>
      <c r="CW7" s="22">
        <f t="shared" si="13"/>
        <v>6.2167236355155131</v>
      </c>
      <c r="CX7" s="60">
        <f t="shared" si="14"/>
        <v>267.77227919107105</v>
      </c>
      <c r="CY7" s="60">
        <f ca="1">AVERAGE(OFFSET($CX$3,0,0,'Données projet'!$E$13+1,1))-AVERAGE(OFFSET($H$3,0,0,'Données projet'!$E$13+1,1))</f>
        <v>488.44916315274139</v>
      </c>
      <c r="CZ7" s="60">
        <f t="shared" si="42"/>
        <v>348.17941150148209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4.0628205128205126</v>
      </c>
      <c r="N8" s="14">
        <f>IF('Données projet'!$A$36&gt;35,N7+M8-V7,IF(A8&lt;'Données projet'!$A$36,$K$205^A8,IF(A8='Données projet'!$A$36,'Données projet'!$B$36,N7+M8-V7)))</f>
        <v>2.2266817443634719</v>
      </c>
      <c r="O8" s="14">
        <f>N8*VLOOKUP('Données projet'!$B$9,Paramètres!$A$1:$I$89,3,0)*VLOOKUP('Données projet'!$B$9,Paramètres!$A$1:$I$89,5,0)</f>
        <v>2.0147016423000692</v>
      </c>
      <c r="P8" s="14">
        <f t="shared" si="33"/>
        <v>0.85576136422669402</v>
      </c>
      <c r="Q8" s="22">
        <f t="shared" si="2"/>
        <v>4.999389736367446</v>
      </c>
      <c r="R8" s="60">
        <f t="shared" si="0"/>
        <v>267.77716751414522</v>
      </c>
      <c r="S8" s="60">
        <f ca="1">AVERAGE(OFFSET($R$3,0,0,'Données projet'!$E$9+1,1))-AVERAGE(OFFSET($H$3,0,0,'Données projet'!$E$9+1,1))</f>
        <v>319.72731970820928</v>
      </c>
      <c r="T8" s="60">
        <f t="shared" si="34"/>
        <v>279.93992813630513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4.1500000000000004</v>
      </c>
      <c r="AI8" s="14">
        <f>IF('Données projet'!$A$62&gt;35,AI7+AH8-AQ7,IF(A8&lt;'Données projet'!$A$62,$AF$205^A8,IF(A8='Données projet'!$A$62,'Données projet'!$B$62,AI7+AH8-AQ7)))</f>
        <v>3.0183494792923335</v>
      </c>
      <c r="AJ8" s="14">
        <f>AI8*VLOOKUP('Données projet'!$B$10,Paramètres!$A$1:$I$89,3,0)*VLOOKUP('Données projet'!$B$10,Paramètres!$A$1:$I$89,5,0)</f>
        <v>3.0606063720024266</v>
      </c>
      <c r="AK8" s="14">
        <f t="shared" si="35"/>
        <v>1.2382591690069671</v>
      </c>
      <c r="AL8" s="22">
        <f t="shared" si="4"/>
        <v>7.4871908172580284</v>
      </c>
      <c r="AM8" s="60">
        <f t="shared" si="5"/>
        <v>270.26496859503578</v>
      </c>
      <c r="AN8" s="60">
        <f ca="1">AVERAGE(OFFSET($AM$3,0,0,'Données projet'!$E$10+1,1))-AVERAGE(OFFSET($H$3,0,0,'Données projet'!$E$10+1,1))</f>
        <v>505.64100207870439</v>
      </c>
      <c r="AO8" s="60">
        <f t="shared" si="36"/>
        <v>371.76229669709249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1.1000000000000001</v>
      </c>
      <c r="BD8" s="13">
        <f>IF('Données projet'!$A$88&gt;35,BD7+BC8-BL7,IF(A8&lt;'Données projet'!$A$88,$BA$205^A8,IF(A8='Données projet'!$A$88,'Données projet'!$B$88,BD7+BC8-BL7)))</f>
        <v>3.3166247903554016</v>
      </c>
      <c r="BE8" s="14">
        <f>BD8*VLOOKUP('Données projet'!$B$11,Paramètres!$A$1:$I$89,3,0)*VLOOKUP('Données projet'!$B$11,Paramètres!$A$1:$I$89,5,0)</f>
        <v>2.6387066832067574</v>
      </c>
      <c r="BF8" s="14">
        <f t="shared" si="37"/>
        <v>1.0861586266766543</v>
      </c>
      <c r="BG8" s="22">
        <f t="shared" si="7"/>
        <v>6.4874737480469413</v>
      </c>
      <c r="BH8" s="60">
        <f t="shared" si="8"/>
        <v>269.26525152582474</v>
      </c>
      <c r="BI8" s="60">
        <f ca="1">AVERAGE(OFFSET($BH$3,0,0,'Données projet'!$E$11+1,1))-AVERAGE(OFFSET($H$3,0,0,'Données projet'!$E$11+1,1))</f>
        <v>353.26636241468884</v>
      </c>
      <c r="BJ8" s="60">
        <f t="shared" si="38"/>
        <v>345.4750813433123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5.2136752136752138</v>
      </c>
      <c r="BY8" s="13">
        <f>IF('Données projet'!$A$114&gt;35,BY7+BX8-CG7,IF(A8&lt;'Données projet'!$A$114,$BV$205^A8,IF(A8='Données projet'!$A$114,'Données projet'!$B$114,BY7+BX8-CG7)))</f>
        <v>4.2764008852151596</v>
      </c>
      <c r="BZ8" s="14">
        <f>BY8*VLOOKUP('Données projet'!$B$12,Paramètres!$A$1:$I$89,3,0)*VLOOKUP('Données projet'!$B$12,Paramètres!$A$1:$I$89,5,0)</f>
        <v>2.868609713802329</v>
      </c>
      <c r="CA8" s="14">
        <f t="shared" si="39"/>
        <v>1.1693662928599864</v>
      </c>
      <c r="CB8" s="22">
        <f t="shared" si="10"/>
        <v>7.0328082116035331</v>
      </c>
      <c r="CC8" s="60">
        <f t="shared" si="11"/>
        <v>269.81058598938131</v>
      </c>
      <c r="CD8" s="60">
        <f ca="1">AVERAGE(OFFSET($CC$3,0,0,'Données projet'!$E$12+1,1))-AVERAGE(OFFSET($H$3,0,0,'Données projet'!$E$12+1,1))</f>
        <v>362.1372269575329</v>
      </c>
      <c r="CE8" s="60">
        <f t="shared" si="40"/>
        <v>308.1559670593121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3.55</v>
      </c>
      <c r="CT8" s="13">
        <f>IF('Données projet'!$A$140&gt;35,CT7+CS8-DB7,IF(A8&lt;'Données projet'!$A$140,$CQ$205^A8,IF(A8='Données projet'!$A$140,'Données projet'!$B$140,CT7+CS8-DB7)))</f>
        <v>2.9027831081870983</v>
      </c>
      <c r="CU8" s="18">
        <f>CT8*VLOOKUP('Données projet'!$B$13,Paramètres!$A$1:$I$89,3,0)*VLOOKUP('Données projet'!$B$13,Paramètres!$A$1:$I$89,5,0)</f>
        <v>3.1245557376525928</v>
      </c>
      <c r="CV8" s="14">
        <f t="shared" si="41"/>
        <v>1.2610926246653753</v>
      </c>
      <c r="CW8" s="22">
        <f t="shared" si="13"/>
        <v>7.6383375643704605</v>
      </c>
      <c r="CX8" s="60">
        <f t="shared" si="14"/>
        <v>270.41611534214826</v>
      </c>
      <c r="CY8" s="60">
        <f ca="1">AVERAGE(OFFSET($CX$3,0,0,'Données projet'!$E$13+1,1))-AVERAGE(OFFSET($H$3,0,0,'Données projet'!$E$13+1,1))</f>
        <v>488.44916315274139</v>
      </c>
      <c r="CZ8" s="60">
        <f t="shared" si="42"/>
        <v>348.17941150148209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4.0628205128205126</v>
      </c>
      <c r="N9" s="14">
        <f>IF('Données projet'!$A$36&gt;35,N8+M9-V8,IF(A9&lt;'Données projet'!$A$36,$K$205^A9,IF(A9='Données projet'!$A$36,'Données projet'!$B$36,N8+M9-V8)))</f>
        <v>2.6133030675536255</v>
      </c>
      <c r="O9" s="14">
        <f>N9*VLOOKUP('Données projet'!$B$9,Paramètres!$A$1:$I$89,3,0)*VLOOKUP('Données projet'!$B$9,Paramètres!$A$1:$I$89,5,0)</f>
        <v>2.3645166155225201</v>
      </c>
      <c r="P9" s="14">
        <f t="shared" si="33"/>
        <v>0.98580456095486013</v>
      </c>
      <c r="Q9" s="22">
        <f t="shared" si="2"/>
        <v>5.8351427156981037</v>
      </c>
      <c r="R9" s="60">
        <f t="shared" si="0"/>
        <v>269.83514271569811</v>
      </c>
      <c r="S9" s="60">
        <f ca="1">AVERAGE(OFFSET($R$3,0,0,'Données projet'!$E$9+1,1))-AVERAGE(OFFSET($H$3,0,0,'Données projet'!$E$9+1,1))</f>
        <v>319.72731970820928</v>
      </c>
      <c r="T9" s="60">
        <f t="shared" si="34"/>
        <v>279.93992813630513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4.1500000000000004</v>
      </c>
      <c r="AI9" s="14">
        <f>IF('Données projet'!$A$62&gt;35,AI8+AH9-AQ8,IF(A9&lt;'Données projet'!$A$62,$AF$205^A9,IF(A9='Données projet'!$A$62,'Données projet'!$B$62,AI8+AH9-AQ8)))</f>
        <v>3.7646397861257279</v>
      </c>
      <c r="AJ9" s="14">
        <f>AI9*VLOOKUP('Données projet'!$B$10,Paramètres!$A$1:$I$89,3,0)*VLOOKUP('Données projet'!$B$10,Paramètres!$A$1:$I$89,5,0)</f>
        <v>3.8173447431314882</v>
      </c>
      <c r="AK9" s="14">
        <f t="shared" si="35"/>
        <v>1.5052076698939303</v>
      </c>
      <c r="AL9" s="22">
        <f t="shared" si="4"/>
        <v>9.2701121193526035</v>
      </c>
      <c r="AM9" s="60">
        <f t="shared" si="5"/>
        <v>273.27011211935258</v>
      </c>
      <c r="AN9" s="60">
        <f ca="1">AVERAGE(OFFSET($AM$3,0,0,'Données projet'!$E$10+1,1))-AVERAGE(OFFSET($H$3,0,0,'Données projet'!$E$10+1,1))</f>
        <v>505.64100207870439</v>
      </c>
      <c r="AO9" s="60">
        <f t="shared" si="36"/>
        <v>371.76229669709249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1.1000000000000001</v>
      </c>
      <c r="BD9" s="13">
        <f>IF('Données projet'!$A$88&gt;35,BD8+BC9-BL8,IF(A9&lt;'Données projet'!$A$88,$BA$205^A9,IF(A9='Données projet'!$A$88,'Données projet'!$B$88,BD8+BC9-BL8)))</f>
        <v>4.2153691330919028</v>
      </c>
      <c r="BE9" s="14">
        <f>BD9*VLOOKUP('Données projet'!$B$11,Paramètres!$A$1:$I$89,3,0)*VLOOKUP('Données projet'!$B$11,Paramètres!$A$1:$I$89,5,0)</f>
        <v>3.353747682287918</v>
      </c>
      <c r="BF9" s="14">
        <f t="shared" si="37"/>
        <v>1.3424889309030987</v>
      </c>
      <c r="BG9" s="22">
        <f t="shared" si="7"/>
        <v>8.1792787679743544</v>
      </c>
      <c r="BH9" s="60">
        <f t="shared" si="8"/>
        <v>272.17927876797438</v>
      </c>
      <c r="BI9" s="60">
        <f ca="1">AVERAGE(OFFSET($BH$3,0,0,'Données projet'!$E$11+1,1))-AVERAGE(OFFSET($H$3,0,0,'Données projet'!$E$11+1,1))</f>
        <v>353.26636241468884</v>
      </c>
      <c r="BJ9" s="60">
        <f t="shared" si="38"/>
        <v>345.4750813433123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5.2136752136752138</v>
      </c>
      <c r="BY9" s="13">
        <f>IF('Données projet'!$A$114&gt;35,BY8+BX9-CG8,IF(A9&lt;'Données projet'!$A$114,$BV$205^A9,IF(A9='Données projet'!$A$114,'Données projet'!$B$114,BY8+BX9-CG8)))</f>
        <v>5.7186575820125976</v>
      </c>
      <c r="BZ9" s="14">
        <f>BY9*VLOOKUP('Données projet'!$B$12,Paramètres!$A$1:$I$89,3,0)*VLOOKUP('Données projet'!$B$12,Paramètres!$A$1:$I$89,5,0)</f>
        <v>3.8360755060140503</v>
      </c>
      <c r="CA9" s="14">
        <f t="shared" si="39"/>
        <v>1.5117317967756967</v>
      </c>
      <c r="CB9" s="22">
        <f t="shared" si="10"/>
        <v>9.3140977190254759</v>
      </c>
      <c r="CC9" s="60">
        <f t="shared" si="11"/>
        <v>273.31409771902548</v>
      </c>
      <c r="CD9" s="60">
        <f ca="1">AVERAGE(OFFSET($CC$3,0,0,'Données projet'!$E$12+1,1))-AVERAGE(OFFSET($H$3,0,0,'Données projet'!$E$12+1,1))</f>
        <v>362.1372269575329</v>
      </c>
      <c r="CE9" s="60">
        <f t="shared" si="40"/>
        <v>308.1559670593121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3.55</v>
      </c>
      <c r="CT9" s="13">
        <f>IF('Données projet'!$A$140&gt;35,CT8+CS9-DB8,IF(A9&lt;'Données projet'!$A$140,$CQ$205^A9,IF(A9='Données projet'!$A$140,'Données projet'!$B$140,CT8+CS9-DB8)))</f>
        <v>3.5923405832649573</v>
      </c>
      <c r="CU9" s="18">
        <f>CT9*VLOOKUP('Données projet'!$B$13,Paramètres!$A$1:$I$89,3,0)*VLOOKUP('Données projet'!$B$13,Paramètres!$A$1:$I$89,5,0)</f>
        <v>3.8667954038264001</v>
      </c>
      <c r="CV9" s="14">
        <f t="shared" si="41"/>
        <v>1.52242385253498</v>
      </c>
      <c r="CW9" s="22">
        <f t="shared" si="13"/>
        <v>9.3862235381627368</v>
      </c>
      <c r="CX9" s="60">
        <f t="shared" si="14"/>
        <v>273.38622353816271</v>
      </c>
      <c r="CY9" s="60">
        <f ca="1">AVERAGE(OFFSET($CX$3,0,0,'Données projet'!$E$13+1,1))-AVERAGE(OFFSET($H$3,0,0,'Données projet'!$E$13+1,1))</f>
        <v>488.44916315274139</v>
      </c>
      <c r="CZ9" s="60">
        <f t="shared" si="42"/>
        <v>348.17941150148209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4.0628205128205126</v>
      </c>
      <c r="N10" s="14">
        <f>IF('Données projet'!$A$36&gt;35,N9+M10-V9,IF(A10&lt;'Données projet'!$A$36,$K$205^A10,IF(A10='Données projet'!$A$36,'Données projet'!$B$36,N9+M10-V9)))</f>
        <v>3.067053897654088</v>
      </c>
      <c r="O10" s="14">
        <f>N10*VLOOKUP('Données projet'!$B$9,Paramètres!$A$1:$I$89,3,0)*VLOOKUP('Données projet'!$B$9,Paramètres!$A$1:$I$89,5,0)</f>
        <v>2.775070366597419</v>
      </c>
      <c r="P10" s="14">
        <f t="shared" si="33"/>
        <v>1.1356093801659046</v>
      </c>
      <c r="Q10" s="22">
        <f t="shared" si="2"/>
        <v>6.811100558946122</v>
      </c>
      <c r="R10" s="60">
        <f t="shared" si="0"/>
        <v>272.03332278116835</v>
      </c>
      <c r="S10" s="60">
        <f ca="1">AVERAGE(OFFSET($R$3,0,0,'Données projet'!$E$9+1,1))-AVERAGE(OFFSET($H$3,0,0,'Données projet'!$E$9+1,1))</f>
        <v>319.72731970820928</v>
      </c>
      <c r="T10" s="60">
        <f t="shared" si="34"/>
        <v>279.93992813630513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4.1500000000000004</v>
      </c>
      <c r="AI10" s="14">
        <f>IF('Données projet'!$A$62&gt;35,AI9+AH10-AQ9,IF(A10&lt;'Données projet'!$A$62,$AF$205^A10,IF(A10='Données projet'!$A$62,'Données projet'!$B$62,AI9+AH10-AQ9)))</f>
        <v>4.6954512115023794</v>
      </c>
      <c r="AJ10" s="14">
        <f>AI10*VLOOKUP('Données projet'!$B$10,Paramètres!$A$1:$I$89,3,0)*VLOOKUP('Données projet'!$B$10,Paramètres!$A$1:$I$89,5,0)</f>
        <v>4.7611875284634131</v>
      </c>
      <c r="AK10" s="14">
        <f t="shared" si="35"/>
        <v>1.829705917965843</v>
      </c>
      <c r="AL10" s="22">
        <f t="shared" si="4"/>
        <v>11.479139419197621</v>
      </c>
      <c r="AM10" s="60">
        <f t="shared" si="5"/>
        <v>276.70136164141985</v>
      </c>
      <c r="AN10" s="60">
        <f ca="1">AVERAGE(OFFSET($AM$3,0,0,'Données projet'!$E$10+1,1))-AVERAGE(OFFSET($H$3,0,0,'Données projet'!$E$10+1,1))</f>
        <v>505.64100207870439</v>
      </c>
      <c r="AO10" s="60">
        <f t="shared" si="36"/>
        <v>371.76229669709249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1.1000000000000001</v>
      </c>
      <c r="BD10" s="13">
        <f>IF('Données projet'!$A$88&gt;35,BD9+BC10-BL9,IF(A10&lt;'Données projet'!$A$88,$BA$205^A10,IF(A10='Données projet'!$A$88,'Données projet'!$B$88,BD9+BC10-BL9)))</f>
        <v>5.3576566694841175</v>
      </c>
      <c r="BE10" s="14">
        <f>BD10*VLOOKUP('Données projet'!$B$11,Paramètres!$A$1:$I$89,3,0)*VLOOKUP('Données projet'!$B$11,Paramètres!$A$1:$I$89,5,0)</f>
        <v>4.2625516462415645</v>
      </c>
      <c r="BF10" s="14">
        <f t="shared" si="37"/>
        <v>1.6593124478620722</v>
      </c>
      <c r="BG10" s="22">
        <f t="shared" si="7"/>
        <v>10.313913297230501</v>
      </c>
      <c r="BH10" s="60">
        <f t="shared" si="8"/>
        <v>275.53613551945273</v>
      </c>
      <c r="BI10" s="60">
        <f ca="1">AVERAGE(OFFSET($BH$3,0,0,'Données projet'!$E$11+1,1))-AVERAGE(OFFSET($H$3,0,0,'Données projet'!$E$11+1,1))</f>
        <v>353.26636241468884</v>
      </c>
      <c r="BJ10" s="60">
        <f t="shared" si="38"/>
        <v>345.4750813433123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5.2136752136752138</v>
      </c>
      <c r="BY10" s="13">
        <f>IF('Données projet'!$A$114&gt;35,BY9+BX10-CG9,IF(A10&lt;'Données projet'!$A$114,$BV$205^A10,IF(A10='Données projet'!$A$114,'Données projet'!$B$114,BY9+BX10-CG9)))</f>
        <v>7.6473290082262189</v>
      </c>
      <c r="BZ10" s="14">
        <f>BY10*VLOOKUP('Données projet'!$B$12,Paramètres!$A$1:$I$89,3,0)*VLOOKUP('Données projet'!$B$12,Paramètres!$A$1:$I$89,5,0)</f>
        <v>5.1298282987181478</v>
      </c>
      <c r="CA10" s="14">
        <f t="shared" si="39"/>
        <v>1.9543346163957804</v>
      </c>
      <c r="CB10" s="22">
        <f t="shared" si="10"/>
        <v>12.33825041049009</v>
      </c>
      <c r="CC10" s="60">
        <f t="shared" si="11"/>
        <v>277.56047263271233</v>
      </c>
      <c r="CD10" s="60">
        <f ca="1">AVERAGE(OFFSET($CC$3,0,0,'Données projet'!$E$12+1,1))-AVERAGE(OFFSET($H$3,0,0,'Données projet'!$E$12+1,1))</f>
        <v>362.1372269575329</v>
      </c>
      <c r="CE10" s="60">
        <f t="shared" si="40"/>
        <v>308.1559670593121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3.55</v>
      </c>
      <c r="CT10" s="13">
        <f>IF('Données projet'!$A$140&gt;35,CT9+CS10-DB9,IF(A10&lt;'Données projet'!$A$140,$CQ$205^A10,IF(A10='Données projet'!$A$140,'Données projet'!$B$140,CT9+CS10-DB9)))</f>
        <v>4.4457027567009773</v>
      </c>
      <c r="CU10" s="18">
        <f>CT10*VLOOKUP('Données projet'!$B$13,Paramètres!$A$1:$I$89,3,0)*VLOOKUP('Données projet'!$B$13,Paramètres!$A$1:$I$89,5,0)</f>
        <v>4.7853544473129315</v>
      </c>
      <c r="CV10" s="14">
        <f t="shared" si="41"/>
        <v>1.8379097153014126</v>
      </c>
      <c r="CW10" s="22">
        <f t="shared" si="13"/>
        <v>11.535518416553316</v>
      </c>
      <c r="CX10" s="60">
        <f t="shared" si="14"/>
        <v>276.75774063877554</v>
      </c>
      <c r="CY10" s="60">
        <f ca="1">AVERAGE(OFFSET($CX$3,0,0,'Données projet'!$E$13+1,1))-AVERAGE(OFFSET($H$3,0,0,'Données projet'!$E$13+1,1))</f>
        <v>488.44916315274139</v>
      </c>
      <c r="CZ10" s="60">
        <f t="shared" si="42"/>
        <v>348.17941150148209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4.0628205128205126</v>
      </c>
      <c r="N11" s="14">
        <f>IF('Données projet'!$A$36&gt;35,N10+M11-V10,IF(A11&lt;'Données projet'!$A$36,$K$205^A11,IF(A11='Données projet'!$A$36,'Données projet'!$B$36,N10+M11-V10)))</f>
        <v>3.5995900084872572</v>
      </c>
      <c r="O11" s="14">
        <f>N11*VLOOKUP('Données projet'!$B$9,Paramètres!$A$1:$I$89,3,0)*VLOOKUP('Données projet'!$B$9,Paramètres!$A$1:$I$89,5,0)</f>
        <v>3.2569090396792704</v>
      </c>
      <c r="P11" s="14">
        <f t="shared" si="33"/>
        <v>1.3081788372653314</v>
      </c>
      <c r="Q11" s="22">
        <f t="shared" si="2"/>
        <v>7.9508613856785146</v>
      </c>
      <c r="R11" s="60">
        <f t="shared" si="0"/>
        <v>274.39530583012299</v>
      </c>
      <c r="S11" s="60">
        <f ca="1">AVERAGE(OFFSET($R$3,0,0,'Données projet'!$E$9+1,1))-AVERAGE(OFFSET($H$3,0,0,'Données projet'!$E$9+1,1))</f>
        <v>319.72731970820928</v>
      </c>
      <c r="T11" s="60">
        <f t="shared" si="34"/>
        <v>279.93992813630513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4.1500000000000004</v>
      </c>
      <c r="AI11" s="14">
        <f>IF('Données projet'!$A$62&gt;35,AI10+AH11-AQ10,IF(A11&lt;'Données projet'!$A$62,$AF$205^A11,IF(A11='Données projet'!$A$62,'Données projet'!$B$62,AI10+AH11-AQ10)))</f>
        <v>5.8564068097172397</v>
      </c>
      <c r="AJ11" s="14">
        <f>AI11*VLOOKUP('Données projet'!$B$10,Paramètres!$A$1:$I$89,3,0)*VLOOKUP('Données projet'!$B$10,Paramètres!$A$1:$I$89,5,0)</f>
        <v>5.9383965050532819</v>
      </c>
      <c r="AK11" s="14">
        <f t="shared" si="35"/>
        <v>2.224160701011539</v>
      </c>
      <c r="AL11" s="22">
        <f t="shared" si="4"/>
        <v>14.216453800562897</v>
      </c>
      <c r="AM11" s="60">
        <f t="shared" si="5"/>
        <v>280.66089824500733</v>
      </c>
      <c r="AN11" s="60">
        <f ca="1">AVERAGE(OFFSET($AM$3,0,0,'Données projet'!$E$10+1,1))-AVERAGE(OFFSET($H$3,0,0,'Données projet'!$E$10+1,1))</f>
        <v>505.64100207870439</v>
      </c>
      <c r="AO11" s="60">
        <f t="shared" si="36"/>
        <v>371.76229669709249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1.1000000000000001</v>
      </c>
      <c r="BD11" s="13">
        <f>IF('Données projet'!$A$88&gt;35,BD10+BC11-BL10,IF(A11&lt;'Données projet'!$A$88,$BA$205^A11,IF(A11='Données projet'!$A$88,'Données projet'!$B$88,BD10+BC11-BL10)))</f>
        <v>6.8094831275223076</v>
      </c>
      <c r="BE11" s="14">
        <f>BD11*VLOOKUP('Données projet'!$B$11,Paramètres!$A$1:$I$89,3,0)*VLOOKUP('Données projet'!$B$11,Paramètres!$A$1:$I$89,5,0)</f>
        <v>5.4176247762567487</v>
      </c>
      <c r="BF11" s="14">
        <f t="shared" si="37"/>
        <v>2.0509054013412618</v>
      </c>
      <c r="BG11" s="22">
        <f t="shared" si="7"/>
        <v>13.007690059316532</v>
      </c>
      <c r="BH11" s="60">
        <f t="shared" si="8"/>
        <v>279.45213450376099</v>
      </c>
      <c r="BI11" s="60">
        <f ca="1">AVERAGE(OFFSET($BH$3,0,0,'Données projet'!$E$11+1,1))-AVERAGE(OFFSET($H$3,0,0,'Données projet'!$E$11+1,1))</f>
        <v>353.26636241468884</v>
      </c>
      <c r="BJ11" s="60">
        <f t="shared" si="38"/>
        <v>345.4750813433123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5.2136752136752138</v>
      </c>
      <c r="BY11" s="13">
        <f>IF('Données projet'!$A$114&gt;35,BY10+BX11-CG10,IF(A11&lt;'Données projet'!$A$114,$BV$205^A11,IF(A11='Données projet'!$A$114,'Données projet'!$B$114,BY10+BX11-CG10)))</f>
        <v>10.226463137783544</v>
      </c>
      <c r="BZ11" s="14">
        <f>BY11*VLOOKUP('Données projet'!$B$12,Paramètres!$A$1:$I$89,3,0)*VLOOKUP('Données projet'!$B$12,Paramètres!$A$1:$I$89,5,0)</f>
        <v>6.8599114728252015</v>
      </c>
      <c r="CA11" s="14">
        <f t="shared" si="39"/>
        <v>2.5265220993493118</v>
      </c>
      <c r="CB11" s="22">
        <f t="shared" si="10"/>
        <v>16.348038471537279</v>
      </c>
      <c r="CC11" s="60">
        <f t="shared" si="11"/>
        <v>282.79248291598174</v>
      </c>
      <c r="CD11" s="60">
        <f ca="1">AVERAGE(OFFSET($CC$3,0,0,'Données projet'!$E$12+1,1))-AVERAGE(OFFSET($H$3,0,0,'Données projet'!$E$12+1,1))</f>
        <v>362.1372269575329</v>
      </c>
      <c r="CE11" s="60">
        <f t="shared" si="40"/>
        <v>308.1559670593121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3.55</v>
      </c>
      <c r="CT11" s="13">
        <f>IF('Données projet'!$A$140&gt;35,CT10+CS11-DB10,IF(A11&lt;'Données projet'!$A$140,$CQ$205^A11,IF(A11='Données projet'!$A$140,'Données projet'!$B$140,CT10+CS11-DB10)))</f>
        <v>5.5017815106427319</v>
      </c>
      <c r="CU11" s="18">
        <f>CT11*VLOOKUP('Données projet'!$B$13,Paramètres!$A$1:$I$89,3,0)*VLOOKUP('Données projet'!$B$13,Paramètres!$A$1:$I$89,5,0)</f>
        <v>5.9221176180558359</v>
      </c>
      <c r="CV11" s="14">
        <f t="shared" si="41"/>
        <v>2.2187724633811898</v>
      </c>
      <c r="CW11" s="22">
        <f t="shared" si="13"/>
        <v>14.178716891836151</v>
      </c>
      <c r="CX11" s="60">
        <f t="shared" si="14"/>
        <v>280.62316133628059</v>
      </c>
      <c r="CY11" s="60">
        <f ca="1">AVERAGE(OFFSET($CX$3,0,0,'Données projet'!$E$13+1,1))-AVERAGE(OFFSET($H$3,0,0,'Données projet'!$E$13+1,1))</f>
        <v>488.44916315274139</v>
      </c>
      <c r="CZ11" s="60">
        <f t="shared" si="42"/>
        <v>348.17941150148209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4.0628205128205126</v>
      </c>
      <c r="N12" s="14">
        <f>IF('Données projet'!$A$36&gt;35,N11+M12-V11,IF(A12&lt;'Données projet'!$A$36,$K$205^A12,IF(A12='Données projet'!$A$36,'Données projet'!$B$36,N11+M12-V11)))</f>
        <v>4.2245909793472531</v>
      </c>
      <c r="O12" s="14">
        <f>N12*VLOOKUP('Données projet'!$B$9,Paramètres!$A$1:$I$89,3,0)*VLOOKUP('Données projet'!$B$9,Paramètres!$A$1:$I$89,5,0)</f>
        <v>3.822409918113395</v>
      </c>
      <c r="P12" s="14">
        <f t="shared" si="33"/>
        <v>1.5069722918446318</v>
      </c>
      <c r="Q12" s="22">
        <f t="shared" si="2"/>
        <v>9.2820073490102306</v>
      </c>
      <c r="R12" s="60">
        <f t="shared" si="0"/>
        <v>276.94867401567694</v>
      </c>
      <c r="S12" s="60">
        <f ca="1">AVERAGE(OFFSET($R$3,0,0,'Données projet'!$E$9+1,1))-AVERAGE(OFFSET($H$3,0,0,'Données projet'!$E$9+1,1))</f>
        <v>319.72731970820928</v>
      </c>
      <c r="T12" s="60">
        <f t="shared" si="34"/>
        <v>279.93992813630513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4.1500000000000004</v>
      </c>
      <c r="AI12" s="14">
        <f>IF('Données projet'!$A$62&gt;35,AI11+AH12-AQ11,IF(A12&lt;'Données projet'!$A$62,$AF$205^A12,IF(A12='Données projet'!$A$62,'Données projet'!$B$62,AI11+AH12-AQ11)))</f>
        <v>7.3044099866024288</v>
      </c>
      <c r="AJ12" s="14">
        <f>AI12*VLOOKUP('Données projet'!$B$10,Paramètres!$A$1:$I$89,3,0)*VLOOKUP('Données projet'!$B$10,Paramètres!$A$1:$I$89,5,0)</f>
        <v>7.4066717264148636</v>
      </c>
      <c r="AK12" s="14">
        <f t="shared" si="35"/>
        <v>2.7036535081133666</v>
      </c>
      <c r="AL12" s="22">
        <f t="shared" si="4"/>
        <v>17.608816450136668</v>
      </c>
      <c r="AM12" s="60">
        <f t="shared" si="5"/>
        <v>285.27548311680334</v>
      </c>
      <c r="AN12" s="60">
        <f ca="1">AVERAGE(OFFSET($AM$3,0,0,'Données projet'!$E$10+1,1))-AVERAGE(OFFSET($H$3,0,0,'Données projet'!$E$10+1,1))</f>
        <v>505.64100207870439</v>
      </c>
      <c r="AO12" s="60">
        <f t="shared" si="36"/>
        <v>371.76229669709249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1.1000000000000001</v>
      </c>
      <c r="BD12" s="13">
        <f>IF('Données projet'!$A$88&gt;35,BD11+BC12-BL11,IF(A12&lt;'Données projet'!$A$88,$BA$205^A12,IF(A12='Données projet'!$A$88,'Données projet'!$B$88,BD11+BC12-BL11)))</f>
        <v>8.6547278641645029</v>
      </c>
      <c r="BE12" s="14">
        <f>BD12*VLOOKUP('Données projet'!$B$11,Paramètres!$A$1:$I$89,3,0)*VLOOKUP('Données projet'!$B$11,Paramètres!$A$1:$I$89,5,0)</f>
        <v>6.8857014887292793</v>
      </c>
      <c r="BF12" s="14">
        <f t="shared" si="37"/>
        <v>2.5349131627802968</v>
      </c>
      <c r="BG12" s="22">
        <f t="shared" si="7"/>
        <v>16.407570518045844</v>
      </c>
      <c r="BH12" s="60">
        <f t="shared" si="8"/>
        <v>284.0742371847125</v>
      </c>
      <c r="BI12" s="60">
        <f ca="1">AVERAGE(OFFSET($BH$3,0,0,'Données projet'!$E$11+1,1))-AVERAGE(OFFSET($H$3,0,0,'Données projet'!$E$11+1,1))</f>
        <v>353.26636241468884</v>
      </c>
      <c r="BJ12" s="60">
        <f t="shared" si="38"/>
        <v>345.4750813433123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5.2136752136752138</v>
      </c>
      <c r="BY12" s="13">
        <f>IF('Données projet'!$A$114&gt;35,BY11+BX12-CG11,IF(A12&lt;'Données projet'!$A$114,$BV$205^A12,IF(A12='Données projet'!$A$114,'Données projet'!$B$114,BY11+BX12-CG11)))</f>
        <v>13.675434677381936</v>
      </c>
      <c r="BZ12" s="14">
        <f>BY12*VLOOKUP('Données projet'!$B$12,Paramètres!$A$1:$I$89,3,0)*VLOOKUP('Données projet'!$B$12,Paramètres!$A$1:$I$89,5,0)</f>
        <v>9.1734815815878026</v>
      </c>
      <c r="CA12" s="14">
        <f t="shared" si="39"/>
        <v>3.2662338705705771</v>
      </c>
      <c r="CB12" s="22">
        <f t="shared" si="10"/>
        <v>21.665837745842509</v>
      </c>
      <c r="CC12" s="60">
        <f t="shared" si="11"/>
        <v>289.33250441250919</v>
      </c>
      <c r="CD12" s="60">
        <f ca="1">AVERAGE(OFFSET($CC$3,0,0,'Données projet'!$E$12+1,1))-AVERAGE(OFFSET($H$3,0,0,'Données projet'!$E$12+1,1))</f>
        <v>362.1372269575329</v>
      </c>
      <c r="CE12" s="60">
        <f t="shared" si="40"/>
        <v>308.1559670593121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3.55</v>
      </c>
      <c r="CT12" s="13">
        <f>IF('Données projet'!$A$140&gt;35,CT11+CS12-DB11,IF(A12&lt;'Données projet'!$A$140,$CQ$205^A12,IF(A12='Données projet'!$A$140,'Données projet'!$B$140,CT11+CS12-DB11)))</f>
        <v>6.8087322629082792</v>
      </c>
      <c r="CU12" s="18">
        <f>CT12*VLOOKUP('Données projet'!$B$13,Paramètres!$A$1:$I$89,3,0)*VLOOKUP('Données projet'!$B$13,Paramètres!$A$1:$I$89,5,0)</f>
        <v>7.3289194077944719</v>
      </c>
      <c r="CV12" s="14">
        <f t="shared" si="41"/>
        <v>2.6785598896795015</v>
      </c>
      <c r="CW12" s="22">
        <f t="shared" si="13"/>
        <v>17.429693109767172</v>
      </c>
      <c r="CX12" s="60">
        <f t="shared" si="14"/>
        <v>285.09635977643387</v>
      </c>
      <c r="CY12" s="60">
        <f ca="1">AVERAGE(OFFSET($CX$3,0,0,'Données projet'!$E$13+1,1))-AVERAGE(OFFSET($H$3,0,0,'Données projet'!$E$13+1,1))</f>
        <v>488.44916315274139</v>
      </c>
      <c r="CZ12" s="60">
        <f t="shared" si="42"/>
        <v>348.17941150148209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4.0628205128205126</v>
      </c>
      <c r="N13" s="14">
        <f>IF('Données projet'!$A$36&gt;35,N12+M13-V12,IF(A13&lt;'Données projet'!$A$36,$K$205^A13,IF(A13='Données projet'!$A$36,'Données projet'!$B$36,N12+M13-V12)))</f>
        <v>4.9581115906815549</v>
      </c>
      <c r="O13" s="14">
        <f>N13*VLOOKUP('Données projet'!$B$9,Paramètres!$A$1:$I$89,3,0)*VLOOKUP('Données projet'!$B$9,Paramètres!$A$1:$I$89,5,0)</f>
        <v>4.4860993672486709</v>
      </c>
      <c r="P13" s="14">
        <f t="shared" si="33"/>
        <v>1.7359747946502311</v>
      </c>
      <c r="Q13" s="22">
        <f t="shared" si="2"/>
        <v>10.836779165307254</v>
      </c>
      <c r="R13" s="60">
        <f t="shared" si="0"/>
        <v>279.72566805419609</v>
      </c>
      <c r="S13" s="60">
        <f ca="1">AVERAGE(OFFSET($R$3,0,0,'Données projet'!$E$9+1,1))-AVERAGE(OFFSET($H$3,0,0,'Données projet'!$E$9+1,1))</f>
        <v>319.72731970820928</v>
      </c>
      <c r="T13" s="60">
        <f t="shared" si="34"/>
        <v>279.93992813630513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4.1500000000000004</v>
      </c>
      <c r="AI13" s="14">
        <f>IF('Données projet'!$A$62&gt;35,AI12+AH13-AQ12,IF(A13&lt;'Données projet'!$A$62,$AF$205^A13,IF(A13='Données projet'!$A$62,'Données projet'!$B$62,AI12+AH13-AQ12)))</f>
        <v>9.1104335791443027</v>
      </c>
      <c r="AJ13" s="14">
        <f>AI13*VLOOKUP('Données projet'!$B$10,Paramètres!$A$1:$I$89,3,0)*VLOOKUP('Données projet'!$B$10,Paramètres!$A$1:$I$89,5,0)</f>
        <v>9.2379796492523241</v>
      </c>
      <c r="AK13" s="14">
        <f t="shared" si="35"/>
        <v>3.2865171516650182</v>
      </c>
      <c r="AL13" s="22">
        <f t="shared" si="4"/>
        <v>21.813498594931037</v>
      </c>
      <c r="AM13" s="60">
        <f t="shared" si="5"/>
        <v>290.7023874838199</v>
      </c>
      <c r="AN13" s="60">
        <f ca="1">AVERAGE(OFFSET($AM$3,0,0,'Données projet'!$E$10+1,1))-AVERAGE(OFFSET($H$3,0,0,'Données projet'!$E$10+1,1))</f>
        <v>505.64100207870439</v>
      </c>
      <c r="AO13" s="60">
        <f t="shared" si="36"/>
        <v>371.76229669709249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11</v>
      </c>
      <c r="BB13" s="13">
        <f>VLOOKUP(A13,'Données projet'!$A$87:$I$107,9,0)</f>
        <v>1.1000000000000001</v>
      </c>
      <c r="BC13" s="13">
        <f t="array" ref="BC13">INDEX(BB:BB,MIN(IF(ISNUMBER(BB13:BB209),ROW(BB13:BB209),"")))</f>
        <v>1.1000000000000001</v>
      </c>
      <c r="BD13" s="13">
        <f>IF('Données projet'!$A$88&gt;35,BD12+BC13-BL12,IF(A13&lt;'Données projet'!$A$88,$BA$205^A13,IF(A13='Données projet'!$A$88,'Données projet'!$B$88,BD12+BC13-BL12)))</f>
        <v>11</v>
      </c>
      <c r="BE13" s="14">
        <f>BD13*VLOOKUP('Données projet'!$B$11,Paramètres!$A$1:$I$89,3,0)*VLOOKUP('Données projet'!$B$11,Paramètres!$A$1:$I$89,5,0)</f>
        <v>8.7516000000000016</v>
      </c>
      <c r="BF13" s="14">
        <f t="shared" si="37"/>
        <v>3.1331453604025001</v>
      </c>
      <c r="BG13" s="22">
        <f t="shared" si="7"/>
        <v>20.699264836034356</v>
      </c>
      <c r="BH13" s="60">
        <f t="shared" si="8"/>
        <v>289.58815372492319</v>
      </c>
      <c r="BI13" s="60">
        <f ca="1">AVERAGE(OFFSET($BH$3,0,0,'Données projet'!$E$11+1,1))-AVERAGE(OFFSET($H$3,0,0,'Données projet'!$E$11+1,1))</f>
        <v>353.26636241468884</v>
      </c>
      <c r="BJ13" s="60">
        <f t="shared" si="38"/>
        <v>345.4750813433123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5.2136752136752138</v>
      </c>
      <c r="BY13" s="13">
        <f>IF('Données projet'!$A$114&gt;35,BY12+BX13-CG12,IF(A13&lt;'Données projet'!$A$114,$BV$205^A13,IF(A13='Données projet'!$A$114,'Données projet'!$B$114,BY12+BX13-CG12)))</f>
        <v>18.287604531068997</v>
      </c>
      <c r="BZ13" s="14">
        <f>BY13*VLOOKUP('Données projet'!$B$12,Paramètres!$A$1:$I$89,3,0)*VLOOKUP('Données projet'!$B$12,Paramètres!$A$1:$I$89,5,0)</f>
        <v>12.267325119441084</v>
      </c>
      <c r="CA13" s="14">
        <f t="shared" si="39"/>
        <v>4.2225174677910005</v>
      </c>
      <c r="CB13" s="22">
        <f t="shared" si="10"/>
        <v>28.719809172762542</v>
      </c>
      <c r="CC13" s="60">
        <f t="shared" si="11"/>
        <v>297.60869806165141</v>
      </c>
      <c r="CD13" s="60">
        <f ca="1">AVERAGE(OFFSET($CC$3,0,0,'Données projet'!$E$12+1,1))-AVERAGE(OFFSET($H$3,0,0,'Données projet'!$E$12+1,1))</f>
        <v>362.1372269575329</v>
      </c>
      <c r="CE13" s="60">
        <f t="shared" si="40"/>
        <v>308.1559670593121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3.55</v>
      </c>
      <c r="CT13" s="13">
        <f>IF('Données projet'!$A$140&gt;35,CT12+CS13-DB12,IF(A13&lt;'Données projet'!$A$140,$CQ$205^A13,IF(A13='Données projet'!$A$140,'Données projet'!$B$140,CT12+CS13-DB12)))</f>
        <v>8.4261497731763502</v>
      </c>
      <c r="CU13" s="18">
        <f>CT13*VLOOKUP('Données projet'!$B$13,Paramètres!$A$1:$I$89,3,0)*VLOOKUP('Données projet'!$B$13,Paramètres!$A$1:$I$89,5,0)</f>
        <v>9.0699076158470238</v>
      </c>
      <c r="CV13" s="14">
        <f t="shared" si="41"/>
        <v>3.2336272425457961</v>
      </c>
      <c r="CW13" s="22">
        <f t="shared" si="13"/>
        <v>21.428656545034158</v>
      </c>
      <c r="CX13" s="60">
        <f t="shared" si="14"/>
        <v>290.31754543392299</v>
      </c>
      <c r="CY13" s="60">
        <f ca="1">AVERAGE(OFFSET($CX$3,0,0,'Données projet'!$E$13+1,1))-AVERAGE(OFFSET($H$3,0,0,'Données projet'!$E$13+1,1))</f>
        <v>488.44916315274139</v>
      </c>
      <c r="CZ13" s="60">
        <f t="shared" si="42"/>
        <v>348.17941150148209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4.0628205128205126</v>
      </c>
      <c r="N14" s="14">
        <f>IF('Données projet'!$A$36&gt;35,N13+M14-V13,IF(A14&lt;'Données projet'!$A$36,$K$205^A14,IF(A14='Données projet'!$A$36,'Données projet'!$B$36,N13+M14-V13)))</f>
        <v>5.8189942330107201</v>
      </c>
      <c r="O14" s="14">
        <f>N14*VLOOKUP('Données projet'!$B$9,Paramètres!$A$1:$I$89,3,0)*VLOOKUP('Données projet'!$B$9,Paramètres!$A$1:$I$89,5,0)</f>
        <v>5.2650259820280993</v>
      </c>
      <c r="P14" s="14">
        <f t="shared" si="33"/>
        <v>1.9997769726555885</v>
      </c>
      <c r="Q14" s="22">
        <f t="shared" si="2"/>
        <v>12.65286514607409</v>
      </c>
      <c r="R14" s="60">
        <f t="shared" si="0"/>
        <v>282.76397625718522</v>
      </c>
      <c r="S14" s="60">
        <f ca="1">AVERAGE(OFFSET($R$3,0,0,'Données projet'!$E$9+1,1))-AVERAGE(OFFSET($H$3,0,0,'Données projet'!$E$9+1,1))</f>
        <v>319.72731970820928</v>
      </c>
      <c r="T14" s="60">
        <f t="shared" si="34"/>
        <v>279.93992813630513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4.1500000000000004</v>
      </c>
      <c r="AI14" s="14">
        <f>IF('Données projet'!$A$62&gt;35,AI13+AH14-AQ13,IF(A14&lt;'Données projet'!$A$62,$AF$205^A14,IF(A14='Données projet'!$A$62,'Données projet'!$B$62,AI13+AH14-AQ13)))</f>
        <v>11.362998538175793</v>
      </c>
      <c r="AJ14" s="14">
        <f>AI14*VLOOKUP('Données projet'!$B$10,Paramètres!$A$1:$I$89,3,0)*VLOOKUP('Données projet'!$B$10,Paramètres!$A$1:$I$89,5,0)</f>
        <v>11.522080517710254</v>
      </c>
      <c r="AK14" s="14">
        <f t="shared" si="35"/>
        <v>3.9950366997010325</v>
      </c>
      <c r="AL14" s="22">
        <f t="shared" si="4"/>
        <v>27.025645820324655</v>
      </c>
      <c r="AM14" s="60">
        <f t="shared" si="5"/>
        <v>297.1367569314358</v>
      </c>
      <c r="AN14" s="60">
        <f ca="1">AVERAGE(OFFSET($AM$3,0,0,'Données projet'!$E$10+1,1))-AVERAGE(OFFSET($H$3,0,0,'Données projet'!$E$10+1,1))</f>
        <v>505.64100207870439</v>
      </c>
      <c r="AO14" s="60">
        <f t="shared" si="36"/>
        <v>371.76229669709249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10.8</v>
      </c>
      <c r="BD14" s="13">
        <f>IF('Données projet'!$A$88&gt;35,BD13+BC14-BL13,IF(A14&lt;'Données projet'!$A$88,$BA$205^A14,IF(A14='Données projet'!$A$88,'Données projet'!$B$88,BD13+BC14-BL13)))</f>
        <v>21.8</v>
      </c>
      <c r="BE14" s="14">
        <f>BD14*VLOOKUP('Données projet'!$B$11,Paramètres!$A$1:$I$89,3,0)*VLOOKUP('Données projet'!$B$11,Paramètres!$A$1:$I$89,5,0)</f>
        <v>17.344080000000002</v>
      </c>
      <c r="BF14" s="14">
        <f t="shared" si="37"/>
        <v>5.7341113912136308</v>
      </c>
      <c r="BG14" s="22">
        <f t="shared" si="7"/>
        <v>40.194516673030414</v>
      </c>
      <c r="BH14" s="60">
        <f t="shared" si="8"/>
        <v>310.30562778414156</v>
      </c>
      <c r="BI14" s="60">
        <f ca="1">AVERAGE(OFFSET($BH$3,0,0,'Données projet'!$E$11+1,1))-AVERAGE(OFFSET($H$3,0,0,'Données projet'!$E$11+1,1))</f>
        <v>353.26636241468884</v>
      </c>
      <c r="BJ14" s="60">
        <f t="shared" si="38"/>
        <v>345.4750813433123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5.2136752136752138</v>
      </c>
      <c r="BY14" s="13">
        <f>IF('Données projet'!$A$114&gt;35,BY13+BX14-CG13,IF(A14&lt;'Données projet'!$A$114,$BV$205^A14,IF(A14='Données projet'!$A$114,'Données projet'!$B$114,BY13+BX14-CG13)))</f>
        <v>24.455272345961053</v>
      </c>
      <c r="BZ14" s="14">
        <f>BY14*VLOOKUP('Données projet'!$B$12,Paramètres!$A$1:$I$89,3,0)*VLOOKUP('Données projet'!$B$12,Paramètres!$A$1:$I$89,5,0)</f>
        <v>16.404596689670676</v>
      </c>
      <c r="CA14" s="14">
        <f t="shared" si="39"/>
        <v>5.4587805014358821</v>
      </c>
      <c r="CB14" s="22">
        <f t="shared" si="10"/>
        <v>38.078715274510586</v>
      </c>
      <c r="CC14" s="60">
        <f t="shared" si="11"/>
        <v>308.1898263856217</v>
      </c>
      <c r="CD14" s="60">
        <f ca="1">AVERAGE(OFFSET($CC$3,0,0,'Données projet'!$E$12+1,1))-AVERAGE(OFFSET($H$3,0,0,'Données projet'!$E$12+1,1))</f>
        <v>362.1372269575329</v>
      </c>
      <c r="CE14" s="60">
        <f t="shared" si="40"/>
        <v>308.1559670593121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3.55</v>
      </c>
      <c r="CT14" s="13">
        <f>IF('Données projet'!$A$140&gt;35,CT13+CS14-DB13,IF(A14&lt;'Données projet'!$A$140,$CQ$205^A14,IF(A14='Données projet'!$A$140,'Données projet'!$B$140,CT13+CS14-DB13)))</f>
        <v>10.427785563956506</v>
      </c>
      <c r="CU14" s="18">
        <f>CT14*VLOOKUP('Données projet'!$B$13,Paramètres!$A$1:$I$89,3,0)*VLOOKUP('Données projet'!$B$13,Paramètres!$A$1:$I$89,5,0)</f>
        <v>11.224468381042783</v>
      </c>
      <c r="CV14" s="14">
        <f t="shared" si="41"/>
        <v>3.9037190036417155</v>
      </c>
      <c r="CW14" s="22">
        <f t="shared" si="13"/>
        <v>26.348259694992166</v>
      </c>
      <c r="CX14" s="60">
        <f t="shared" si="14"/>
        <v>296.45937080610332</v>
      </c>
      <c r="CY14" s="60">
        <f ca="1">AVERAGE(OFFSET($CX$3,0,0,'Données projet'!$E$13+1,1))-AVERAGE(OFFSET($H$3,0,0,'Données projet'!$E$13+1,1))</f>
        <v>488.44916315274139</v>
      </c>
      <c r="CZ14" s="60">
        <f t="shared" si="42"/>
        <v>348.17941150148209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4.0628205128205126</v>
      </c>
      <c r="N15" s="14">
        <f>IF('Données projet'!$A$36&gt;35,N14+M15-V14,IF(A15&lt;'Données projet'!$A$36,$K$205^A15,IF(A15='Données projet'!$A$36,'Données projet'!$B$36,N14+M15-V14)))</f>
        <v>6.8293529228851897</v>
      </c>
      <c r="O15" s="14">
        <f>N15*VLOOKUP('Données projet'!$B$9,Paramètres!$A$1:$I$89,3,0)*VLOOKUP('Données projet'!$B$9,Paramètres!$A$1:$I$89,5,0)</f>
        <v>6.1791985246265195</v>
      </c>
      <c r="P15" s="14">
        <f t="shared" si="33"/>
        <v>2.3036670536275285</v>
      </c>
      <c r="Q15" s="22">
        <f t="shared" si="2"/>
        <v>14.774324215459131</v>
      </c>
      <c r="R15" s="60">
        <f t="shared" si="0"/>
        <v>286.10765754879242</v>
      </c>
      <c r="S15" s="60">
        <f ca="1">AVERAGE(OFFSET($R$3,0,0,'Données projet'!$E$9+1,1))-AVERAGE(OFFSET($H$3,0,0,'Données projet'!$E$9+1,1))</f>
        <v>319.72731970820928</v>
      </c>
      <c r="T15" s="60">
        <f t="shared" si="34"/>
        <v>279.93992813630513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4.1500000000000004</v>
      </c>
      <c r="AI15" s="14">
        <f>IF('Données projet'!$A$62&gt;35,AI14+AH15-AQ14,IF(A15&lt;'Données projet'!$A$62,$AF$205^A15,IF(A15='Données projet'!$A$62,'Données projet'!$B$62,AI14+AH15-AQ14)))</f>
        <v>14.172512719280766</v>
      </c>
      <c r="AJ15" s="14">
        <f>AI15*VLOOKUP('Données projet'!$B$10,Paramètres!$A$1:$I$89,3,0)*VLOOKUP('Données projet'!$B$10,Paramètres!$A$1:$I$89,5,0)</f>
        <v>14.370927897350699</v>
      </c>
      <c r="AK15" s="14">
        <f t="shared" si="35"/>
        <v>4.8563015178156919</v>
      </c>
      <c r="AL15" s="22">
        <f t="shared" si="4"/>
        <v>33.487424564748132</v>
      </c>
      <c r="AM15" s="60">
        <f t="shared" si="5"/>
        <v>304.82075789808147</v>
      </c>
      <c r="AN15" s="60">
        <f ca="1">AVERAGE(OFFSET($AM$3,0,0,'Données projet'!$E$10+1,1))-AVERAGE(OFFSET($H$3,0,0,'Données projet'!$E$10+1,1))</f>
        <v>505.64100207870439</v>
      </c>
      <c r="AO15" s="60">
        <f t="shared" si="36"/>
        <v>371.76229669709249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10.8</v>
      </c>
      <c r="BD15" s="13">
        <f>IF('Données projet'!$A$88&gt;35,BD14+BC15-BL14,IF(A15&lt;'Données projet'!$A$88,$BA$205^A15,IF(A15='Données projet'!$A$88,'Données projet'!$B$88,BD14+BC15-BL14)))</f>
        <v>32.6</v>
      </c>
      <c r="BE15" s="14">
        <f>BD15*VLOOKUP('Données projet'!$B$11,Paramètres!$A$1:$I$89,3,0)*VLOOKUP('Données projet'!$B$11,Paramètres!$A$1:$I$89,5,0)</f>
        <v>25.936560000000004</v>
      </c>
      <c r="BF15" s="14">
        <f t="shared" si="37"/>
        <v>8.1824816304360635</v>
      </c>
      <c r="BG15" s="22">
        <f t="shared" si="7"/>
        <v>59.423997506342801</v>
      </c>
      <c r="BH15" s="60">
        <f t="shared" si="8"/>
        <v>330.75733083967611</v>
      </c>
      <c r="BI15" s="60">
        <f ca="1">AVERAGE(OFFSET($BH$3,0,0,'Données projet'!$E$11+1,1))-AVERAGE(OFFSET($H$3,0,0,'Données projet'!$E$11+1,1))</f>
        <v>353.26636241468884</v>
      </c>
      <c r="BJ15" s="60">
        <f t="shared" si="38"/>
        <v>345.4750813433123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5.2136752136752138</v>
      </c>
      <c r="BY15" s="13">
        <f>IF('Données projet'!$A$114&gt;35,BY14+BX15-CG14,IF(A15&lt;'Données projet'!$A$114,$BV$205^A15,IF(A15='Données projet'!$A$114,'Données projet'!$B$114,BY14+BX15-CG14)))</f>
        <v>32.703044540310167</v>
      </c>
      <c r="BZ15" s="14">
        <f>BY15*VLOOKUP('Données projet'!$B$12,Paramètres!$A$1:$I$89,3,0)*VLOOKUP('Données projet'!$B$12,Paramètres!$A$1:$I$89,5,0)</f>
        <v>21.937202277640061</v>
      </c>
      <c r="CA15" s="14">
        <f t="shared" si="39"/>
        <v>7.0569949775590821</v>
      </c>
      <c r="CB15" s="22">
        <f t="shared" si="10"/>
        <v>50.498226886138504</v>
      </c>
      <c r="CC15" s="60">
        <f t="shared" si="11"/>
        <v>321.83156021947184</v>
      </c>
      <c r="CD15" s="60">
        <f ca="1">AVERAGE(OFFSET($CC$3,0,0,'Données projet'!$E$12+1,1))-AVERAGE(OFFSET($H$3,0,0,'Données projet'!$E$12+1,1))</f>
        <v>362.1372269575329</v>
      </c>
      <c r="CE15" s="60">
        <f t="shared" si="40"/>
        <v>308.1559670593121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3.55</v>
      </c>
      <c r="CT15" s="13">
        <f>IF('Données projet'!$A$140&gt;35,CT14+CS15-DB14,IF(A15&lt;'Données projet'!$A$140,$CQ$205^A15,IF(A15='Données projet'!$A$140,'Données projet'!$B$140,CT14+CS15-DB14)))</f>
        <v>12.904910866172415</v>
      </c>
      <c r="CU15" s="18">
        <f>CT15*VLOOKUP('Données projet'!$B$13,Paramètres!$A$1:$I$89,3,0)*VLOOKUP('Données projet'!$B$13,Paramètres!$A$1:$I$89,5,0)</f>
        <v>13.890846056347987</v>
      </c>
      <c r="CV15" s="14">
        <f t="shared" si="41"/>
        <v>4.7126712253314569</v>
      </c>
      <c r="CW15" s="22">
        <f t="shared" si="13"/>
        <v>32.40112593225836</v>
      </c>
      <c r="CX15" s="60">
        <f t="shared" si="14"/>
        <v>303.73445926559168</v>
      </c>
      <c r="CY15" s="60">
        <f ca="1">AVERAGE(OFFSET($CX$3,0,0,'Données projet'!$E$13+1,1))-AVERAGE(OFFSET($H$3,0,0,'Données projet'!$E$13+1,1))</f>
        <v>488.44916315274139</v>
      </c>
      <c r="CZ15" s="60">
        <f t="shared" si="42"/>
        <v>348.17941150148209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4.0628205128205126</v>
      </c>
      <c r="N16" s="14">
        <f>IF('Données projet'!$A$36&gt;35,N15+M16-V15,IF(A16&lt;'Données projet'!$A$36,$K$205^A16,IF(A16='Données projet'!$A$36,'Données projet'!$B$36,N15+M16-V15)))</f>
        <v>8.0151413590917304</v>
      </c>
      <c r="O16" s="14">
        <f>N16*VLOOKUP('Données projet'!$B$9,Paramètres!$A$1:$I$89,3,0)*VLOOKUP('Données projet'!$B$9,Paramètres!$A$1:$I$89,5,0)</f>
        <v>7.2520999017061971</v>
      </c>
      <c r="P16" s="14">
        <f t="shared" si="33"/>
        <v>2.6537368749284589</v>
      </c>
      <c r="Q16" s="22">
        <f t="shared" si="2"/>
        <v>17.252665719305359</v>
      </c>
      <c r="R16" s="60">
        <f t="shared" si="0"/>
        <v>289.8082212748609</v>
      </c>
      <c r="S16" s="60">
        <f ca="1">AVERAGE(OFFSET($R$3,0,0,'Données projet'!$E$9+1,1))-AVERAGE(OFFSET($H$3,0,0,'Données projet'!$E$9+1,1))</f>
        <v>319.72731970820928</v>
      </c>
      <c r="T16" s="60">
        <f t="shared" si="34"/>
        <v>279.93992813630513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4.1500000000000004</v>
      </c>
      <c r="AI16" s="14">
        <f>IF('Données projet'!$A$62&gt;35,AI15+AH16-AQ15,IF(A16&lt;'Données projet'!$A$62,$AF$205^A16,IF(A16='Données projet'!$A$62,'Données projet'!$B$62,AI15+AH16-AQ15)))</f>
        <v>17.676682444634107</v>
      </c>
      <c r="AJ16" s="14">
        <f>AI16*VLOOKUP('Données projet'!$B$10,Paramètres!$A$1:$I$89,3,0)*VLOOKUP('Données projet'!$B$10,Paramètres!$A$1:$I$89,5,0)</f>
        <v>17.924155998858986</v>
      </c>
      <c r="AK16" s="14">
        <f t="shared" si="35"/>
        <v>5.9032409974366065</v>
      </c>
      <c r="AL16" s="22">
        <f t="shared" si="4"/>
        <v>41.499383101881484</v>
      </c>
      <c r="AM16" s="60">
        <f t="shared" si="5"/>
        <v>314.05493865743705</v>
      </c>
      <c r="AN16" s="60">
        <f ca="1">AVERAGE(OFFSET($AM$3,0,0,'Données projet'!$E$10+1,1))-AVERAGE(OFFSET($H$3,0,0,'Données projet'!$E$10+1,1))</f>
        <v>505.64100207870439</v>
      </c>
      <c r="AO16" s="60">
        <f t="shared" si="36"/>
        <v>371.76229669709249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10.8</v>
      </c>
      <c r="BD16" s="13">
        <f>IF('Données projet'!$A$88&gt;35,BD15+BC16-BL15,IF(A16&lt;'Données projet'!$A$88,$BA$205^A16,IF(A16='Données projet'!$A$88,'Données projet'!$B$88,BD15+BC16-BL15)))</f>
        <v>43.400000000000006</v>
      </c>
      <c r="BE16" s="14">
        <f>BD16*VLOOKUP('Données projet'!$B$11,Paramètres!$A$1:$I$89,3,0)*VLOOKUP('Données projet'!$B$11,Paramètres!$A$1:$I$89,5,0)</f>
        <v>34.529040000000009</v>
      </c>
      <c r="BF16" s="14">
        <f t="shared" si="37"/>
        <v>10.536391336679102</v>
      </c>
      <c r="BG16" s="22">
        <f t="shared" si="7"/>
        <v>78.488959578049446</v>
      </c>
      <c r="BH16" s="60">
        <f t="shared" si="8"/>
        <v>351.04451513360499</v>
      </c>
      <c r="BI16" s="60">
        <f ca="1">AVERAGE(OFFSET($BH$3,0,0,'Données projet'!$E$11+1,1))-AVERAGE(OFFSET($H$3,0,0,'Données projet'!$E$11+1,1))</f>
        <v>353.26636241468884</v>
      </c>
      <c r="BJ16" s="60">
        <f t="shared" si="38"/>
        <v>345.4750813433123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5.2136752136752138</v>
      </c>
      <c r="BY16" s="13">
        <f>IF('Données projet'!$A$114&gt;35,BY15+BX16-CG15,IF(A16&lt;'Données projet'!$A$114,$BV$205^A16,IF(A16='Données projet'!$A$114,'Données projet'!$B$114,BY15+BX16-CG15)))</f>
        <v>43.732456015037741</v>
      </c>
      <c r="BZ16" s="14">
        <f>BY16*VLOOKUP('Données projet'!$B$12,Paramètres!$A$1:$I$89,3,0)*VLOOKUP('Données projet'!$B$12,Paramètres!$A$1:$I$89,5,0)</f>
        <v>29.335731494887316</v>
      </c>
      <c r="CA16" s="14">
        <f t="shared" si="39"/>
        <v>9.1231325568401864</v>
      </c>
      <c r="CB16" s="22">
        <f t="shared" si="10"/>
        <v>66.982521556758726</v>
      </c>
      <c r="CC16" s="60">
        <f t="shared" si="11"/>
        <v>339.53807711231428</v>
      </c>
      <c r="CD16" s="60">
        <f ca="1">AVERAGE(OFFSET($CC$3,0,0,'Données projet'!$E$12+1,1))-AVERAGE(OFFSET($H$3,0,0,'Données projet'!$E$12+1,1))</f>
        <v>362.1372269575329</v>
      </c>
      <c r="CE16" s="60">
        <f t="shared" si="40"/>
        <v>308.1559670593121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3.55</v>
      </c>
      <c r="CT16" s="13">
        <f>IF('Données projet'!$A$140&gt;35,CT15+CS16-DB15,IF(A16&lt;'Données projet'!$A$140,$CQ$205^A16,IF(A16='Données projet'!$A$140,'Données projet'!$B$140,CT15+CS16-DB15)))</f>
        <v>15.970478434029818</v>
      </c>
      <c r="CU16" s="18">
        <f>CT16*VLOOKUP('Données projet'!$B$13,Paramètres!$A$1:$I$89,3,0)*VLOOKUP('Données projet'!$B$13,Paramètres!$A$1:$I$89,5,0)</f>
        <v>17.190622986389695</v>
      </c>
      <c r="CV16" s="14">
        <f t="shared" si="41"/>
        <v>5.6892594106667058</v>
      </c>
      <c r="CW16" s="22">
        <f t="shared" si="13"/>
        <v>39.849128508206562</v>
      </c>
      <c r="CX16" s="60">
        <f t="shared" si="14"/>
        <v>312.40468406376209</v>
      </c>
      <c r="CY16" s="60">
        <f ca="1">AVERAGE(OFFSET($CX$3,0,0,'Données projet'!$E$13+1,1))-AVERAGE(OFFSET($H$3,0,0,'Données projet'!$E$13+1,1))</f>
        <v>488.44916315274139</v>
      </c>
      <c r="CZ16" s="60">
        <f t="shared" si="42"/>
        <v>348.17941150148209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4.0628205128205126</v>
      </c>
      <c r="N17" s="14">
        <f>IF('Données projet'!$A$36&gt;35,N16+M17-V16,IF(A17&lt;'Données projet'!$A$36,$K$205^A17,IF(A17='Données projet'!$A$36,'Données projet'!$B$36,N16+M17-V16)))</f>
        <v>9.4068196111151305</v>
      </c>
      <c r="O17" s="14">
        <f>N17*VLOOKUP('Données projet'!$B$9,Paramètres!$A$1:$I$89,3,0)*VLOOKUP('Données projet'!$B$9,Paramètres!$A$1:$I$89,5,0)</f>
        <v>8.51129038413697</v>
      </c>
      <c r="P17" s="14">
        <f t="shared" si="33"/>
        <v>3.0570040016267526</v>
      </c>
      <c r="Q17" s="22">
        <f t="shared" si="2"/>
        <v>20.148112721871815</v>
      </c>
      <c r="R17" s="60">
        <f t="shared" si="0"/>
        <v>293.9258904996496</v>
      </c>
      <c r="S17" s="60">
        <f ca="1">AVERAGE(OFFSET($R$3,0,0,'Données projet'!$E$9+1,1))-AVERAGE(OFFSET($H$3,0,0,'Données projet'!$E$9+1,1))</f>
        <v>319.72731970820928</v>
      </c>
      <c r="T17" s="60">
        <f t="shared" si="34"/>
        <v>279.93992813630513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4.1500000000000004</v>
      </c>
      <c r="AI17" s="14">
        <f>IF('Données projet'!$A$62&gt;35,AI16+AH17-AQ16,IF(A17&lt;'Données projet'!$A$62,$AF$205^A17,IF(A17='Données projet'!$A$62,'Données projet'!$B$62,AI16+AH17-AQ16)))</f>
        <v>22.047262079599165</v>
      </c>
      <c r="AJ17" s="14">
        <f>AI17*VLOOKUP('Données projet'!$B$10,Paramètres!$A$1:$I$89,3,0)*VLOOKUP('Données projet'!$B$10,Paramètres!$A$1:$I$89,5,0)</f>
        <v>22.355923748713554</v>
      </c>
      <c r="AK17" s="14">
        <f t="shared" si="35"/>
        <v>7.1758835702381791</v>
      </c>
      <c r="AL17" s="22">
        <f t="shared" si="4"/>
        <v>51.434564413840938</v>
      </c>
      <c r="AM17" s="60">
        <f t="shared" si="5"/>
        <v>325.21234219161869</v>
      </c>
      <c r="AN17" s="60">
        <f ca="1">AVERAGE(OFFSET($AM$3,0,0,'Données projet'!$E$10+1,1))-AVERAGE(OFFSET($H$3,0,0,'Données projet'!$E$10+1,1))</f>
        <v>505.64100207870439</v>
      </c>
      <c r="AO17" s="60">
        <f t="shared" si="36"/>
        <v>371.76229669709249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10.8</v>
      </c>
      <c r="BD17" s="13">
        <f>IF('Données projet'!$A$88&gt;35,BD16+BC17-BL16,IF(A17&lt;'Données projet'!$A$88,$BA$205^A17,IF(A17='Données projet'!$A$88,'Données projet'!$B$88,BD16+BC17-BL16)))</f>
        <v>54.2</v>
      </c>
      <c r="BE17" s="14">
        <f>BD17*VLOOKUP('Données projet'!$B$11,Paramètres!$A$1:$I$89,3,0)*VLOOKUP('Données projet'!$B$11,Paramètres!$A$1:$I$89,5,0)</f>
        <v>43.121520000000004</v>
      </c>
      <c r="BF17" s="14">
        <f t="shared" si="37"/>
        <v>12.822353245070515</v>
      </c>
      <c r="BG17" s="22">
        <f t="shared" si="7"/>
        <v>97.435579235164482</v>
      </c>
      <c r="BH17" s="60">
        <f t="shared" si="8"/>
        <v>371.21335701294225</v>
      </c>
      <c r="BI17" s="60">
        <f ca="1">AVERAGE(OFFSET($BH$3,0,0,'Données projet'!$E$11+1,1))-AVERAGE(OFFSET($H$3,0,0,'Données projet'!$E$11+1,1))</f>
        <v>353.26636241468884</v>
      </c>
      <c r="BJ17" s="60">
        <f t="shared" si="38"/>
        <v>345.4750813433123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5.2136752136752138</v>
      </c>
      <c r="BY17" s="13">
        <f>IF('Données projet'!$A$114&gt;35,BY16+BX17-CG16,IF(A17&lt;'Données projet'!$A$114,$BV$205^A17,IF(A17='Données projet'!$A$114,'Données projet'!$B$114,BY16+BX17-CG16)))</f>
        <v>58.481640960058201</v>
      </c>
      <c r="BZ17" s="14">
        <f>BY17*VLOOKUP('Données projet'!$B$12,Paramètres!$A$1:$I$89,3,0)*VLOOKUP('Données projet'!$B$12,Paramètres!$A$1:$I$89,5,0)</f>
        <v>39.229484756007039</v>
      </c>
      <c r="CA17" s="14">
        <f t="shared" si="39"/>
        <v>11.794191141463161</v>
      </c>
      <c r="CB17" s="22">
        <f t="shared" si="10"/>
        <v>88.866235521427257</v>
      </c>
      <c r="CC17" s="60">
        <f t="shared" si="11"/>
        <v>362.64401329920503</v>
      </c>
      <c r="CD17" s="60">
        <f ca="1">AVERAGE(OFFSET($CC$3,0,0,'Données projet'!$E$12+1,1))-AVERAGE(OFFSET($H$3,0,0,'Données projet'!$E$12+1,1))</f>
        <v>362.1372269575329</v>
      </c>
      <c r="CE17" s="60">
        <f t="shared" si="40"/>
        <v>308.1559670593121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3.55</v>
      </c>
      <c r="CT17" s="13">
        <f>IF('Données projet'!$A$140&gt;35,CT16+CS17-DB16,IF(A17&lt;'Données projet'!$A$140,$CQ$205^A17,IF(A17='Données projet'!$A$140,'Données projet'!$B$140,CT16+CS17-DB16)))</f>
        <v>19.764273000938669</v>
      </c>
      <c r="CU17" s="18">
        <f>CT17*VLOOKUP('Données projet'!$B$13,Paramètres!$A$1:$I$89,3,0)*VLOOKUP('Données projet'!$B$13,Paramètres!$A$1:$I$89,5,0)</f>
        <v>21.274263458210381</v>
      </c>
      <c r="CV17" s="14">
        <f t="shared" si="41"/>
        <v>6.868222096181376</v>
      </c>
      <c r="CW17" s="22">
        <f t="shared" si="13"/>
        <v>49.014829007232315</v>
      </c>
      <c r="CX17" s="60">
        <f t="shared" si="14"/>
        <v>322.79260678501009</v>
      </c>
      <c r="CY17" s="60">
        <f ca="1">AVERAGE(OFFSET($CX$3,0,0,'Données projet'!$E$13+1,1))-AVERAGE(OFFSET($H$3,0,0,'Données projet'!$E$13+1,1))</f>
        <v>488.44916315274139</v>
      </c>
      <c r="CZ17" s="60">
        <f t="shared" si="42"/>
        <v>348.17941150148209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4.0628205128205126</v>
      </c>
      <c r="N18" s="14">
        <f>IF('Données projet'!$A$36&gt;35,N17+M18-V17,IF(A18&lt;'Données projet'!$A$36,$K$205^A18,IF(A18='Données projet'!$A$36,'Données projet'!$B$36,N17+M18-V17)))</f>
        <v>11.040136565487554</v>
      </c>
      <c r="O18" s="14">
        <f>N18*VLOOKUP('Données projet'!$B$9,Paramètres!$A$1:$I$89,3,0)*VLOOKUP('Données projet'!$B$9,Paramètres!$A$1:$I$89,5,0)</f>
        <v>9.9891155644531384</v>
      </c>
      <c r="P18" s="14">
        <f t="shared" si="33"/>
        <v>3.5215524019177353</v>
      </c>
      <c r="Q18" s="22">
        <f t="shared" si="2"/>
        <v>23.531080041429274</v>
      </c>
      <c r="R18" s="60">
        <f t="shared" si="0"/>
        <v>298.53108004142928</v>
      </c>
      <c r="S18" s="60">
        <f ca="1">AVERAGE(OFFSET($R$3,0,0,'Données projet'!$E$9+1,1))-AVERAGE(OFFSET($H$3,0,0,'Données projet'!$E$9+1,1))</f>
        <v>319.72731970820928</v>
      </c>
      <c r="T18" s="60">
        <f t="shared" si="34"/>
        <v>279.93992813630513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4.1500000000000004</v>
      </c>
      <c r="AI18" s="14">
        <f>IF('Données projet'!$A$62&gt;35,AI17+AH18-AQ17,IF(A18&lt;'Données projet'!$A$62,$AF$205^A18,IF(A18='Données projet'!$A$62,'Données projet'!$B$62,AI17+AH18-AQ17)))</f>
        <v>27.498472449737598</v>
      </c>
      <c r="AJ18" s="14">
        <f>AI18*VLOOKUP('Données projet'!$B$10,Paramètres!$A$1:$I$89,3,0)*VLOOKUP('Données projet'!$B$10,Paramètres!$A$1:$I$89,5,0)</f>
        <v>27.883451064033927</v>
      </c>
      <c r="AK18" s="14">
        <f t="shared" si="35"/>
        <v>8.7228871455484231</v>
      </c>
      <c r="AL18" s="22">
        <f t="shared" si="4"/>
        <v>63.756039048355916</v>
      </c>
      <c r="AM18" s="60">
        <f t="shared" si="5"/>
        <v>338.75603904835589</v>
      </c>
      <c r="AN18" s="60">
        <f ca="1">AVERAGE(OFFSET($AM$3,0,0,'Données projet'!$E$10+1,1))-AVERAGE(OFFSET($H$3,0,0,'Données projet'!$E$10+1,1))</f>
        <v>505.64100207870439</v>
      </c>
      <c r="AO18" s="60">
        <f t="shared" si="36"/>
        <v>371.76229669709249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65</v>
      </c>
      <c r="BB18" s="13">
        <f>VLOOKUP(A18,'Données projet'!$A$87:$I$107,9,0)</f>
        <v>10.8</v>
      </c>
      <c r="BC18" s="13">
        <f t="array" ref="BC18">INDEX(BB:BB,MIN(IF(ISNUMBER(BB18:BB214),ROW(BB18:BB214),"")))</f>
        <v>10.8</v>
      </c>
      <c r="BD18" s="13">
        <f>IF('Données projet'!$A$88&gt;35,BD17+BC18-BL17,IF(A18&lt;'Données projet'!$A$88,$BA$205^A18,IF(A18='Données projet'!$A$88,'Données projet'!$B$88,BD17+BC18-BL17)))</f>
        <v>65</v>
      </c>
      <c r="BE18" s="14">
        <f>BD18*VLOOKUP('Données projet'!$B$11,Paramètres!$A$1:$I$89,3,0)*VLOOKUP('Données projet'!$B$11,Paramètres!$A$1:$I$89,5,0)</f>
        <v>51.713999999999999</v>
      </c>
      <c r="BF18" s="14">
        <f t="shared" si="37"/>
        <v>15.055535578337075</v>
      </c>
      <c r="BG18" s="22">
        <f t="shared" si="7"/>
        <v>116.29027446560372</v>
      </c>
      <c r="BH18" s="60">
        <f t="shared" si="8"/>
        <v>391.29027446560372</v>
      </c>
      <c r="BI18" s="60">
        <f ca="1">AVERAGE(OFFSET($BH$3,0,0,'Données projet'!$E$11+1,1))-AVERAGE(OFFSET($H$3,0,0,'Données projet'!$E$11+1,1))</f>
        <v>353.26636241468884</v>
      </c>
      <c r="BJ18" s="60">
        <f t="shared" si="38"/>
        <v>345.4750813433123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32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78.205128205128204</v>
      </c>
      <c r="BW18" s="13">
        <f>VLOOKUP(A18,'Données projet'!$A$113:$I$133,9,0)</f>
        <v>5.2136752136752138</v>
      </c>
      <c r="BX18" s="13">
        <f t="array" ref="BX18">INDEX(BW:BW,MIN(IF(ISNUMBER(BW18:BW214),ROW(BW18:BW214),"")))</f>
        <v>5.2136752136752138</v>
      </c>
      <c r="BY18" s="13">
        <f>IF('Données projet'!$A$114&gt;35,BY17+BX18-CG17,IF(A18&lt;'Données projet'!$A$114,$BV$205^A18,IF(A18='Données projet'!$A$114,'Données projet'!$B$114,BY17+BX18-CG17)))</f>
        <v>78.205128205128204</v>
      </c>
      <c r="BZ18" s="14">
        <f>BY18*VLOOKUP('Données projet'!$B$12,Paramètres!$A$1:$I$89,3,0)*VLOOKUP('Données projet'!$B$12,Paramètres!$A$1:$I$89,5,0)</f>
        <v>52.459999999999994</v>
      </c>
      <c r="CA18" s="14">
        <f t="shared" si="39"/>
        <v>15.247278696731632</v>
      </c>
      <c r="CB18" s="22">
        <f t="shared" si="10"/>
        <v>117.92351039680756</v>
      </c>
      <c r="CC18" s="60">
        <f t="shared" si="11"/>
        <v>392.92351039680756</v>
      </c>
      <c r="CD18" s="60">
        <f ca="1">AVERAGE(OFFSET($CC$3,0,0,'Données projet'!$E$12+1,1))-AVERAGE(OFFSET($H$3,0,0,'Données projet'!$E$12+1,1))</f>
        <v>362.1372269575329</v>
      </c>
      <c r="CE18" s="60">
        <f t="shared" si="40"/>
        <v>308.1559670593121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3.55</v>
      </c>
      <c r="CT18" s="13">
        <f>IF('Données projet'!$A$140&gt;35,CT17+CS18-DB17,IF(A18&lt;'Données projet'!$A$140,$CQ$205^A18,IF(A18='Données projet'!$A$140,'Données projet'!$B$140,CT17+CS18-DB17)))</f>
        <v>24.459285228630861</v>
      </c>
      <c r="CU18" s="18">
        <f>CT18*VLOOKUP('Données projet'!$B$13,Paramètres!$A$1:$I$89,3,0)*VLOOKUP('Données projet'!$B$13,Paramètres!$A$1:$I$89,5,0)</f>
        <v>26.32797462009826</v>
      </c>
      <c r="CV18" s="14">
        <f t="shared" si="41"/>
        <v>8.2914965476932103</v>
      </c>
      <c r="CW18" s="22">
        <f t="shared" si="13"/>
        <v>60.295578950570139</v>
      </c>
      <c r="CX18" s="60">
        <f t="shared" si="14"/>
        <v>335.29557895057013</v>
      </c>
      <c r="CY18" s="60">
        <f ca="1">AVERAGE(OFFSET($CX$3,0,0,'Données projet'!$E$13+1,1))-AVERAGE(OFFSET($H$3,0,0,'Données projet'!$E$13+1,1))</f>
        <v>488.44916315274139</v>
      </c>
      <c r="CZ18" s="60">
        <f t="shared" si="42"/>
        <v>348.17941150148209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4.0628205128205126</v>
      </c>
      <c r="N19" s="14">
        <f>IF('Données projet'!$A$36&gt;35,N18+M19-V18,IF(A19&lt;'Données projet'!$A$36,$K$205^A19,IF(A19='Données projet'!$A$36,'Données projet'!$B$36,N18+M19-V18)))</f>
        <v>12.957048229201293</v>
      </c>
      <c r="O19" s="14">
        <f>N19*VLOOKUP('Données projet'!$B$9,Paramètres!$A$1:$I$89,3,0)*VLOOKUP('Données projet'!$B$9,Paramètres!$A$1:$I$89,5,0)</f>
        <v>11.723537237781329</v>
      </c>
      <c r="P19" s="14">
        <f t="shared" si="33"/>
        <v>4.0566944998610817</v>
      </c>
      <c r="Q19" s="22">
        <f t="shared" si="2"/>
        <v>27.483903609727193</v>
      </c>
      <c r="R19" s="60">
        <f t="shared" si="0"/>
        <v>303.70612583194941</v>
      </c>
      <c r="S19" s="60">
        <f ca="1">AVERAGE(OFFSET($R$3,0,0,'Données projet'!$E$9+1,1))-AVERAGE(OFFSET($H$3,0,0,'Données projet'!$E$9+1,1))</f>
        <v>319.72731970820928</v>
      </c>
      <c r="T19" s="60">
        <f t="shared" si="34"/>
        <v>279.93992813630513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4.1500000000000004</v>
      </c>
      <c r="AI19" s="14">
        <f>IF('Données projet'!$A$62&gt;35,AI18+AH19-AQ18,IF(A19&lt;'Données projet'!$A$62,$AF$205^A19,IF(A19='Données projet'!$A$62,'Données projet'!$B$62,AI18+AH19-AQ18)))</f>
        <v>34.297500720902455</v>
      </c>
      <c r="AJ19" s="14">
        <f>AI19*VLOOKUP('Données projet'!$B$10,Paramètres!$A$1:$I$89,3,0)*VLOOKUP('Données projet'!$B$10,Paramètres!$A$1:$I$89,5,0)</f>
        <v>34.777665730995089</v>
      </c>
      <c r="AK19" s="14">
        <f t="shared" si="35"/>
        <v>10.60339948512409</v>
      </c>
      <c r="AL19" s="22">
        <f t="shared" si="4"/>
        <v>79.03868858474091</v>
      </c>
      <c r="AM19" s="60">
        <f t="shared" si="5"/>
        <v>355.26091080696312</v>
      </c>
      <c r="AN19" s="60">
        <f ca="1">AVERAGE(OFFSET($AM$3,0,0,'Données projet'!$E$10+1,1))-AVERAGE(OFFSET($H$3,0,0,'Données projet'!$E$10+1,1))</f>
        <v>505.64100207870439</v>
      </c>
      <c r="AO19" s="60">
        <f t="shared" si="36"/>
        <v>371.76229669709249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13.8</v>
      </c>
      <c r="BD19" s="13">
        <f>IF('Données projet'!$A$88&gt;35,BD18+BC19-BL18,IF(A19&lt;'Données projet'!$A$88,$BA$205^A19,IF(A19='Données projet'!$A$88,'Données projet'!$B$88,BD18+BC19-BL18)))</f>
        <v>46.8</v>
      </c>
      <c r="BE19" s="14">
        <f>BD19*VLOOKUP('Données projet'!$B$11,Paramètres!$A$1:$I$89,3,0)*VLOOKUP('Données projet'!$B$11,Paramètres!$A$1:$I$89,5,0)</f>
        <v>37.234079999999999</v>
      </c>
      <c r="BF19" s="14">
        <f t="shared" si="37"/>
        <v>11.262510356679771</v>
      </c>
      <c r="BG19" s="22">
        <f t="shared" si="7"/>
        <v>84.464894871217254</v>
      </c>
      <c r="BH19" s="60">
        <f t="shared" si="8"/>
        <v>360.6871170934395</v>
      </c>
      <c r="BI19" s="60">
        <f ca="1">AVERAGE(OFFSET($BH$3,0,0,'Données projet'!$E$11+1,1))-AVERAGE(OFFSET($H$3,0,0,'Données projet'!$E$11+1,1))</f>
        <v>353.26636241468884</v>
      </c>
      <c r="BJ19" s="60">
        <f t="shared" si="38"/>
        <v>345.4750813433123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10</v>
      </c>
      <c r="BY19" s="13">
        <f>IF('Données projet'!$A$114&gt;35,BY18+BX19-CG18,IF(A19&lt;'Données projet'!$A$114,$BV$205^A19,IF(A19='Données projet'!$A$114,'Données projet'!$B$114,BY18+BX19-CG18)))</f>
        <v>88.205128205128204</v>
      </c>
      <c r="BZ19" s="14">
        <f>BY19*VLOOKUP('Données projet'!$B$12,Paramètres!$A$1:$I$89,3,0)*VLOOKUP('Données projet'!$B$12,Paramètres!$A$1:$I$89,5,0)</f>
        <v>59.167999999999999</v>
      </c>
      <c r="CA19" s="14">
        <f t="shared" si="39"/>
        <v>16.957742660522214</v>
      </c>
      <c r="CB19" s="22">
        <f t="shared" si="10"/>
        <v>132.58566846707615</v>
      </c>
      <c r="CC19" s="60">
        <f t="shared" si="11"/>
        <v>408.80789068929835</v>
      </c>
      <c r="CD19" s="60">
        <f ca="1">AVERAGE(OFFSET($CC$3,0,0,'Données projet'!$E$12+1,1))-AVERAGE(OFFSET($H$3,0,0,'Données projet'!$E$12+1,1))</f>
        <v>362.1372269575329</v>
      </c>
      <c r="CE19" s="60">
        <f t="shared" si="40"/>
        <v>308.1559670593121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3.55</v>
      </c>
      <c r="CT19" s="13">
        <f>IF('Données projet'!$A$140&gt;35,CT18+CS19-DB18,IF(A19&lt;'Données projet'!$A$140,$CQ$205^A19,IF(A19='Données projet'!$A$140,'Données projet'!$B$140,CT18+CS19-DB18)))</f>
        <v>30.269599790850222</v>
      </c>
      <c r="CU19" s="18">
        <f>CT19*VLOOKUP('Données projet'!$B$13,Paramètres!$A$1:$I$89,3,0)*VLOOKUP('Données projet'!$B$13,Paramètres!$A$1:$I$89,5,0)</f>
        <v>32.582197214871179</v>
      </c>
      <c r="CV19" s="14">
        <f t="shared" si="41"/>
        <v>10.009710524450242</v>
      </c>
      <c r="CW19" s="22">
        <f t="shared" si="13"/>
        <v>74.18090597931814</v>
      </c>
      <c r="CX19" s="60">
        <f t="shared" si="14"/>
        <v>350.40312820154037</v>
      </c>
      <c r="CY19" s="60">
        <f ca="1">AVERAGE(OFFSET($CX$3,0,0,'Données projet'!$E$13+1,1))-AVERAGE(OFFSET($H$3,0,0,'Données projet'!$E$13+1,1))</f>
        <v>488.44916315274139</v>
      </c>
      <c r="CZ19" s="60">
        <f t="shared" si="42"/>
        <v>348.17941150148209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4.0628205128205126</v>
      </c>
      <c r="N20" s="14">
        <f>IF('Données projet'!$A$36&gt;35,N19+M20-V19,IF(A20&lt;'Données projet'!$A$36,$K$205^A20,IF(A20='Données projet'!$A$36,'Données projet'!$B$36,N19+M20-V19)))</f>
        <v>15.206795479203771</v>
      </c>
      <c r="O20" s="14">
        <f>N20*VLOOKUP('Données projet'!$B$9,Paramètres!$A$1:$I$89,3,0)*VLOOKUP('Données projet'!$B$9,Paramètres!$A$1:$I$89,5,0)</f>
        <v>13.759108549583573</v>
      </c>
      <c r="P20" s="14">
        <f t="shared" si="33"/>
        <v>4.6731578539740832</v>
      </c>
      <c r="Q20" s="22">
        <f t="shared" si="2"/>
        <v>32.102863986196247</v>
      </c>
      <c r="R20" s="60">
        <f t="shared" si="0"/>
        <v>309.54730843064073</v>
      </c>
      <c r="S20" s="60">
        <f ca="1">AVERAGE(OFFSET($R$3,0,0,'Données projet'!$E$9+1,1))-AVERAGE(OFFSET($H$3,0,0,'Données projet'!$E$9+1,1))</f>
        <v>319.72731970820928</v>
      </c>
      <c r="T20" s="60">
        <f t="shared" si="34"/>
        <v>279.93992813630513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4.1500000000000004</v>
      </c>
      <c r="AI20" s="14">
        <f>IF('Données projet'!$A$62&gt;35,AI19+AH20-AQ19,IF(A20&lt;'Données projet'!$A$62,$AF$205^A20,IF(A20='Données projet'!$A$62,'Données projet'!$B$62,AI19+AH20-AQ19)))</f>
        <v>42.777596386505074</v>
      </c>
      <c r="AJ20" s="14">
        <f>AI20*VLOOKUP('Données projet'!$B$10,Paramètres!$A$1:$I$89,3,0)*VLOOKUP('Données projet'!$B$10,Paramètres!$A$1:$I$89,5,0)</f>
        <v>43.376482735916149</v>
      </c>
      <c r="AK20" s="14">
        <f t="shared" si="35"/>
        <v>12.889319644414702</v>
      </c>
      <c r="AL20" s="22">
        <f t="shared" si="4"/>
        <v>97.996272479076239</v>
      </c>
      <c r="AM20" s="60">
        <f t="shared" si="5"/>
        <v>375.44071692352071</v>
      </c>
      <c r="AN20" s="60">
        <f ca="1">AVERAGE(OFFSET($AM$3,0,0,'Données projet'!$E$10+1,1))-AVERAGE(OFFSET($H$3,0,0,'Données projet'!$E$10+1,1))</f>
        <v>505.64100207870439</v>
      </c>
      <c r="AO20" s="60">
        <f t="shared" si="36"/>
        <v>371.76229669709249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13.8</v>
      </c>
      <c r="BD20" s="13">
        <f>IF('Données projet'!$A$88&gt;35,BD19+BC20-BL19,IF(A20&lt;'Données projet'!$A$88,$BA$205^A20,IF(A20='Données projet'!$A$88,'Données projet'!$B$88,BD19+BC20-BL19)))</f>
        <v>60.599999999999994</v>
      </c>
      <c r="BE20" s="14">
        <f>BD20*VLOOKUP('Données projet'!$B$11,Paramètres!$A$1:$I$89,3,0)*VLOOKUP('Données projet'!$B$11,Paramètres!$A$1:$I$89,5,0)</f>
        <v>48.213360000000002</v>
      </c>
      <c r="BF20" s="14">
        <f t="shared" si="37"/>
        <v>14.151379520104694</v>
      </c>
      <c r="BG20" s="22">
        <f t="shared" si="7"/>
        <v>108.61858799751566</v>
      </c>
      <c r="BH20" s="60">
        <f t="shared" si="8"/>
        <v>386.0630324419601</v>
      </c>
      <c r="BI20" s="60">
        <f ca="1">AVERAGE(OFFSET($BH$3,0,0,'Données projet'!$E$11+1,1))-AVERAGE(OFFSET($H$3,0,0,'Données projet'!$E$11+1,1))</f>
        <v>353.26636241468884</v>
      </c>
      <c r="BJ20" s="60">
        <f t="shared" si="38"/>
        <v>345.4750813433123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10</v>
      </c>
      <c r="BY20" s="13">
        <f>IF('Données projet'!$A$114&gt;35,BY19+BX20-CG19,IF(A20&lt;'Données projet'!$A$114,$BV$205^A20,IF(A20='Données projet'!$A$114,'Données projet'!$B$114,BY19+BX20-CG19)))</f>
        <v>98.205128205128204</v>
      </c>
      <c r="BZ20" s="14">
        <f>BY20*VLOOKUP('Données projet'!$B$12,Paramètres!$A$1:$I$89,3,0)*VLOOKUP('Données projet'!$B$12,Paramètres!$A$1:$I$89,5,0)</f>
        <v>65.876000000000005</v>
      </c>
      <c r="CA20" s="14">
        <f t="shared" si="39"/>
        <v>18.64573198002007</v>
      </c>
      <c r="CB20" s="22">
        <f t="shared" si="10"/>
        <v>147.20868319853497</v>
      </c>
      <c r="CC20" s="60">
        <f t="shared" si="11"/>
        <v>424.65312764297943</v>
      </c>
      <c r="CD20" s="60">
        <f ca="1">AVERAGE(OFFSET($CC$3,0,0,'Données projet'!$E$12+1,1))-AVERAGE(OFFSET($H$3,0,0,'Données projet'!$E$12+1,1))</f>
        <v>362.1372269575329</v>
      </c>
      <c r="CE20" s="60">
        <f t="shared" si="40"/>
        <v>308.1559670593121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3.55</v>
      </c>
      <c r="CT20" s="13">
        <f>IF('Données projet'!$A$140&gt;35,CT19+CS20-DB19,IF(A20&lt;'Données projet'!$A$140,$CQ$205^A20,IF(A20='Données projet'!$A$140,'Données projet'!$B$140,CT19+CS20-DB19)))</f>
        <v>37.46015727498542</v>
      </c>
      <c r="CU20" s="18">
        <f>CT20*VLOOKUP('Données projet'!$B$13,Paramètres!$A$1:$I$89,3,0)*VLOOKUP('Données projet'!$B$13,Paramètres!$A$1:$I$89,5,0)</f>
        <v>40.322113290794306</v>
      </c>
      <c r="CV20" s="14">
        <f t="shared" si="41"/>
        <v>12.083983175650618</v>
      </c>
      <c r="CW20" s="22">
        <f t="shared" si="13"/>
        <v>91.27395134572491</v>
      </c>
      <c r="CX20" s="60">
        <f t="shared" si="14"/>
        <v>368.71839579016938</v>
      </c>
      <c r="CY20" s="60">
        <f ca="1">AVERAGE(OFFSET($CX$3,0,0,'Données projet'!$E$13+1,1))-AVERAGE(OFFSET($H$3,0,0,'Données projet'!$E$13+1,1))</f>
        <v>488.44916315274139</v>
      </c>
      <c r="CZ20" s="60">
        <f t="shared" si="42"/>
        <v>348.17941150148209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4.0628205128205126</v>
      </c>
      <c r="N21" s="14">
        <f>IF('Données projet'!$A$36&gt;35,N20+M21-V20,IF(A21&lt;'Données projet'!$A$36,$K$205^A21,IF(A21='Données projet'!$A$36,'Données projet'!$B$36,N20+M21-V20)))</f>
        <v>17.847168942782186</v>
      </c>
      <c r="O21" s="14">
        <f>N21*VLOOKUP('Données projet'!$B$9,Paramètres!$A$1:$I$89,3,0)*VLOOKUP('Données projet'!$B$9,Paramètres!$A$1:$I$89,5,0)</f>
        <v>16.148118459429323</v>
      </c>
      <c r="P21" s="14">
        <f t="shared" si="33"/>
        <v>5.3833002038747271</v>
      </c>
      <c r="Q21" s="22">
        <f t="shared" si="2"/>
        <v>37.500554171921223</v>
      </c>
      <c r="R21" s="60">
        <f t="shared" si="0"/>
        <v>316.16722083858792</v>
      </c>
      <c r="S21" s="60">
        <f ca="1">AVERAGE(OFFSET($R$3,0,0,'Données projet'!$E$9+1,1))-AVERAGE(OFFSET($H$3,0,0,'Données projet'!$E$9+1,1))</f>
        <v>319.72731970820928</v>
      </c>
      <c r="T21" s="60">
        <f t="shared" si="34"/>
        <v>279.93992813630513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4.1500000000000004</v>
      </c>
      <c r="AI21" s="14">
        <f>IF('Données projet'!$A$62&gt;35,AI20+AH21-AQ20,IF(A21&lt;'Données projet'!$A$62,$AF$205^A21,IF(A21='Données projet'!$A$62,'Données projet'!$B$62,AI20+AH21-AQ20)))</f>
        <v>53.354405252377298</v>
      </c>
      <c r="AJ21" s="14">
        <f>AI21*VLOOKUP('Données projet'!$B$10,Paramètres!$A$1:$I$89,3,0)*VLOOKUP('Données projet'!$B$10,Paramètres!$A$1:$I$89,5,0)</f>
        <v>54.101366925910582</v>
      </c>
      <c r="AK21" s="14">
        <f t="shared" si="35"/>
        <v>15.668046943715671</v>
      </c>
      <c r="AL21" s="22">
        <f t="shared" si="4"/>
        <v>121.51506248959903</v>
      </c>
      <c r="AM21" s="60">
        <f t="shared" si="5"/>
        <v>400.1817291562657</v>
      </c>
      <c r="AN21" s="60">
        <f ca="1">AVERAGE(OFFSET($AM$3,0,0,'Données projet'!$E$10+1,1))-AVERAGE(OFFSET($H$3,0,0,'Données projet'!$E$10+1,1))</f>
        <v>505.64100207870439</v>
      </c>
      <c r="AO21" s="60">
        <f t="shared" si="36"/>
        <v>371.76229669709249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13.8</v>
      </c>
      <c r="BD21" s="13">
        <f>IF('Données projet'!$A$88&gt;35,BD20+BC21-BL20,IF(A21&lt;'Données projet'!$A$88,$BA$205^A21,IF(A21='Données projet'!$A$88,'Données projet'!$B$88,BD20+BC21-BL20)))</f>
        <v>74.399999999999991</v>
      </c>
      <c r="BE21" s="14">
        <f>BD21*VLOOKUP('Données projet'!$B$11,Paramètres!$A$1:$I$89,3,0)*VLOOKUP('Données projet'!$B$11,Paramètres!$A$1:$I$89,5,0)</f>
        <v>59.192639999999997</v>
      </c>
      <c r="BF21" s="14">
        <f t="shared" si="37"/>
        <v>16.963982408330725</v>
      </c>
      <c r="BG21" s="22">
        <f t="shared" si="7"/>
        <v>132.63945069450935</v>
      </c>
      <c r="BH21" s="60">
        <f t="shared" si="8"/>
        <v>411.30611736117601</v>
      </c>
      <c r="BI21" s="60">
        <f ca="1">AVERAGE(OFFSET($BH$3,0,0,'Données projet'!$E$11+1,1))-AVERAGE(OFFSET($H$3,0,0,'Données projet'!$E$11+1,1))</f>
        <v>353.26636241468884</v>
      </c>
      <c r="BJ21" s="60">
        <f t="shared" si="38"/>
        <v>345.4750813433123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10</v>
      </c>
      <c r="BY21" s="13">
        <f>IF('Données projet'!$A$114&gt;35,BY20+BX21-CG20,IF(A21&lt;'Données projet'!$A$114,$BV$205^A21,IF(A21='Données projet'!$A$114,'Données projet'!$B$114,BY20+BX21-CG20)))</f>
        <v>108.2051282051282</v>
      </c>
      <c r="BZ21" s="14">
        <f>BY21*VLOOKUP('Données projet'!$B$12,Paramètres!$A$1:$I$89,3,0)*VLOOKUP('Données projet'!$B$12,Paramètres!$A$1:$I$89,5,0)</f>
        <v>72.584000000000003</v>
      </c>
      <c r="CA21" s="14">
        <f t="shared" si="39"/>
        <v>20.313795787810648</v>
      </c>
      <c r="CB21" s="22">
        <f t="shared" si="10"/>
        <v>161.79699433043689</v>
      </c>
      <c r="CC21" s="60">
        <f t="shared" si="11"/>
        <v>440.4636609971036</v>
      </c>
      <c r="CD21" s="60">
        <f ca="1">AVERAGE(OFFSET($CC$3,0,0,'Données projet'!$E$12+1,1))-AVERAGE(OFFSET($H$3,0,0,'Données projet'!$E$12+1,1))</f>
        <v>362.1372269575329</v>
      </c>
      <c r="CE21" s="60">
        <f t="shared" si="40"/>
        <v>308.1559670593121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3.55</v>
      </c>
      <c r="CT21" s="13">
        <f>IF('Données projet'!$A$140&gt;35,CT20+CS21-DB20,IF(A21&lt;'Données projet'!$A$140,$CQ$205^A21,IF(A21='Données projet'!$A$140,'Données projet'!$B$140,CT20+CS21-DB20)))</f>
        <v>46.358835027968098</v>
      </c>
      <c r="CU21" s="18">
        <f>CT21*VLOOKUP('Données projet'!$B$13,Paramètres!$A$1:$I$89,3,0)*VLOOKUP('Données projet'!$B$13,Paramètres!$A$1:$I$89,5,0)</f>
        <v>49.900650024104856</v>
      </c>
      <c r="CV21" s="14">
        <f t="shared" si="41"/>
        <v>14.588099129612653</v>
      </c>
      <c r="CW21" s="22">
        <f t="shared" si="13"/>
        <v>112.31790477605797</v>
      </c>
      <c r="CX21" s="60">
        <f t="shared" si="14"/>
        <v>390.98457144272464</v>
      </c>
      <c r="CY21" s="60">
        <f ca="1">AVERAGE(OFFSET($CX$3,0,0,'Données projet'!$E$13+1,1))-AVERAGE(OFFSET($H$3,0,0,'Données projet'!$E$13+1,1))</f>
        <v>488.44916315274139</v>
      </c>
      <c r="CZ21" s="60">
        <f t="shared" si="42"/>
        <v>348.17941150148209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4.0628205128205126</v>
      </c>
      <c r="N22" s="14">
        <f>IF('Données projet'!$A$36&gt;35,N21+M22-V21,IF(A22&lt;'Données projet'!$A$36,$K$205^A22,IF(A22='Données projet'!$A$36,'Données projet'!$B$36,N21+M22-V21)))</f>
        <v>20.945993500590358</v>
      </c>
      <c r="O22" s="14">
        <f>N22*VLOOKUP('Données projet'!$B$9,Paramètres!$A$1:$I$89,3,0)*VLOOKUP('Données projet'!$B$9,Paramètres!$A$1:$I$89,5,0)</f>
        <v>18.951934919334153</v>
      </c>
      <c r="P22" s="14">
        <f t="shared" si="33"/>
        <v>6.2013571958398481</v>
      </c>
      <c r="Q22" s="22">
        <f t="shared" si="2"/>
        <v>43.808650433928051</v>
      </c>
      <c r="R22" s="60">
        <f t="shared" si="0"/>
        <v>323.69753932281691</v>
      </c>
      <c r="S22" s="60">
        <f ca="1">AVERAGE(OFFSET($R$3,0,0,'Données projet'!$E$9+1,1))-AVERAGE(OFFSET($H$3,0,0,'Données projet'!$E$9+1,1))</f>
        <v>319.72731970820928</v>
      </c>
      <c r="T22" s="60">
        <f t="shared" si="34"/>
        <v>279.93992813630513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4.1500000000000004</v>
      </c>
      <c r="AI22" s="14">
        <f>IF('Données projet'!$A$62&gt;35,AI21+AH22-AQ21,IF(A22&lt;'Données projet'!$A$62,$AF$205^A22,IF(A22='Données projet'!$A$62,'Données projet'!$B$62,AI21+AH22-AQ21)))</f>
        <v>66.54634201777975</v>
      </c>
      <c r="AJ22" s="14">
        <f>AI22*VLOOKUP('Données projet'!$B$10,Paramètres!$A$1:$I$89,3,0)*VLOOKUP('Données projet'!$B$10,Paramètres!$A$1:$I$89,5,0)</f>
        <v>67.477990806028671</v>
      </c>
      <c r="AK22" s="14">
        <f t="shared" si="35"/>
        <v>19.045822572710776</v>
      </c>
      <c r="AL22" s="22">
        <f t="shared" si="4"/>
        <v>150.69564163463787</v>
      </c>
      <c r="AM22" s="60">
        <f t="shared" si="5"/>
        <v>430.58453052352672</v>
      </c>
      <c r="AN22" s="60">
        <f ca="1">AVERAGE(OFFSET($AM$3,0,0,'Données projet'!$E$10+1,1))-AVERAGE(OFFSET($H$3,0,0,'Données projet'!$E$10+1,1))</f>
        <v>505.64100207870439</v>
      </c>
      <c r="AO22" s="60">
        <f t="shared" si="36"/>
        <v>371.76229669709249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13.8</v>
      </c>
      <c r="BD22" s="13">
        <f>IF('Données projet'!$A$88&gt;35,BD21+BC22-BL21,IF(A22&lt;'Données projet'!$A$88,$BA$205^A22,IF(A22='Données projet'!$A$88,'Données projet'!$B$88,BD21+BC22-BL21)))</f>
        <v>88.199999999999989</v>
      </c>
      <c r="BE22" s="14">
        <f>BD22*VLOOKUP('Données projet'!$B$11,Paramètres!$A$1:$I$89,3,0)*VLOOKUP('Données projet'!$B$11,Paramètres!$A$1:$I$89,5,0)</f>
        <v>70.171919999999986</v>
      </c>
      <c r="BF22" s="14">
        <f t="shared" si="37"/>
        <v>19.716145269554726</v>
      </c>
      <c r="BG22" s="22">
        <f t="shared" si="7"/>
        <v>156.55504701114111</v>
      </c>
      <c r="BH22" s="60">
        <f t="shared" si="8"/>
        <v>436.44393590002994</v>
      </c>
      <c r="BI22" s="60">
        <f ca="1">AVERAGE(OFFSET($BH$3,0,0,'Données projet'!$E$11+1,1))-AVERAGE(OFFSET($H$3,0,0,'Données projet'!$E$11+1,1))</f>
        <v>353.26636241468884</v>
      </c>
      <c r="BJ22" s="60">
        <f t="shared" si="38"/>
        <v>345.4750813433123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10</v>
      </c>
      <c r="BY22" s="13">
        <f>IF('Données projet'!$A$114&gt;35,BY21+BX22-CG21,IF(A22&lt;'Données projet'!$A$114,$BV$205^A22,IF(A22='Données projet'!$A$114,'Données projet'!$B$114,BY21+BX22-CG21)))</f>
        <v>118.2051282051282</v>
      </c>
      <c r="BZ22" s="14">
        <f>BY22*VLOOKUP('Données projet'!$B$12,Paramètres!$A$1:$I$89,3,0)*VLOOKUP('Données projet'!$B$12,Paramètres!$A$1:$I$89,5,0)</f>
        <v>79.292000000000002</v>
      </c>
      <c r="CA22" s="14">
        <f t="shared" si="39"/>
        <v>21.96398498934548</v>
      </c>
      <c r="CB22" s="22">
        <f t="shared" si="10"/>
        <v>176.35417385644337</v>
      </c>
      <c r="CC22" s="60">
        <f t="shared" si="11"/>
        <v>456.24306274533222</v>
      </c>
      <c r="CD22" s="60">
        <f ca="1">AVERAGE(OFFSET($CC$3,0,0,'Données projet'!$E$12+1,1))-AVERAGE(OFFSET($H$3,0,0,'Données projet'!$E$12+1,1))</f>
        <v>362.1372269575329</v>
      </c>
      <c r="CE22" s="60">
        <f t="shared" si="40"/>
        <v>308.1559670593121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3.55</v>
      </c>
      <c r="CT22" s="13">
        <f>IF('Données projet'!$A$140&gt;35,CT21+CS22-DB21,IF(A22&lt;'Données projet'!$A$140,$CQ$205^A22,IF(A22='Données projet'!$A$140,'Données projet'!$B$140,CT21+CS22-DB21)))</f>
        <v>57.371397812723103</v>
      </c>
      <c r="CU22" s="18">
        <f>CT22*VLOOKUP('Données projet'!$B$13,Paramètres!$A$1:$I$89,3,0)*VLOOKUP('Données projet'!$B$13,Paramètres!$A$1:$I$89,5,0)</f>
        <v>61.754572605615145</v>
      </c>
      <c r="CV22" s="14">
        <f t="shared" si="41"/>
        <v>17.611133110829353</v>
      </c>
      <c r="CW22" s="22">
        <f t="shared" si="13"/>
        <v>138.22860412280747</v>
      </c>
      <c r="CX22" s="60">
        <f t="shared" si="14"/>
        <v>418.1174930116963</v>
      </c>
      <c r="CY22" s="60">
        <f ca="1">AVERAGE(OFFSET($CX$3,0,0,'Données projet'!$E$13+1,1))-AVERAGE(OFFSET($H$3,0,0,'Données projet'!$E$13+1,1))</f>
        <v>488.44916315274139</v>
      </c>
      <c r="CZ22" s="60">
        <f t="shared" si="42"/>
        <v>348.17941150148209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4.0628205128205126</v>
      </c>
      <c r="N23" s="14">
        <f>IF('Données projet'!$A$36&gt;35,N22+M23-V22,IF(A23&lt;'Données projet'!$A$36,$K$205^A23,IF(A23='Données projet'!$A$36,'Données projet'!$B$36,N22+M23-V22)))</f>
        <v>24.582870545650774</v>
      </c>
      <c r="O23" s="14">
        <f>N23*VLOOKUP('Données projet'!$B$9,Paramètres!$A$1:$I$89,3,0)*VLOOKUP('Données projet'!$B$9,Paramètres!$A$1:$I$89,5,0)</f>
        <v>22.242581269704818</v>
      </c>
      <c r="P23" s="14">
        <f t="shared" si="33"/>
        <v>7.1437277532311274</v>
      </c>
      <c r="Q23" s="22">
        <f t="shared" si="2"/>
        <v>51.181154881613445</v>
      </c>
      <c r="R23" s="60">
        <f t="shared" si="0"/>
        <v>332.29226599272459</v>
      </c>
      <c r="S23" s="60">
        <f ca="1">AVERAGE(OFFSET($R$3,0,0,'Données projet'!$E$9+1,1))-AVERAGE(OFFSET($H$3,0,0,'Données projet'!$E$9+1,1))</f>
        <v>319.72731970820928</v>
      </c>
      <c r="T23" s="60">
        <f t="shared" si="34"/>
        <v>279.93992813630513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83</v>
      </c>
      <c r="AG23" s="13">
        <f>VLOOKUP(A23,'Données projet'!$A$61:$I$81,9,0)</f>
        <v>4.1500000000000004</v>
      </c>
      <c r="AH23" s="13">
        <f t="array" ref="AH23">INDEX(AG:AG,MIN(IF(ISNUMBER(AG23:AG219),ROW(AG23:AG219),"")))</f>
        <v>4.1500000000000004</v>
      </c>
      <c r="AI23" s="14">
        <f>IF('Données projet'!$A$62&gt;35,AI22+AH23-AQ22,IF(A23&lt;'Données projet'!$A$62,$AF$205^A23,IF(A23='Données projet'!$A$62,'Données projet'!$B$62,AI22+AH23-AQ22)))</f>
        <v>83</v>
      </c>
      <c r="AJ23" s="14">
        <f>AI23*VLOOKUP('Données projet'!$B$10,Paramètres!$A$1:$I$89,3,0)*VLOOKUP('Données projet'!$B$10,Paramètres!$A$1:$I$89,5,0)</f>
        <v>84.162000000000006</v>
      </c>
      <c r="AK23" s="14">
        <f t="shared" si="35"/>
        <v>23.151791590506594</v>
      </c>
      <c r="AL23" s="22">
        <f t="shared" si="4"/>
        <v>186.90485368679899</v>
      </c>
      <c r="AM23" s="60">
        <f t="shared" si="5"/>
        <v>468.0159647979101</v>
      </c>
      <c r="AN23" s="60">
        <f ca="1">AVERAGE(OFFSET($AM$3,0,0,'Données projet'!$E$10+1,1))-AVERAGE(OFFSET($H$3,0,0,'Données projet'!$E$10+1,1))</f>
        <v>505.64100207870439</v>
      </c>
      <c r="AO23" s="60">
        <f t="shared" si="36"/>
        <v>371.76229669709249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102</v>
      </c>
      <c r="BB23" s="13">
        <f>VLOOKUP(A23,'Données projet'!$A$87:$I$107,9,0)</f>
        <v>13.8</v>
      </c>
      <c r="BC23" s="13">
        <f t="array" ref="BC23">INDEX(BB:BB,MIN(IF(ISNUMBER(BB23:BB219),ROW(BB23:BB219),"")))</f>
        <v>13.8</v>
      </c>
      <c r="BD23" s="13">
        <f>IF('Données projet'!$A$88&gt;35,BD22+BC23-BL22,IF(A23&lt;'Données projet'!$A$88,$BA$205^A23,IF(A23='Données projet'!$A$88,'Données projet'!$B$88,BD22+BC23-BL22)))</f>
        <v>101.99999999999999</v>
      </c>
      <c r="BE23" s="14">
        <f>BD23*VLOOKUP('Données projet'!$B$11,Paramètres!$A$1:$I$89,3,0)*VLOOKUP('Données projet'!$B$11,Paramètres!$A$1:$I$89,5,0)</f>
        <v>81.151200000000003</v>
      </c>
      <c r="BF23" s="14">
        <f t="shared" si="37"/>
        <v>22.418424032002342</v>
      </c>
      <c r="BG23" s="22">
        <f t="shared" si="7"/>
        <v>180.38376185573739</v>
      </c>
      <c r="BH23" s="60">
        <f t="shared" si="8"/>
        <v>461.49487296684856</v>
      </c>
      <c r="BI23" s="60">
        <f ca="1">AVERAGE(OFFSET($BH$3,0,0,'Données projet'!$E$11+1,1))-AVERAGE(OFFSET($H$3,0,0,'Données projet'!$E$11+1,1))</f>
        <v>353.26636241468884</v>
      </c>
      <c r="BJ23" s="60">
        <f t="shared" si="38"/>
        <v>345.4750813433123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35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128.2051282051282</v>
      </c>
      <c r="BW23" s="13">
        <f>VLOOKUP(A23,'Données projet'!$A$113:$I$133,9,0)</f>
        <v>10</v>
      </c>
      <c r="BX23" s="13">
        <f t="array" ref="BX23">INDEX(BW:BW,MIN(IF(ISNUMBER(BW23:BW219),ROW(BW23:BW219),"")))</f>
        <v>10</v>
      </c>
      <c r="BY23" s="13">
        <f>IF('Données projet'!$A$114&gt;35,BY22+BX23-CG22,IF(A23&lt;'Données projet'!$A$114,$BV$205^A23,IF(A23='Données projet'!$A$114,'Données projet'!$B$114,BY22+BX23-CG22)))</f>
        <v>128.2051282051282</v>
      </c>
      <c r="BZ23" s="14">
        <f>BY23*VLOOKUP('Données projet'!$B$12,Paramètres!$A$1:$I$89,3,0)*VLOOKUP('Données projet'!$B$12,Paramètres!$A$1:$I$89,5,0)</f>
        <v>86</v>
      </c>
      <c r="CA23" s="14">
        <f t="shared" si="39"/>
        <v>23.597983677077231</v>
      </c>
      <c r="CB23" s="22">
        <f t="shared" si="10"/>
        <v>190.88315490424284</v>
      </c>
      <c r="CC23" s="60">
        <f t="shared" si="11"/>
        <v>471.99426601535401</v>
      </c>
      <c r="CD23" s="60">
        <f ca="1">AVERAGE(OFFSET($CC$3,0,0,'Données projet'!$E$12+1,1))-AVERAGE(OFFSET($H$3,0,0,'Données projet'!$E$12+1,1))</f>
        <v>362.1372269575329</v>
      </c>
      <c r="CE23" s="60">
        <f t="shared" si="40"/>
        <v>308.1559670593121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39.102564102564102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71</v>
      </c>
      <c r="CR23" s="13">
        <f>VLOOKUP(A23,'Données projet'!$A$139:$I$159,9,0)</f>
        <v>3.55</v>
      </c>
      <c r="CS23" s="13">
        <f t="array" ref="CS23">INDEX(CR:CR,MIN(IF(ISNUMBER(CR23:CR219),ROW(CR23:CR219),"")))</f>
        <v>3.55</v>
      </c>
      <c r="CT23" s="13">
        <f>IF('Données projet'!$A$140&gt;35,CT22+CS23-DB22,IF(A23&lt;'Données projet'!$A$140,$CQ$205^A23,IF(A23='Données projet'!$A$140,'Données projet'!$B$140,CT22+CS23-DB22)))</f>
        <v>71</v>
      </c>
      <c r="CU23" s="18">
        <f>CT23*VLOOKUP('Données projet'!$B$13,Paramètres!$A$1:$I$89,3,0)*VLOOKUP('Données projet'!$B$13,Paramètres!$A$1:$I$89,5,0)</f>
        <v>76.424399999999991</v>
      </c>
      <c r="CV23" s="14">
        <f t="shared" si="41"/>
        <v>21.260618446015851</v>
      </c>
      <c r="CW23" s="22">
        <f t="shared" si="13"/>
        <v>170.13474046014426</v>
      </c>
      <c r="CX23" s="60">
        <f t="shared" si="14"/>
        <v>451.2458515712554</v>
      </c>
      <c r="CY23" s="60">
        <f ca="1">AVERAGE(OFFSET($CX$3,0,0,'Données projet'!$E$13+1,1))-AVERAGE(OFFSET($H$3,0,0,'Données projet'!$E$13+1,1))</f>
        <v>488.44916315274139</v>
      </c>
      <c r="CZ23" s="60">
        <f t="shared" si="42"/>
        <v>348.17941150148209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18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4.0628205128205126</v>
      </c>
      <c r="N24" s="14">
        <f>IF('Données projet'!$A$36&gt;35,N23+M24-V23,IF(A24&lt;'Données projet'!$A$36,$K$205^A24,IF(A24='Données projet'!$A$36,'Données projet'!$B$36,N23+M24-V23)))</f>
        <v>28.851222752799568</v>
      </c>
      <c r="O24" s="14">
        <f>N24*VLOOKUP('Données projet'!$B$9,Paramètres!$A$1:$I$89,3,0)*VLOOKUP('Données projet'!$B$9,Paramètres!$A$1:$I$89,5,0)</f>
        <v>26.104586346733051</v>
      </c>
      <c r="P24" s="14">
        <f t="shared" si="33"/>
        <v>8.2293028123778775</v>
      </c>
      <c r="Q24" s="22">
        <f t="shared" si="2"/>
        <v>59.798190285451518</v>
      </c>
      <c r="R24" s="60">
        <f t="shared" si="0"/>
        <v>342.13152361878485</v>
      </c>
      <c r="S24" s="60">
        <f ca="1">AVERAGE(OFFSET($R$3,0,0,'Données projet'!$E$9+1,1))-AVERAGE(OFFSET($H$3,0,0,'Données projet'!$E$9+1,1))</f>
        <v>319.72731970820928</v>
      </c>
      <c r="T24" s="60">
        <f t="shared" si="34"/>
        <v>279.93992813630513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8.8000000000000007</v>
      </c>
      <c r="AI24" s="14">
        <f>IF('Données projet'!$A$62&gt;35,AI23+AH24-AQ23,IF(A24&lt;'Données projet'!$A$62,$AF$205^A24,IF(A24='Données projet'!$A$62,'Données projet'!$B$62,AI23+AH24-AQ23)))</f>
        <v>68.8</v>
      </c>
      <c r="AJ24" s="14">
        <f>AI24*VLOOKUP('Données projet'!$B$10,Paramètres!$A$1:$I$89,3,0)*VLOOKUP('Données projet'!$B$10,Paramètres!$A$1:$I$89,5,0)</f>
        <v>69.763199999999998</v>
      </c>
      <c r="AK24" s="14">
        <f t="shared" si="35"/>
        <v>19.614640193079413</v>
      </c>
      <c r="AL24" s="22">
        <f t="shared" si="4"/>
        <v>155.66640500294662</v>
      </c>
      <c r="AM24" s="60">
        <f t="shared" si="5"/>
        <v>437.99973833627996</v>
      </c>
      <c r="AN24" s="60">
        <f ca="1">AVERAGE(OFFSET($AM$3,0,0,'Données projet'!$E$10+1,1))-AVERAGE(OFFSET($H$3,0,0,'Données projet'!$E$10+1,1))</f>
        <v>505.64100207870439</v>
      </c>
      <c r="AO24" s="60">
        <f t="shared" si="36"/>
        <v>371.76229669709249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14.8</v>
      </c>
      <c r="BD24" s="13">
        <f>IF('Données projet'!$A$88&gt;35,BD23+BC24-BL23,IF(A24&lt;'Données projet'!$A$88,$BA$205^A24,IF(A24='Données projet'!$A$88,'Données projet'!$B$88,BD23+BC24-BL23)))</f>
        <v>81.799999999999983</v>
      </c>
      <c r="BE24" s="14">
        <f>BD24*VLOOKUP('Données projet'!$B$11,Paramètres!$A$1:$I$89,3,0)*VLOOKUP('Données projet'!$B$11,Paramètres!$A$1:$I$89,5,0)</f>
        <v>65.080079999999981</v>
      </c>
      <c r="BF24" s="14">
        <f t="shared" si="37"/>
        <v>18.44653442602603</v>
      </c>
      <c r="BG24" s="22">
        <f t="shared" si="7"/>
        <v>145.47552012532864</v>
      </c>
      <c r="BH24" s="60">
        <f t="shared" si="8"/>
        <v>427.80885345866193</v>
      </c>
      <c r="BI24" s="60">
        <f ca="1">AVERAGE(OFFSET($BH$3,0,0,'Données projet'!$E$11+1,1))-AVERAGE(OFFSET($H$3,0,0,'Données projet'!$E$11+1,1))</f>
        <v>353.26636241468884</v>
      </c>
      <c r="BJ24" s="60">
        <f t="shared" si="38"/>
        <v>345.4750813433123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9.7435897435897427</v>
      </c>
      <c r="BY24" s="13">
        <f>IF('Données projet'!$A$114&gt;35,BY23+BX24-CG23,IF(A24&lt;'Données projet'!$A$114,$BV$205^A24,IF(A24='Données projet'!$A$114,'Données projet'!$B$114,BY23+BX24-CG23)))</f>
        <v>98.846153846153854</v>
      </c>
      <c r="BZ24" s="14">
        <f>BY24*VLOOKUP('Données projet'!$B$12,Paramètres!$A$1:$I$89,3,0)*VLOOKUP('Données projet'!$B$12,Paramètres!$A$1:$I$89,5,0)</f>
        <v>66.305999999999997</v>
      </c>
      <c r="CA24" s="14">
        <f t="shared" si="39"/>
        <v>18.753232796006525</v>
      </c>
      <c r="CB24" s="22">
        <f t="shared" si="10"/>
        <v>148.1448304530447</v>
      </c>
      <c r="CC24" s="60">
        <f t="shared" si="11"/>
        <v>430.47816378637799</v>
      </c>
      <c r="CD24" s="60">
        <f ca="1">AVERAGE(OFFSET($CC$3,0,0,'Données projet'!$E$12+1,1))-AVERAGE(OFFSET($H$3,0,0,'Données projet'!$E$12+1,1))</f>
        <v>362.1372269575329</v>
      </c>
      <c r="CE24" s="60">
        <f t="shared" si="40"/>
        <v>308.1559670593121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7.6</v>
      </c>
      <c r="CT24" s="13">
        <f>IF('Données projet'!$A$140&gt;35,CT23+CS24-DB23,IF(A24&lt;'Données projet'!$A$140,$CQ$205^A24,IF(A24='Données projet'!$A$140,'Données projet'!$B$140,CT23+CS24-DB23)))</f>
        <v>60.599999999999994</v>
      </c>
      <c r="CU24" s="18">
        <f>CT24*VLOOKUP('Données projet'!$B$13,Paramètres!$A$1:$I$89,3,0)*VLOOKUP('Données projet'!$B$13,Paramètres!$A$1:$I$89,5,0)</f>
        <v>65.229839999999996</v>
      </c>
      <c r="CV24" s="14">
        <f t="shared" si="41"/>
        <v>18.484036918184813</v>
      </c>
      <c r="CW24" s="22">
        <f t="shared" si="13"/>
        <v>145.80166896583853</v>
      </c>
      <c r="CX24" s="60">
        <f t="shared" si="14"/>
        <v>428.13500229917184</v>
      </c>
      <c r="CY24" s="60">
        <f ca="1">AVERAGE(OFFSET($CX$3,0,0,'Données projet'!$E$13+1,1))-AVERAGE(OFFSET($H$3,0,0,'Données projet'!$E$13+1,1))</f>
        <v>488.44916315274139</v>
      </c>
      <c r="CZ24" s="60">
        <f t="shared" si="42"/>
        <v>348.17941150148209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4.0628205128205126</v>
      </c>
      <c r="N25" s="14">
        <f>IF('Données projet'!$A$36&gt;35,N24+M25-V24,IF(A25&lt;'Données projet'!$A$36,$K$205^A25,IF(A25='Données projet'!$A$36,'Données projet'!$B$36,N24+M25-V24)))</f>
        <v>33.860693883812012</v>
      </c>
      <c r="O25" s="14">
        <f>N25*VLOOKUP('Données projet'!$B$9,Paramètres!$A$1:$I$89,3,0)*VLOOKUP('Données projet'!$B$9,Paramètres!$A$1:$I$89,5,0)</f>
        <v>30.637155826073108</v>
      </c>
      <c r="P25" s="14">
        <f t="shared" si="33"/>
        <v>9.4798440138175533</v>
      </c>
      <c r="Q25" s="22">
        <f t="shared" si="2"/>
        <v>69.870441387809549</v>
      </c>
      <c r="R25" s="60">
        <f t="shared" si="0"/>
        <v>353.42599694336508</v>
      </c>
      <c r="S25" s="60">
        <f ca="1">AVERAGE(OFFSET($R$3,0,0,'Données projet'!$E$9+1,1))-AVERAGE(OFFSET($H$3,0,0,'Données projet'!$E$9+1,1))</f>
        <v>319.72731970820928</v>
      </c>
      <c r="T25" s="60">
        <f t="shared" si="34"/>
        <v>279.93992813630513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8.8000000000000007</v>
      </c>
      <c r="AI25" s="14">
        <f>IF('Données projet'!$A$62&gt;35,AI24+AH25-AQ24,IF(A25&lt;'Données projet'!$A$62,$AF$205^A25,IF(A25='Données projet'!$A$62,'Données projet'!$B$62,AI24+AH25-AQ24)))</f>
        <v>77.599999999999994</v>
      </c>
      <c r="AJ25" s="14">
        <f>AI25*VLOOKUP('Données projet'!$B$10,Paramètres!$A$1:$I$89,3,0)*VLOOKUP('Données projet'!$B$10,Paramètres!$A$1:$I$89,5,0)</f>
        <v>78.686400000000006</v>
      </c>
      <c r="AK25" s="14">
        <f t="shared" si="35"/>
        <v>21.815693271997169</v>
      </c>
      <c r="AL25" s="22">
        <f t="shared" si="4"/>
        <v>175.04114578206176</v>
      </c>
      <c r="AM25" s="60">
        <f t="shared" si="5"/>
        <v>458.59670133761733</v>
      </c>
      <c r="AN25" s="60">
        <f ca="1">AVERAGE(OFFSET($AM$3,0,0,'Données projet'!$E$10+1,1))-AVERAGE(OFFSET($H$3,0,0,'Données projet'!$E$10+1,1))</f>
        <v>505.64100207870439</v>
      </c>
      <c r="AO25" s="60">
        <f t="shared" si="36"/>
        <v>371.76229669709249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14.8</v>
      </c>
      <c r="BD25" s="13">
        <f>IF('Données projet'!$A$88&gt;35,BD24+BC25-BL24,IF(A25&lt;'Données projet'!$A$88,$BA$205^A25,IF(A25='Données projet'!$A$88,'Données projet'!$B$88,BD24+BC25-BL24)))</f>
        <v>96.59999999999998</v>
      </c>
      <c r="BE25" s="14">
        <f>BD25*VLOOKUP('Données projet'!$B$11,Paramètres!$A$1:$I$89,3,0)*VLOOKUP('Données projet'!$B$11,Paramètres!$A$1:$I$89,5,0)</f>
        <v>76.854959999999991</v>
      </c>
      <c r="BF25" s="14">
        <f t="shared" si="37"/>
        <v>21.366419773799993</v>
      </c>
      <c r="BG25" s="22">
        <f t="shared" si="7"/>
        <v>171.06890310603498</v>
      </c>
      <c r="BH25" s="60">
        <f t="shared" si="8"/>
        <v>454.62445866159055</v>
      </c>
      <c r="BI25" s="60">
        <f ca="1">AVERAGE(OFFSET($BH$3,0,0,'Données projet'!$E$11+1,1))-AVERAGE(OFFSET($H$3,0,0,'Données projet'!$E$11+1,1))</f>
        <v>353.26636241468884</v>
      </c>
      <c r="BJ25" s="60">
        <f t="shared" si="38"/>
        <v>345.4750813433123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9.7435897435897427</v>
      </c>
      <c r="BY25" s="13">
        <f>IF('Données projet'!$A$114&gt;35,BY24+BX25-CG24,IF(A25&lt;'Données projet'!$A$114,$BV$205^A25,IF(A25='Données projet'!$A$114,'Données projet'!$B$114,BY24+BX25-CG24)))</f>
        <v>108.58974358974359</v>
      </c>
      <c r="BZ25" s="14">
        <f>BY25*VLOOKUP('Données projet'!$B$12,Paramètres!$A$1:$I$89,3,0)*VLOOKUP('Données projet'!$B$12,Paramètres!$A$1:$I$89,5,0)</f>
        <v>72.841999999999999</v>
      </c>
      <c r="CA25" s="14">
        <f t="shared" si="39"/>
        <v>20.377583329250708</v>
      </c>
      <c r="CB25" s="22">
        <f t="shared" si="10"/>
        <v>162.35744096511164</v>
      </c>
      <c r="CC25" s="60">
        <f t="shared" si="11"/>
        <v>445.91299652066721</v>
      </c>
      <c r="CD25" s="60">
        <f ca="1">AVERAGE(OFFSET($CC$3,0,0,'Données projet'!$E$12+1,1))-AVERAGE(OFFSET($H$3,0,0,'Données projet'!$E$12+1,1))</f>
        <v>362.1372269575329</v>
      </c>
      <c r="CE25" s="60">
        <f t="shared" si="40"/>
        <v>308.1559670593121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7.6</v>
      </c>
      <c r="CT25" s="13">
        <f>IF('Données projet'!$A$140&gt;35,CT24+CS25-DB24,IF(A25&lt;'Données projet'!$A$140,$CQ$205^A25,IF(A25='Données projet'!$A$140,'Données projet'!$B$140,CT24+CS25-DB24)))</f>
        <v>68.199999999999989</v>
      </c>
      <c r="CU25" s="18">
        <f>CT25*VLOOKUP('Données projet'!$B$13,Paramètres!$A$1:$I$89,3,0)*VLOOKUP('Données projet'!$B$13,Paramètres!$A$1:$I$89,5,0)</f>
        <v>73.410479999999978</v>
      </c>
      <c r="CV25" s="14">
        <f t="shared" si="41"/>
        <v>20.518040843686396</v>
      </c>
      <c r="CW25" s="22">
        <f t="shared" si="13"/>
        <v>163.59217380275376</v>
      </c>
      <c r="CX25" s="60">
        <f t="shared" si="14"/>
        <v>447.14772935830933</v>
      </c>
      <c r="CY25" s="60">
        <f ca="1">AVERAGE(OFFSET($CX$3,0,0,'Données projet'!$E$13+1,1))-AVERAGE(OFFSET($H$3,0,0,'Données projet'!$E$13+1,1))</f>
        <v>488.44916315274139</v>
      </c>
      <c r="CZ25" s="60">
        <f t="shared" si="42"/>
        <v>348.17941150148209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4.0628205128205126</v>
      </c>
      <c r="N26" s="14">
        <f>IF('Données projet'!$A$36&gt;35,N25+M26-V25,IF(A26&lt;'Données projet'!$A$36,$K$205^A26,IF(A26='Données projet'!$A$36,'Données projet'!$B$36,N25+M26-V25)))</f>
        <v>39.739965273463824</v>
      </c>
      <c r="O26" s="14">
        <f>N26*VLOOKUP('Données projet'!$B$9,Paramètres!$A$1:$I$89,3,0)*VLOOKUP('Données projet'!$B$9,Paramètres!$A$1:$I$89,5,0)</f>
        <v>35.956720579430062</v>
      </c>
      <c r="P26" s="14">
        <f t="shared" si="33"/>
        <v>10.920419940209383</v>
      </c>
      <c r="Q26" s="22">
        <f t="shared" si="2"/>
        <v>81.644353071705368</v>
      </c>
      <c r="R26" s="60">
        <f t="shared" si="0"/>
        <v>366.42213084948315</v>
      </c>
      <c r="S26" s="60">
        <f ca="1">AVERAGE(OFFSET($R$3,0,0,'Données projet'!$E$9+1,1))-AVERAGE(OFFSET($H$3,0,0,'Données projet'!$E$9+1,1))</f>
        <v>319.72731970820928</v>
      </c>
      <c r="T26" s="60">
        <f t="shared" si="34"/>
        <v>279.93992813630513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8.8000000000000007</v>
      </c>
      <c r="AI26" s="14">
        <f>IF('Données projet'!$A$62&gt;35,AI25+AH26-AQ25,IF(A26&lt;'Données projet'!$A$62,$AF$205^A26,IF(A26='Données projet'!$A$62,'Données projet'!$B$62,AI25+AH26-AQ25)))</f>
        <v>86.399999999999991</v>
      </c>
      <c r="AJ26" s="14">
        <f>AI26*VLOOKUP('Données projet'!$B$10,Paramètres!$A$1:$I$89,3,0)*VLOOKUP('Données projet'!$B$10,Paramètres!$A$1:$I$89,5,0)</f>
        <v>87.6096</v>
      </c>
      <c r="AK26" s="14">
        <f t="shared" si="35"/>
        <v>23.987817980868787</v>
      </c>
      <c r="AL26" s="22">
        <f t="shared" si="4"/>
        <v>194.36550298334646</v>
      </c>
      <c r="AM26" s="60">
        <f t="shared" si="5"/>
        <v>479.14328076112423</v>
      </c>
      <c r="AN26" s="60">
        <f ca="1">AVERAGE(OFFSET($AM$3,0,0,'Données projet'!$E$10+1,1))-AVERAGE(OFFSET($H$3,0,0,'Données projet'!$E$10+1,1))</f>
        <v>505.64100207870439</v>
      </c>
      <c r="AO26" s="60">
        <f t="shared" si="36"/>
        <v>371.76229669709249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14.8</v>
      </c>
      <c r="BD26" s="13">
        <f>IF('Données projet'!$A$88&gt;35,BD25+BC26-BL25,IF(A26&lt;'Données projet'!$A$88,$BA$205^A26,IF(A26='Données projet'!$A$88,'Données projet'!$B$88,BD25+BC26-BL25)))</f>
        <v>111.39999999999998</v>
      </c>
      <c r="BE26" s="14">
        <f>BD26*VLOOKUP('Données projet'!$B$11,Paramètres!$A$1:$I$89,3,0)*VLOOKUP('Données projet'!$B$11,Paramètres!$A$1:$I$89,5,0)</f>
        <v>88.629839999999987</v>
      </c>
      <c r="BF26" s="14">
        <f t="shared" si="37"/>
        <v>24.23448093253452</v>
      </c>
      <c r="BG26" s="22">
        <f t="shared" si="7"/>
        <v>196.57202562416424</v>
      </c>
      <c r="BH26" s="60">
        <f t="shared" si="8"/>
        <v>481.34980340194204</v>
      </c>
      <c r="BI26" s="60">
        <f ca="1">AVERAGE(OFFSET($BH$3,0,0,'Données projet'!$E$11+1,1))-AVERAGE(OFFSET($H$3,0,0,'Données projet'!$E$11+1,1))</f>
        <v>353.26636241468884</v>
      </c>
      <c r="BJ26" s="60">
        <f t="shared" si="38"/>
        <v>345.4750813433123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9.7435897435897427</v>
      </c>
      <c r="BY26" s="13">
        <f>IF('Données projet'!$A$114&gt;35,BY25+BX26-CG25,IF(A26&lt;'Données projet'!$A$114,$BV$205^A26,IF(A26='Données projet'!$A$114,'Données projet'!$B$114,BY25+BX26-CG25)))</f>
        <v>118.33333333333333</v>
      </c>
      <c r="BZ26" s="14">
        <f>BY26*VLOOKUP('Données projet'!$B$12,Paramètres!$A$1:$I$89,3,0)*VLOOKUP('Données projet'!$B$12,Paramètres!$A$1:$I$89,5,0)</f>
        <v>79.378</v>
      </c>
      <c r="CA26" s="14">
        <f t="shared" si="39"/>
        <v>21.985032877161519</v>
      </c>
      <c r="CB26" s="22">
        <f t="shared" si="10"/>
        <v>176.54061559438961</v>
      </c>
      <c r="CC26" s="60">
        <f t="shared" si="11"/>
        <v>461.31839337216741</v>
      </c>
      <c r="CD26" s="60">
        <f ca="1">AVERAGE(OFFSET($CC$3,0,0,'Données projet'!$E$12+1,1))-AVERAGE(OFFSET($H$3,0,0,'Données projet'!$E$12+1,1))</f>
        <v>362.1372269575329</v>
      </c>
      <c r="CE26" s="60">
        <f t="shared" si="40"/>
        <v>308.1559670593121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7.6</v>
      </c>
      <c r="CT26" s="13">
        <f>IF('Données projet'!$A$140&gt;35,CT25+CS26-DB25,IF(A26&lt;'Données projet'!$A$140,$CQ$205^A26,IF(A26='Données projet'!$A$140,'Données projet'!$B$140,CT25+CS26-DB25)))</f>
        <v>75.799999999999983</v>
      </c>
      <c r="CU26" s="18">
        <f>CT26*VLOOKUP('Données projet'!$B$13,Paramètres!$A$1:$I$89,3,0)*VLOOKUP('Données projet'!$B$13,Paramètres!$A$1:$I$89,5,0)</f>
        <v>81.591119999999975</v>
      </c>
      <c r="CV26" s="14">
        <f t="shared" si="41"/>
        <v>22.525774212857012</v>
      </c>
      <c r="CW26" s="22">
        <f t="shared" si="13"/>
        <v>181.33692408739259</v>
      </c>
      <c r="CX26" s="60">
        <f t="shared" si="14"/>
        <v>466.11470186517033</v>
      </c>
      <c r="CY26" s="60">
        <f ca="1">AVERAGE(OFFSET($CX$3,0,0,'Données projet'!$E$13+1,1))-AVERAGE(OFFSET($H$3,0,0,'Données projet'!$E$13+1,1))</f>
        <v>488.44916315274139</v>
      </c>
      <c r="CZ26" s="60">
        <f t="shared" si="42"/>
        <v>348.17941150148209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4.0628205128205126</v>
      </c>
      <c r="N27" s="14">
        <f>IF('Données projet'!$A$36&gt;35,N26+M27-V26,IF(A27&lt;'Données projet'!$A$36,$K$205^A27,IF(A27='Données projet'!$A$36,'Données projet'!$B$36,N26+M27-V26)))</f>
        <v>46.640061345320483</v>
      </c>
      <c r="O27" s="14">
        <f>N27*VLOOKUP('Données projet'!$B$9,Paramètres!$A$1:$I$89,3,0)*VLOOKUP('Données projet'!$B$9,Paramètres!$A$1:$I$89,5,0)</f>
        <v>42.199927505245967</v>
      </c>
      <c r="P27" s="14">
        <f t="shared" si="33"/>
        <v>12.579908645827834</v>
      </c>
      <c r="Q27" s="22">
        <f t="shared" si="2"/>
        <v>95.408214629786869</v>
      </c>
      <c r="R27" s="60">
        <f t="shared" si="0"/>
        <v>381.40821462978687</v>
      </c>
      <c r="S27" s="60">
        <f ca="1">AVERAGE(OFFSET($R$3,0,0,'Données projet'!$E$9+1,1))-AVERAGE(OFFSET($H$3,0,0,'Données projet'!$E$9+1,1))</f>
        <v>319.72731970820928</v>
      </c>
      <c r="T27" s="60">
        <f t="shared" si="34"/>
        <v>279.93992813630513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8.8000000000000007</v>
      </c>
      <c r="AI27" s="14">
        <f>IF('Données projet'!$A$62&gt;35,AI26+AH27-AQ26,IF(A27&lt;'Données projet'!$A$62,$AF$205^A27,IF(A27='Données projet'!$A$62,'Données projet'!$B$62,AI26+AH27-AQ26)))</f>
        <v>95.199999999999989</v>
      </c>
      <c r="AJ27" s="14">
        <f>AI27*VLOOKUP('Données projet'!$B$10,Paramètres!$A$1:$I$89,3,0)*VLOOKUP('Données projet'!$B$10,Paramètres!$A$1:$I$89,5,0)</f>
        <v>96.532799999999995</v>
      </c>
      <c r="AK27" s="14">
        <f t="shared" si="35"/>
        <v>26.134296230894989</v>
      </c>
      <c r="AL27" s="22">
        <f t="shared" si="4"/>
        <v>213.64519260214209</v>
      </c>
      <c r="AM27" s="60">
        <f t="shared" si="5"/>
        <v>499.64519260214206</v>
      </c>
      <c r="AN27" s="60">
        <f ca="1">AVERAGE(OFFSET($AM$3,0,0,'Données projet'!$E$10+1,1))-AVERAGE(OFFSET($H$3,0,0,'Données projet'!$E$10+1,1))</f>
        <v>505.64100207870439</v>
      </c>
      <c r="AO27" s="60">
        <f t="shared" si="36"/>
        <v>371.76229669709249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14.8</v>
      </c>
      <c r="BD27" s="13">
        <f>IF('Données projet'!$A$88&gt;35,BD26+BC27-BL26,IF(A27&lt;'Données projet'!$A$88,$BA$205^A27,IF(A27='Données projet'!$A$88,'Données projet'!$B$88,BD26+BC27-BL26)))</f>
        <v>126.19999999999997</v>
      </c>
      <c r="BE27" s="14">
        <f>BD27*VLOOKUP('Données projet'!$B$11,Paramètres!$A$1:$I$89,3,0)*VLOOKUP('Données projet'!$B$11,Paramètres!$A$1:$I$89,5,0)</f>
        <v>100.40472</v>
      </c>
      <c r="BF27" s="14">
        <f t="shared" si="37"/>
        <v>27.058393830330502</v>
      </c>
      <c r="BG27" s="22">
        <f t="shared" si="7"/>
        <v>221.99825658782561</v>
      </c>
      <c r="BH27" s="60">
        <f t="shared" si="8"/>
        <v>507.99825658782561</v>
      </c>
      <c r="BI27" s="60">
        <f ca="1">AVERAGE(OFFSET($BH$3,0,0,'Données projet'!$E$11+1,1))-AVERAGE(OFFSET($H$3,0,0,'Données projet'!$E$11+1,1))</f>
        <v>353.26636241468884</v>
      </c>
      <c r="BJ27" s="60">
        <f t="shared" si="38"/>
        <v>345.4750813433123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9.7435897435897427</v>
      </c>
      <c r="BY27" s="13">
        <f>IF('Données projet'!$A$114&gt;35,BY26+BX27-CG26,IF(A27&lt;'Données projet'!$A$114,$BV$205^A27,IF(A27='Données projet'!$A$114,'Données projet'!$B$114,BY26+BX27-CG26)))</f>
        <v>128.07692307692307</v>
      </c>
      <c r="BZ27" s="14">
        <f>BY27*VLOOKUP('Données projet'!$B$12,Paramètres!$A$1:$I$89,3,0)*VLOOKUP('Données projet'!$B$12,Paramètres!$A$1:$I$89,5,0)</f>
        <v>85.914000000000001</v>
      </c>
      <c r="CA27" s="14">
        <f t="shared" si="39"/>
        <v>23.577131284709758</v>
      </c>
      <c r="CB27" s="22">
        <f t="shared" si="10"/>
        <v>190.69705365420279</v>
      </c>
      <c r="CC27" s="60">
        <f t="shared" si="11"/>
        <v>476.69705365420282</v>
      </c>
      <c r="CD27" s="60">
        <f ca="1">AVERAGE(OFFSET($CC$3,0,0,'Données projet'!$E$12+1,1))-AVERAGE(OFFSET($H$3,0,0,'Données projet'!$E$12+1,1))</f>
        <v>362.1372269575329</v>
      </c>
      <c r="CE27" s="60">
        <f t="shared" si="40"/>
        <v>308.1559670593121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7.6</v>
      </c>
      <c r="CT27" s="13">
        <f>IF('Données projet'!$A$140&gt;35,CT26+CS27-DB26,IF(A27&lt;'Données projet'!$A$140,$CQ$205^A27,IF(A27='Données projet'!$A$140,'Données projet'!$B$140,CT26+CS27-DB26)))</f>
        <v>83.399999999999977</v>
      </c>
      <c r="CU27" s="18">
        <f>CT27*VLOOKUP('Données projet'!$B$13,Paramètres!$A$1:$I$89,3,0)*VLOOKUP('Données projet'!$B$13,Paramètres!$A$1:$I$89,5,0)</f>
        <v>89.771759999999972</v>
      </c>
      <c r="CV27" s="14">
        <f t="shared" si="41"/>
        <v>24.510170869715051</v>
      </c>
      <c r="CW27" s="22">
        <f t="shared" si="13"/>
        <v>199.04102959808699</v>
      </c>
      <c r="CX27" s="60">
        <f t="shared" si="14"/>
        <v>485.04102959808699</v>
      </c>
      <c r="CY27" s="60">
        <f ca="1">AVERAGE(OFFSET($CX$3,0,0,'Données projet'!$E$13+1,1))-AVERAGE(OFFSET($H$3,0,0,'Données projet'!$E$13+1,1))</f>
        <v>488.44916315274139</v>
      </c>
      <c r="CZ27" s="60">
        <f t="shared" si="42"/>
        <v>348.17941150148209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4.0628205128205126</v>
      </c>
      <c r="N28" s="14">
        <f>IF('Données projet'!$A$36&gt;35,N27+M28-V27,IF(A28&lt;'Données projet'!$A$36,$K$205^A28,IF(A28='Données projet'!$A$36,'Données projet'!$B$36,N27+M28-V27)))</f>
        <v>54.738229068051083</v>
      </c>
      <c r="O28" s="14">
        <f>N28*VLOOKUP('Données projet'!$B$9,Paramètres!$A$1:$I$89,3,0)*VLOOKUP('Données projet'!$B$9,Paramètres!$A$1:$I$89,5,0)</f>
        <v>49.527149660772622</v>
      </c>
      <c r="P28" s="14">
        <f t="shared" si="33"/>
        <v>14.49157655143614</v>
      </c>
      <c r="Q28" s="22">
        <f t="shared" si="2"/>
        <v>111.49928148626357</v>
      </c>
      <c r="R28" s="60">
        <f t="shared" si="0"/>
        <v>398.72150370848578</v>
      </c>
      <c r="S28" s="60">
        <f ca="1">AVERAGE(OFFSET($R$3,0,0,'Données projet'!$E$9+1,1))-AVERAGE(OFFSET($H$3,0,0,'Données projet'!$E$9+1,1))</f>
        <v>319.72731970820928</v>
      </c>
      <c r="T28" s="60">
        <f t="shared" si="34"/>
        <v>279.93992813630513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104</v>
      </c>
      <c r="AG28" s="13">
        <f>VLOOKUP(A28,'Données projet'!$A$61:$I$81,9,0)</f>
        <v>8.8000000000000007</v>
      </c>
      <c r="AH28" s="13">
        <f t="array" ref="AH28">INDEX(AG:AG,MIN(IF(ISNUMBER(AG28:AG224),ROW(AG28:AG224),"")))</f>
        <v>8.8000000000000007</v>
      </c>
      <c r="AI28" s="14">
        <f>IF('Données projet'!$A$62&gt;35,AI27+AH28-AQ27,IF(A28&lt;'Données projet'!$A$62,$AF$205^A28,IF(A28='Données projet'!$A$62,'Données projet'!$B$62,AI27+AH28-AQ27)))</f>
        <v>103.99999999999999</v>
      </c>
      <c r="AJ28" s="14">
        <f>AI28*VLOOKUP('Données projet'!$B$10,Paramètres!$A$1:$I$89,3,0)*VLOOKUP('Données projet'!$B$10,Paramètres!$A$1:$I$89,5,0)</f>
        <v>105.45599999999999</v>
      </c>
      <c r="AK28" s="14">
        <f t="shared" si="35"/>
        <v>28.257768345963548</v>
      </c>
      <c r="AL28" s="22">
        <f t="shared" si="4"/>
        <v>232.88481320255315</v>
      </c>
      <c r="AM28" s="60">
        <f t="shared" si="5"/>
        <v>520.1070354247754</v>
      </c>
      <c r="AN28" s="60">
        <f ca="1">AVERAGE(OFFSET($AM$3,0,0,'Données projet'!$E$10+1,1))-AVERAGE(OFFSET($H$3,0,0,'Données projet'!$E$10+1,1))</f>
        <v>505.64100207870439</v>
      </c>
      <c r="AO28" s="60">
        <f t="shared" si="36"/>
        <v>371.76229669709249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141</v>
      </c>
      <c r="BB28" s="13">
        <f>VLOOKUP(A28,'Données projet'!$A$87:$I$107,9,0)</f>
        <v>14.8</v>
      </c>
      <c r="BC28" s="13">
        <f t="array" ref="BC28">INDEX(BB:BB,MIN(IF(ISNUMBER(BB28:BB224),ROW(BB28:BB224),"")))</f>
        <v>14.8</v>
      </c>
      <c r="BD28" s="13">
        <f>IF('Données projet'!$A$88&gt;35,BD27+BC28-BL27,IF(A28&lt;'Données projet'!$A$88,$BA$205^A28,IF(A28='Données projet'!$A$88,'Données projet'!$B$88,BD27+BC28-BL27)))</f>
        <v>140.99999999999997</v>
      </c>
      <c r="BE28" s="14">
        <f>BD28*VLOOKUP('Données projet'!$B$11,Paramètres!$A$1:$I$89,3,0)*VLOOKUP('Données projet'!$B$11,Paramètres!$A$1:$I$89,5,0)</f>
        <v>112.17959999999998</v>
      </c>
      <c r="BF28" s="14">
        <f t="shared" si="37"/>
        <v>29.8439274472838</v>
      </c>
      <c r="BG28" s="22">
        <f t="shared" si="7"/>
        <v>247.35764363735257</v>
      </c>
      <c r="BH28" s="60">
        <f t="shared" si="8"/>
        <v>534.57986585957474</v>
      </c>
      <c r="BI28" s="60">
        <f ca="1">AVERAGE(OFFSET($BH$3,0,0,'Données projet'!$E$11+1,1))-AVERAGE(OFFSET($H$3,0,0,'Données projet'!$E$11+1,1))</f>
        <v>353.26636241468884</v>
      </c>
      <c r="BJ28" s="60">
        <f t="shared" si="38"/>
        <v>345.4750813433123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35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0.10600000000000001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3.2501427515240189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3.2501427515240189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137.82051282051282</v>
      </c>
      <c r="BW28" s="13">
        <f>VLOOKUP(A28,'Données projet'!$A$113:$I$133,9,0)</f>
        <v>9.7435897435897427</v>
      </c>
      <c r="BX28" s="13">
        <f t="array" ref="BX28">INDEX(BW:BW,MIN(IF(ISNUMBER(BW28:BW224),ROW(BW28:BW224),"")))</f>
        <v>9.7435897435897427</v>
      </c>
      <c r="BY28" s="13">
        <f>IF('Données projet'!$A$114&gt;35,BY27+BX28-CG27,IF(A28&lt;'Données projet'!$A$114,$BV$205^A28,IF(A28='Données projet'!$A$114,'Données projet'!$B$114,BY27+BX28-CG27)))</f>
        <v>137.82051282051282</v>
      </c>
      <c r="BZ28" s="14">
        <f>BY28*VLOOKUP('Données projet'!$B$12,Paramètres!$A$1:$I$89,3,0)*VLOOKUP('Données projet'!$B$12,Paramètres!$A$1:$I$89,5,0)</f>
        <v>92.45</v>
      </c>
      <c r="CA28" s="14">
        <f t="shared" si="39"/>
        <v>25.155179194747834</v>
      </c>
      <c r="CB28" s="22">
        <f t="shared" si="10"/>
        <v>204.82902043085244</v>
      </c>
      <c r="CC28" s="60">
        <f t="shared" si="11"/>
        <v>492.05124265307467</v>
      </c>
      <c r="CD28" s="60">
        <f ca="1">AVERAGE(OFFSET($CC$3,0,0,'Données projet'!$E$12+1,1))-AVERAGE(OFFSET($H$3,0,0,'Données projet'!$E$12+1,1))</f>
        <v>362.1372269575329</v>
      </c>
      <c r="CE28" s="60">
        <f t="shared" si="40"/>
        <v>308.1559670593121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91</v>
      </c>
      <c r="CR28" s="13">
        <f>VLOOKUP(A28,'Données projet'!$A$139:$I$159,9,0)</f>
        <v>7.6</v>
      </c>
      <c r="CS28" s="13">
        <f t="array" ref="CS28">INDEX(CR:CR,MIN(IF(ISNUMBER(CR28:CR224),ROW(CR28:CR224),"")))</f>
        <v>7.6</v>
      </c>
      <c r="CT28" s="13">
        <f>IF('Données projet'!$A$140&gt;35,CT27+CS28-DB27,IF(A28&lt;'Données projet'!$A$140,$CQ$205^A28,IF(A28='Données projet'!$A$140,'Données projet'!$B$140,CT27+CS28-DB27)))</f>
        <v>90.999999999999972</v>
      </c>
      <c r="CU28" s="18">
        <f>CT28*VLOOKUP('Données projet'!$B$13,Paramètres!$A$1:$I$89,3,0)*VLOOKUP('Données projet'!$B$13,Paramètres!$A$1:$I$89,5,0)</f>
        <v>97.952399999999969</v>
      </c>
      <c r="CV28" s="14">
        <f t="shared" si="41"/>
        <v>26.473599278177087</v>
      </c>
      <c r="CW28" s="22">
        <f t="shared" si="13"/>
        <v>216.7086154094917</v>
      </c>
      <c r="CX28" s="60">
        <f t="shared" si="14"/>
        <v>503.93083763171393</v>
      </c>
      <c r="CY28" s="60">
        <f ca="1">AVERAGE(OFFSET($CX$3,0,0,'Données projet'!$E$13+1,1))-AVERAGE(OFFSET($H$3,0,0,'Données projet'!$E$13+1,1))</f>
        <v>488.44916315274139</v>
      </c>
      <c r="CZ28" s="60">
        <f t="shared" si="42"/>
        <v>348.17941150148209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4.0628205128205126</v>
      </c>
      <c r="N29" s="14">
        <f>IF('Données projet'!$A$36&gt;35,N28+M29-V28,IF(A29&lt;'Données projet'!$A$36,$K$205^A29,IF(A29='Données projet'!$A$36,'Données projet'!$B$36,N28+M29-V28)))</f>
        <v>64.242491006222849</v>
      </c>
      <c r="O29" s="14">
        <f>N29*VLOOKUP('Données projet'!$B$9,Paramètres!$A$1:$I$89,3,0)*VLOOKUP('Données projet'!$B$9,Paramètres!$A$1:$I$89,5,0)</f>
        <v>58.126605862430431</v>
      </c>
      <c r="P29" s="14">
        <f t="shared" si="33"/>
        <v>16.69374530917462</v>
      </c>
      <c r="Q29" s="22">
        <f t="shared" si="2"/>
        <v>130.31211162387879</v>
      </c>
      <c r="R29" s="60">
        <f t="shared" si="0"/>
        <v>418.75655606832322</v>
      </c>
      <c r="S29" s="60">
        <f ca="1">AVERAGE(OFFSET($R$3,0,0,'Données projet'!$E$9+1,1))-AVERAGE(OFFSET($H$3,0,0,'Données projet'!$E$9+1,1))</f>
        <v>319.72731970820928</v>
      </c>
      <c r="T29" s="60">
        <f t="shared" si="34"/>
        <v>279.93992813630513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9.4</v>
      </c>
      <c r="AI29" s="14">
        <f>IF('Données projet'!$A$62&gt;35,AI28+AH29-AQ28,IF(A29&lt;'Données projet'!$A$62,$AF$205^A29,IF(A29='Données projet'!$A$62,'Données projet'!$B$62,AI28+AH29-AQ28)))</f>
        <v>113.39999999999999</v>
      </c>
      <c r="AJ29" s="14">
        <f>AI29*VLOOKUP('Données projet'!$B$10,Paramètres!$A$1:$I$89,3,0)*VLOOKUP('Données projet'!$B$10,Paramètres!$A$1:$I$89,5,0)</f>
        <v>114.9876</v>
      </c>
      <c r="AK29" s="14">
        <f t="shared" si="35"/>
        <v>30.503052127303899</v>
      </c>
      <c r="AL29" s="22">
        <f t="shared" si="4"/>
        <v>253.39621912172095</v>
      </c>
      <c r="AM29" s="60">
        <f t="shared" si="5"/>
        <v>541.8406635661654</v>
      </c>
      <c r="AN29" s="60">
        <f ca="1">AVERAGE(OFFSET($AM$3,0,0,'Données projet'!$E$10+1,1))-AVERAGE(OFFSET($H$3,0,0,'Données projet'!$E$10+1,1))</f>
        <v>505.64100207870439</v>
      </c>
      <c r="AO29" s="60">
        <f t="shared" si="36"/>
        <v>371.76229669709249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</v>
      </c>
      <c r="BD29" s="13">
        <f>IF('Données projet'!$A$88&gt;35,BD28+BC29-BL28,IF(A29&lt;'Données projet'!$A$88,$BA$205^A29,IF(A29='Données projet'!$A$88,'Données projet'!$B$88,BD28+BC29-BL28)))</f>
        <v>120.19999999999996</v>
      </c>
      <c r="BE29" s="14">
        <f>BD29*VLOOKUP('Données projet'!$B$11,Paramètres!$A$1:$I$89,3,0)*VLOOKUP('Données projet'!$B$11,Paramètres!$A$1:$I$89,5,0)</f>
        <v>95.631119999999967</v>
      </c>
      <c r="BF29" s="14">
        <f t="shared" si="37"/>
        <v>25.918481589892234</v>
      </c>
      <c r="BG29" s="22">
        <f t="shared" si="7"/>
        <v>211.69888943572892</v>
      </c>
      <c r="BH29" s="60">
        <f t="shared" si="8"/>
        <v>500.14333388017337</v>
      </c>
      <c r="BI29" s="60">
        <f ca="1">AVERAGE(OFFSET($BH$3,0,0,'Données projet'!$E$11+1,1))-AVERAGE(OFFSET($H$3,0,0,'Données projet'!$E$11+1,1))</f>
        <v>353.26636241468884</v>
      </c>
      <c r="BJ29" s="60">
        <f t="shared" si="38"/>
        <v>345.4750813433123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3.1612674270660155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3.1612674270660155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9.2307692307692317</v>
      </c>
      <c r="BY29" s="13">
        <f>IF('Données projet'!$A$114&gt;35,BY28+BX29-CG28,IF(A29&lt;'Données projet'!$A$114,$BV$205^A29,IF(A29='Données projet'!$A$114,'Données projet'!$B$114,BY28+BX29-CG28)))</f>
        <v>147.05128205128204</v>
      </c>
      <c r="BZ29" s="14">
        <f>BY29*VLOOKUP('Données projet'!$B$12,Paramètres!$A$1:$I$89,3,0)*VLOOKUP('Données projet'!$B$12,Paramètres!$A$1:$I$89,5,0)</f>
        <v>98.641999999999996</v>
      </c>
      <c r="CA29" s="14">
        <f t="shared" si="39"/>
        <v>26.638215773406319</v>
      </c>
      <c r="CB29" s="22">
        <f t="shared" si="10"/>
        <v>218.19637580534933</v>
      </c>
      <c r="CC29" s="60">
        <f t="shared" si="11"/>
        <v>506.64082024979382</v>
      </c>
      <c r="CD29" s="60">
        <f ca="1">AVERAGE(OFFSET($CC$3,0,0,'Données projet'!$E$12+1,1))-AVERAGE(OFFSET($H$3,0,0,'Données projet'!$E$12+1,1))</f>
        <v>362.1372269575329</v>
      </c>
      <c r="CE29" s="60">
        <f t="shared" si="40"/>
        <v>308.1559670593121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8.1999999999999993</v>
      </c>
      <c r="CT29" s="13">
        <f>IF('Données projet'!$A$140&gt;35,CT28+CS29-DB28,IF(A29&lt;'Données projet'!$A$140,$CQ$205^A29,IF(A29='Données projet'!$A$140,'Données projet'!$B$140,CT28+CS29-DB28)))</f>
        <v>99.199999999999974</v>
      </c>
      <c r="CU29" s="18">
        <f>CT29*VLOOKUP('Données projet'!$B$13,Paramètres!$A$1:$I$89,3,0)*VLOOKUP('Données projet'!$B$13,Paramètres!$A$1:$I$89,5,0)</f>
        <v>106.77887999999997</v>
      </c>
      <c r="CV29" s="14">
        <f t="shared" si="41"/>
        <v>28.570755857186093</v>
      </c>
      <c r="CW29" s="22">
        <f t="shared" si="13"/>
        <v>235.73394911793238</v>
      </c>
      <c r="CX29" s="60">
        <f t="shared" si="14"/>
        <v>524.17839356237687</v>
      </c>
      <c r="CY29" s="60">
        <f ca="1">AVERAGE(OFFSET($CX$3,0,0,'Données projet'!$E$13+1,1))-AVERAGE(OFFSET($H$3,0,0,'Données projet'!$E$13+1,1))</f>
        <v>488.44916315274139</v>
      </c>
      <c r="CZ29" s="60">
        <f t="shared" si="42"/>
        <v>348.17941150148209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4.0628205128205126</v>
      </c>
      <c r="N30" s="14">
        <f>IF('Données projet'!$A$36&gt;35,N29+M30-V29,IF(A30&lt;'Données projet'!$A$36,$K$205^A30,IF(A30='Données projet'!$A$36,'Données projet'!$B$36,N29+M30-V29)))</f>
        <v>75.396988922564091</v>
      </c>
      <c r="O30" s="14">
        <f>N30*VLOOKUP('Données projet'!$B$9,Paramètres!$A$1:$I$89,3,0)*VLOOKUP('Données projet'!$B$9,Paramètres!$A$1:$I$89,5,0)</f>
        <v>68.219195577135991</v>
      </c>
      <c r="P30" s="14">
        <f t="shared" si="33"/>
        <v>19.230560005562129</v>
      </c>
      <c r="Q30" s="22">
        <f t="shared" si="2"/>
        <v>152.30832430653254</v>
      </c>
      <c r="R30" s="60">
        <f t="shared" si="0"/>
        <v>441.97499097319923</v>
      </c>
      <c r="S30" s="60">
        <f ca="1">AVERAGE(OFFSET($R$3,0,0,'Données projet'!$E$9+1,1))-AVERAGE(OFFSET($H$3,0,0,'Données projet'!$E$9+1,1))</f>
        <v>319.72731970820928</v>
      </c>
      <c r="T30" s="60">
        <f t="shared" si="34"/>
        <v>279.93992813630513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9.4</v>
      </c>
      <c r="AI30" s="14">
        <f>IF('Données projet'!$A$62&gt;35,AI29+AH30-AQ29,IF(A30&lt;'Données projet'!$A$62,$AF$205^A30,IF(A30='Données projet'!$A$62,'Données projet'!$B$62,AI29+AH30-AQ29)))</f>
        <v>122.8</v>
      </c>
      <c r="AJ30" s="14">
        <f>AI30*VLOOKUP('Données projet'!$B$10,Paramètres!$A$1:$I$89,3,0)*VLOOKUP('Données projet'!$B$10,Paramètres!$A$1:$I$89,5,0)</f>
        <v>124.51920000000001</v>
      </c>
      <c r="AK30" s="14">
        <f t="shared" si="35"/>
        <v>32.726749993106417</v>
      </c>
      <c r="AL30" s="22">
        <f t="shared" si="4"/>
        <v>273.870029571327</v>
      </c>
      <c r="AM30" s="60">
        <f t="shared" si="5"/>
        <v>563.53669623799374</v>
      </c>
      <c r="AN30" s="60">
        <f ca="1">AVERAGE(OFFSET($AM$3,0,0,'Données projet'!$E$10+1,1))-AVERAGE(OFFSET($H$3,0,0,'Données projet'!$E$10+1,1))</f>
        <v>505.64100207870439</v>
      </c>
      <c r="AO30" s="60">
        <f t="shared" si="36"/>
        <v>371.76229669709249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</v>
      </c>
      <c r="BD30" s="13">
        <f>IF('Données projet'!$A$88&gt;35,BD29+BC30-BL29,IF(A30&lt;'Données projet'!$A$88,$BA$205^A30,IF(A30='Données projet'!$A$88,'Données projet'!$B$88,BD29+BC30-BL29)))</f>
        <v>134.39999999999995</v>
      </c>
      <c r="BE30" s="14">
        <f>BD30*VLOOKUP('Données projet'!$B$11,Paramètres!$A$1:$I$89,3,0)*VLOOKUP('Données projet'!$B$11,Paramètres!$A$1:$I$89,5,0)</f>
        <v>106.92863999999996</v>
      </c>
      <c r="BF30" s="14">
        <f t="shared" si="37"/>
        <v>28.606159868782917</v>
      </c>
      <c r="BG30" s="22">
        <f t="shared" si="7"/>
        <v>236.05644310479681</v>
      </c>
      <c r="BH30" s="60">
        <f t="shared" si="8"/>
        <v>525.72310977146344</v>
      </c>
      <c r="BI30" s="60">
        <f ca="1">AVERAGE(OFFSET($BH$3,0,0,'Données projet'!$E$11+1,1))-AVERAGE(OFFSET($H$3,0,0,'Données projet'!$E$11+1,1))</f>
        <v>353.26636241468884</v>
      </c>
      <c r="BJ30" s="60">
        <f t="shared" si="38"/>
        <v>345.4750813433123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3.0748224030290663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3.0748224030290663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9.2307692307692317</v>
      </c>
      <c r="BY30" s="13">
        <f>IF('Données projet'!$A$114&gt;35,BY29+BX30-CG29,IF(A30&lt;'Données projet'!$A$114,$BV$205^A30,IF(A30='Données projet'!$A$114,'Données projet'!$B$114,BY29+BX30-CG29)))</f>
        <v>156.28205128205127</v>
      </c>
      <c r="BZ30" s="14">
        <f>BY30*VLOOKUP('Données projet'!$B$12,Paramètres!$A$1:$I$89,3,0)*VLOOKUP('Données projet'!$B$12,Paramètres!$A$1:$I$89,5,0)</f>
        <v>104.834</v>
      </c>
      <c r="CA30" s="14">
        <f t="shared" si="39"/>
        <v>28.110448233045847</v>
      </c>
      <c r="CB30" s="22">
        <f t="shared" si="10"/>
        <v>231.54491400588816</v>
      </c>
      <c r="CC30" s="60">
        <f t="shared" si="11"/>
        <v>521.21158067255487</v>
      </c>
      <c r="CD30" s="60">
        <f ca="1">AVERAGE(OFFSET($CC$3,0,0,'Données projet'!$E$12+1,1))-AVERAGE(OFFSET($H$3,0,0,'Données projet'!$E$12+1,1))</f>
        <v>362.1372269575329</v>
      </c>
      <c r="CE30" s="60">
        <f t="shared" si="40"/>
        <v>308.1559670593121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8.1999999999999993</v>
      </c>
      <c r="CT30" s="13">
        <f>IF('Données projet'!$A$140&gt;35,CT29+CS30-DB29,IF(A30&lt;'Données projet'!$A$140,$CQ$205^A30,IF(A30='Données projet'!$A$140,'Données projet'!$B$140,CT29+CS30-DB29)))</f>
        <v>107.39999999999998</v>
      </c>
      <c r="CU30" s="18">
        <f>CT30*VLOOKUP('Données projet'!$B$13,Paramètres!$A$1:$I$89,3,0)*VLOOKUP('Données projet'!$B$13,Paramètres!$A$1:$I$89,5,0)</f>
        <v>115.60535999999998</v>
      </c>
      <c r="CV30" s="14">
        <f t="shared" si="41"/>
        <v>30.647806681379965</v>
      </c>
      <c r="CW30" s="22">
        <f t="shared" si="13"/>
        <v>254.7242653034034</v>
      </c>
      <c r="CX30" s="60">
        <f t="shared" si="14"/>
        <v>544.39093197007014</v>
      </c>
      <c r="CY30" s="60">
        <f ca="1">AVERAGE(OFFSET($CX$3,0,0,'Données projet'!$E$13+1,1))-AVERAGE(OFFSET($H$3,0,0,'Données projet'!$E$13+1,1))</f>
        <v>488.44916315274139</v>
      </c>
      <c r="CZ30" s="60">
        <f t="shared" si="42"/>
        <v>348.17941150148209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4.0628205128205126</v>
      </c>
      <c r="N31" s="14">
        <f>IF('Données projet'!$A$36&gt;35,N30+M31-V30,IF(A31&lt;'Données projet'!$A$36,$K$205^A31,IF(A31='Données projet'!$A$36,'Données projet'!$B$36,N30+M31-V30)))</f>
        <v>88.488255196060223</v>
      </c>
      <c r="O31" s="14">
        <f>N31*VLOOKUP('Données projet'!$B$9,Paramètres!$A$1:$I$89,3,0)*VLOOKUP('Données projet'!$B$9,Paramètres!$A$1:$I$89,5,0)</f>
        <v>80.064173301395286</v>
      </c>
      <c r="P31" s="14">
        <f t="shared" si="33"/>
        <v>22.15287410215139</v>
      </c>
      <c r="Q31" s="22">
        <f t="shared" si="2"/>
        <v>178.02802422784376</v>
      </c>
      <c r="R31" s="60">
        <f t="shared" si="0"/>
        <v>468.91691311673264</v>
      </c>
      <c r="S31" s="60">
        <f ca="1">AVERAGE(OFFSET($R$3,0,0,'Données projet'!$E$9+1,1))-AVERAGE(OFFSET($H$3,0,0,'Données projet'!$E$9+1,1))</f>
        <v>319.72731970820928</v>
      </c>
      <c r="T31" s="60">
        <f t="shared" si="34"/>
        <v>279.93992813630513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9.4</v>
      </c>
      <c r="AI31" s="14">
        <f>IF('Données projet'!$A$62&gt;35,AI30+AH31-AQ30,IF(A31&lt;'Données projet'!$A$62,$AF$205^A31,IF(A31='Données projet'!$A$62,'Données projet'!$B$62,AI30+AH31-AQ30)))</f>
        <v>132.19999999999999</v>
      </c>
      <c r="AJ31" s="14">
        <f>AI31*VLOOKUP('Données projet'!$B$10,Paramètres!$A$1:$I$89,3,0)*VLOOKUP('Données projet'!$B$10,Paramètres!$A$1:$I$89,5,0)</f>
        <v>134.05079999999998</v>
      </c>
      <c r="AK31" s="14">
        <f t="shared" si="35"/>
        <v>34.930702157857986</v>
      </c>
      <c r="AL31" s="22">
        <f t="shared" si="4"/>
        <v>294.30944959160263</v>
      </c>
      <c r="AM31" s="60">
        <f t="shared" si="5"/>
        <v>585.19833848049143</v>
      </c>
      <c r="AN31" s="60">
        <f ca="1">AVERAGE(OFFSET($AM$3,0,0,'Données projet'!$E$10+1,1))-AVERAGE(OFFSET($H$3,0,0,'Données projet'!$E$10+1,1))</f>
        <v>505.64100207870439</v>
      </c>
      <c r="AO31" s="60">
        <f t="shared" si="36"/>
        <v>371.76229669709249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</v>
      </c>
      <c r="BD31" s="13">
        <f>IF('Données projet'!$A$88&gt;35,BD30+BC31-BL30,IF(A31&lt;'Données projet'!$A$88,$BA$205^A31,IF(A31='Données projet'!$A$88,'Données projet'!$B$88,BD30+BC31-BL30)))</f>
        <v>148.59999999999994</v>
      </c>
      <c r="BE31" s="14">
        <f>BD31*VLOOKUP('Données projet'!$B$11,Paramètres!$A$1:$I$89,3,0)*VLOOKUP('Données projet'!$B$11,Paramètres!$A$1:$I$89,5,0)</f>
        <v>118.22615999999996</v>
      </c>
      <c r="BF31" s="14">
        <f t="shared" si="37"/>
        <v>31.260922342884676</v>
      </c>
      <c r="BG31" s="22">
        <f t="shared" si="7"/>
        <v>260.35666841385739</v>
      </c>
      <c r="BH31" s="60">
        <f t="shared" si="8"/>
        <v>551.24555730274619</v>
      </c>
      <c r="BI31" s="60">
        <f ca="1">AVERAGE(OFFSET($BH$3,0,0,'Données projet'!$E$11+1,1))-AVERAGE(OFFSET($H$3,0,0,'Données projet'!$E$11+1,1))</f>
        <v>353.26636241468884</v>
      </c>
      <c r="BJ31" s="60">
        <f t="shared" si="38"/>
        <v>345.4750813433123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2.990741222720354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2.990741222720354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9.2307692307692317</v>
      </c>
      <c r="BY31" s="13">
        <f>IF('Données projet'!$A$114&gt;35,BY30+BX31-CG30,IF(A31&lt;'Données projet'!$A$114,$BV$205^A31,IF(A31='Données projet'!$A$114,'Données projet'!$B$114,BY30+BX31-CG30)))</f>
        <v>165.5128205128205</v>
      </c>
      <c r="BZ31" s="14">
        <f>BY31*VLOOKUP('Données projet'!$B$12,Paramètres!$A$1:$I$89,3,0)*VLOOKUP('Données projet'!$B$12,Paramètres!$A$1:$I$89,5,0)</f>
        <v>111.026</v>
      </c>
      <c r="CA31" s="14">
        <f t="shared" si="39"/>
        <v>29.572587403880362</v>
      </c>
      <c r="CB31" s="22">
        <f t="shared" si="10"/>
        <v>244.87587306175826</v>
      </c>
      <c r="CC31" s="60">
        <f t="shared" si="11"/>
        <v>535.76476195064708</v>
      </c>
      <c r="CD31" s="60">
        <f ca="1">AVERAGE(OFFSET($CC$3,0,0,'Données projet'!$E$12+1,1))-AVERAGE(OFFSET($H$3,0,0,'Données projet'!$E$12+1,1))</f>
        <v>362.1372269575329</v>
      </c>
      <c r="CE31" s="60">
        <f t="shared" si="40"/>
        <v>308.1559670593121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8.1999999999999993</v>
      </c>
      <c r="CT31" s="13">
        <f>IF('Données projet'!$A$140&gt;35,CT30+CS31-DB30,IF(A31&lt;'Données projet'!$A$140,$CQ$205^A31,IF(A31='Données projet'!$A$140,'Données projet'!$B$140,CT30+CS31-DB30)))</f>
        <v>115.59999999999998</v>
      </c>
      <c r="CU31" s="18">
        <f>CT31*VLOOKUP('Données projet'!$B$13,Paramètres!$A$1:$I$89,3,0)*VLOOKUP('Données projet'!$B$13,Paramètres!$A$1:$I$89,5,0)</f>
        <v>124.43183999999998</v>
      </c>
      <c r="CV31" s="14">
        <f t="shared" si="41"/>
        <v>32.70646136755245</v>
      </c>
      <c r="CW31" s="22">
        <f t="shared" si="13"/>
        <v>273.68254154848717</v>
      </c>
      <c r="CX31" s="60">
        <f t="shared" si="14"/>
        <v>564.57143043737597</v>
      </c>
      <c r="CY31" s="60">
        <f ca="1">AVERAGE(OFFSET($CX$3,0,0,'Données projet'!$E$13+1,1))-AVERAGE(OFFSET($H$3,0,0,'Données projet'!$E$13+1,1))</f>
        <v>488.44916315274139</v>
      </c>
      <c r="CZ31" s="60">
        <f t="shared" si="42"/>
        <v>348.17941150148209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4.0628205128205126</v>
      </c>
      <c r="N32" s="14">
        <f>IF('Données projet'!$A$36&gt;35,N31+M32-V31,IF(A32&lt;'Données projet'!$A$36,$K$205^A32,IF(A32='Données projet'!$A$36,'Données projet'!$B$36,N31+M32-V31)))</f>
        <v>103.85257315361756</v>
      </c>
      <c r="O32" s="14">
        <f>N32*VLOOKUP('Données projet'!$B$9,Paramètres!$A$1:$I$89,3,0)*VLOOKUP('Données projet'!$B$9,Paramètres!$A$1:$I$89,5,0)</f>
        <v>93.965808189393158</v>
      </c>
      <c r="P32" s="14">
        <f t="shared" si="33"/>
        <v>25.519268853524185</v>
      </c>
      <c r="Q32" s="22">
        <f t="shared" si="2"/>
        <v>208.10317584974769</v>
      </c>
      <c r="R32" s="60">
        <f t="shared" si="0"/>
        <v>500.21428696085883</v>
      </c>
      <c r="S32" s="60">
        <f ca="1">AVERAGE(OFFSET($R$3,0,0,'Données projet'!$E$9+1,1))-AVERAGE(OFFSET($H$3,0,0,'Données projet'!$E$9+1,1))</f>
        <v>319.72731970820928</v>
      </c>
      <c r="T32" s="60">
        <f t="shared" si="34"/>
        <v>279.93992813630513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9.4</v>
      </c>
      <c r="AI32" s="14">
        <f>IF('Données projet'!$A$62&gt;35,AI31+AH32-AQ31,IF(A32&lt;'Données projet'!$A$62,$AF$205^A32,IF(A32='Données projet'!$A$62,'Données projet'!$B$62,AI31+AH32-AQ31)))</f>
        <v>141.6</v>
      </c>
      <c r="AJ32" s="14">
        <f>AI32*VLOOKUP('Données projet'!$B$10,Paramètres!$A$1:$I$89,3,0)*VLOOKUP('Données projet'!$B$10,Paramètres!$A$1:$I$89,5,0)</f>
        <v>143.58240000000001</v>
      </c>
      <c r="AK32" s="14">
        <f t="shared" si="35"/>
        <v>37.116472314400681</v>
      </c>
      <c r="AL32" s="22">
        <f t="shared" si="4"/>
        <v>314.71720261424787</v>
      </c>
      <c r="AM32" s="60">
        <f t="shared" si="5"/>
        <v>606.82831372535907</v>
      </c>
      <c r="AN32" s="60">
        <f ca="1">AVERAGE(OFFSET($AM$3,0,0,'Données projet'!$E$10+1,1))-AVERAGE(OFFSET($H$3,0,0,'Données projet'!$E$10+1,1))</f>
        <v>505.64100207870439</v>
      </c>
      <c r="AO32" s="60">
        <f t="shared" si="36"/>
        <v>371.76229669709249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</v>
      </c>
      <c r="BD32" s="13">
        <f>IF('Données projet'!$A$88&gt;35,BD31+BC32-BL31,IF(A32&lt;'Données projet'!$A$88,$BA$205^A32,IF(A32='Données projet'!$A$88,'Données projet'!$B$88,BD31+BC32-BL31)))</f>
        <v>162.79999999999993</v>
      </c>
      <c r="BE32" s="14">
        <f>BD32*VLOOKUP('Données projet'!$B$11,Paramètres!$A$1:$I$89,3,0)*VLOOKUP('Données projet'!$B$11,Paramètres!$A$1:$I$89,5,0)</f>
        <v>129.52367999999996</v>
      </c>
      <c r="BF32" s="14">
        <f t="shared" si="37"/>
        <v>33.886272262901727</v>
      </c>
      <c r="BG32" s="22">
        <f t="shared" si="7"/>
        <v>284.60566685788712</v>
      </c>
      <c r="BH32" s="60">
        <f t="shared" si="8"/>
        <v>576.71677796899826</v>
      </c>
      <c r="BI32" s="60">
        <f ca="1">AVERAGE(OFFSET($BH$3,0,0,'Données projet'!$E$11+1,1))-AVERAGE(OFFSET($H$3,0,0,'Données projet'!$E$11+1,1))</f>
        <v>353.26636241468884</v>
      </c>
      <c r="BJ32" s="60">
        <f t="shared" si="38"/>
        <v>345.4750813433123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2.9089592467088203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2.9089592467088203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9.2307692307692317</v>
      </c>
      <c r="BY32" s="13">
        <f>IF('Données projet'!$A$114&gt;35,BY31+BX32-CG31,IF(A32&lt;'Données projet'!$A$114,$BV$205^A32,IF(A32='Données projet'!$A$114,'Données projet'!$B$114,BY31+BX32-CG31)))</f>
        <v>174.74358974358972</v>
      </c>
      <c r="BZ32" s="14">
        <f>BY32*VLOOKUP('Données projet'!$B$12,Paramètres!$A$1:$I$89,3,0)*VLOOKUP('Données projet'!$B$12,Paramètres!$A$1:$I$89,5,0)</f>
        <v>117.21799999999998</v>
      </c>
      <c r="CA32" s="14">
        <f t="shared" si="39"/>
        <v>31.025260351021213</v>
      </c>
      <c r="CB32" s="22">
        <f t="shared" si="10"/>
        <v>258.19034511136186</v>
      </c>
      <c r="CC32" s="60">
        <f t="shared" si="11"/>
        <v>550.30145622247301</v>
      </c>
      <c r="CD32" s="60">
        <f ca="1">AVERAGE(OFFSET($CC$3,0,0,'Données projet'!$E$12+1,1))-AVERAGE(OFFSET($H$3,0,0,'Données projet'!$E$12+1,1))</f>
        <v>362.1372269575329</v>
      </c>
      <c r="CE32" s="60">
        <f t="shared" si="40"/>
        <v>308.1559670593121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8.1999999999999993</v>
      </c>
      <c r="CT32" s="13">
        <f>IF('Données projet'!$A$140&gt;35,CT31+CS32-DB31,IF(A32&lt;'Données projet'!$A$140,$CQ$205^A32,IF(A32='Données projet'!$A$140,'Données projet'!$B$140,CT31+CS32-DB31)))</f>
        <v>123.79999999999998</v>
      </c>
      <c r="CU32" s="18">
        <f>CT32*VLOOKUP('Données projet'!$B$13,Paramètres!$A$1:$I$89,3,0)*VLOOKUP('Données projet'!$B$13,Paramètres!$A$1:$I$89,5,0)</f>
        <v>133.25831999999997</v>
      </c>
      <c r="CV32" s="14">
        <f t="shared" si="41"/>
        <v>34.748173250809565</v>
      </c>
      <c r="CW32" s="22">
        <f t="shared" si="13"/>
        <v>292.61130907849321</v>
      </c>
      <c r="CX32" s="60">
        <f t="shared" si="14"/>
        <v>584.72242018960435</v>
      </c>
      <c r="CY32" s="60">
        <f ca="1">AVERAGE(OFFSET($CX$3,0,0,'Données projet'!$E$13+1,1))-AVERAGE(OFFSET($H$3,0,0,'Données projet'!$E$13+1,1))</f>
        <v>488.44916315274139</v>
      </c>
      <c r="CZ32" s="60">
        <f t="shared" si="42"/>
        <v>348.17941150148209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121.88461538461537</v>
      </c>
      <c r="L33" s="13">
        <f>VLOOKUP(A33,'Données projet'!$A$35:$I$55,9,0)</f>
        <v>4.0628205128205126</v>
      </c>
      <c r="M33" s="13">
        <f t="array" ref="M33">INDEX(L:L,MIN(IF(ISNUMBER(L33:L229),ROW(L33:L229),"")))</f>
        <v>4.0628205128205126</v>
      </c>
      <c r="N33" s="14">
        <f>IF('Données projet'!$A$36&gt;35,N32+M33-V32,IF(A33&lt;'Données projet'!$A$36,$K$205^A33,IF(A33='Données projet'!$A$36,'Données projet'!$B$36,N32+M33-V32)))</f>
        <v>121.88461538461537</v>
      </c>
      <c r="O33" s="14">
        <f>N33*VLOOKUP('Données projet'!$B$9,Paramètres!$A$1:$I$89,3,0)*VLOOKUP('Données projet'!$B$9,Paramètres!$A$1:$I$89,5,0)</f>
        <v>110.2812</v>
      </c>
      <c r="P33" s="14">
        <f t="shared" si="33"/>
        <v>29.397227638069996</v>
      </c>
      <c r="Q33" s="22">
        <f t="shared" si="2"/>
        <v>243.27326146963856</v>
      </c>
      <c r="R33" s="60">
        <f t="shared" si="0"/>
        <v>536.60659480297181</v>
      </c>
      <c r="S33" s="60">
        <f ca="1">AVERAGE(OFFSET($R$3,0,0,'Données projet'!$E$9+1,1))-AVERAGE(OFFSET($H$3,0,0,'Données projet'!$E$9+1,1))</f>
        <v>319.72731970820928</v>
      </c>
      <c r="T33" s="60">
        <f t="shared" si="34"/>
        <v>279.93992813630513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151</v>
      </c>
      <c r="AG33" s="13">
        <f>VLOOKUP(A33,'Données projet'!$A$61:$I$81,9,0)</f>
        <v>9.4</v>
      </c>
      <c r="AH33" s="13">
        <f t="array" ref="AH33">INDEX(AG:AG,MIN(IF(ISNUMBER(AG33:AG229),ROW(AG33:AG229),"")))</f>
        <v>9.4</v>
      </c>
      <c r="AI33" s="14">
        <f>IF('Données projet'!$A$62&gt;35,AI32+AH33-AQ32,IF(A33&lt;'Données projet'!$A$62,$AF$205^A33,IF(A33='Données projet'!$A$62,'Données projet'!$B$62,AI32+AH33-AQ32)))</f>
        <v>151</v>
      </c>
      <c r="AJ33" s="14">
        <f>AI33*VLOOKUP('Données projet'!$B$10,Paramètres!$A$1:$I$89,3,0)*VLOOKUP('Données projet'!$B$10,Paramètres!$A$1:$I$89,5,0)</f>
        <v>153.114</v>
      </c>
      <c r="AK33" s="14">
        <f t="shared" si="35"/>
        <v>39.285404802158418</v>
      </c>
      <c r="AL33" s="22">
        <f t="shared" si="4"/>
        <v>335.09563003042587</v>
      </c>
      <c r="AM33" s="60">
        <f t="shared" si="5"/>
        <v>628.42896336375918</v>
      </c>
      <c r="AN33" s="60">
        <f ca="1">AVERAGE(OFFSET($AM$3,0,0,'Données projet'!$E$10+1,1))-AVERAGE(OFFSET($H$3,0,0,'Données projet'!$E$10+1,1))</f>
        <v>505.64100207870439</v>
      </c>
      <c r="AO33" s="60">
        <f t="shared" si="36"/>
        <v>371.76229669709249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47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8.6000000000000007E-2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4.5130278796464545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4.5130278796464545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177</v>
      </c>
      <c r="BB33" s="13">
        <f>VLOOKUP(A33,'Données projet'!$A$87:$I$107,9,0)</f>
        <v>14.2</v>
      </c>
      <c r="BC33" s="13">
        <f t="array" ref="BC33">INDEX(BB:BB,MIN(IF(ISNUMBER(BB33:BB229),ROW(BB33:BB229),"")))</f>
        <v>14.2</v>
      </c>
      <c r="BD33" s="13">
        <f>IF('Données projet'!$A$88&gt;35,BD32+BC33-BL32,IF(A33&lt;'Données projet'!$A$88,$BA$205^A33,IF(A33='Données projet'!$A$88,'Données projet'!$B$88,BD32+BC33-BL32)))</f>
        <v>176.99999999999991</v>
      </c>
      <c r="BE33" s="14">
        <f>BD33*VLOOKUP('Données projet'!$B$11,Paramètres!$A$1:$I$89,3,0)*VLOOKUP('Données projet'!$B$11,Paramètres!$A$1:$I$89,5,0)</f>
        <v>140.82119999999992</v>
      </c>
      <c r="BF33" s="14">
        <f t="shared" si="37"/>
        <v>36.485066799987997</v>
      </c>
      <c r="BG33" s="22">
        <f t="shared" si="7"/>
        <v>308.80841467664561</v>
      </c>
      <c r="BH33" s="60">
        <f t="shared" si="8"/>
        <v>602.14174800997898</v>
      </c>
      <c r="BI33" s="60">
        <f ca="1">AVERAGE(OFFSET($BH$3,0,0,'Données projet'!$E$11+1,1))-AVERAGE(OFFSET($H$3,0,0,'Données projet'!$E$11+1,1))</f>
        <v>353.26636241468884</v>
      </c>
      <c r="BJ33" s="60">
        <f t="shared" si="38"/>
        <v>345.4750813433123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35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0.10600000000000001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6.0795563546560683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6.0795563546560683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183.97435897435898</v>
      </c>
      <c r="BW33" s="13">
        <f>VLOOKUP(A33,'Données projet'!$A$113:$I$133,9,0)</f>
        <v>9.2307692307692317</v>
      </c>
      <c r="BX33" s="13">
        <f t="array" ref="BX33">INDEX(BW:BW,MIN(IF(ISNUMBER(BW33:BW229),ROW(BW33:BW229),"")))</f>
        <v>9.2307692307692317</v>
      </c>
      <c r="BY33" s="13">
        <f>IF('Données projet'!$A$114&gt;35,BY32+BX33-CG32,IF(A33&lt;'Données projet'!$A$114,$BV$205^A33,IF(A33='Données projet'!$A$114,'Données projet'!$B$114,BY32+BX33-CG32)))</f>
        <v>183.97435897435895</v>
      </c>
      <c r="BZ33" s="14">
        <f>BY33*VLOOKUP('Données projet'!$B$12,Paramètres!$A$1:$I$89,3,0)*VLOOKUP('Données projet'!$B$12,Paramètres!$A$1:$I$89,5,0)</f>
        <v>123.41</v>
      </c>
      <c r="CA33" s="14">
        <f t="shared" si="39"/>
        <v>32.469024148887371</v>
      </c>
      <c r="CB33" s="22">
        <f t="shared" si="10"/>
        <v>271.48930039264548</v>
      </c>
      <c r="CC33" s="60">
        <f t="shared" si="11"/>
        <v>564.82263372597879</v>
      </c>
      <c r="CD33" s="60">
        <f ca="1">AVERAGE(OFFSET($CC$3,0,0,'Données projet'!$E$12+1,1))-AVERAGE(OFFSET($H$3,0,0,'Données projet'!$E$12+1,1))</f>
        <v>362.1372269575329</v>
      </c>
      <c r="CE33" s="60">
        <f t="shared" si="40"/>
        <v>308.1559670593121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39.102564102564102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0.10600000000000001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3.0615256903136903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3.0615256903136903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132</v>
      </c>
      <c r="CR33" s="13">
        <f>VLOOKUP(A33,'Données projet'!$A$139:$I$159,9,0)</f>
        <v>8.1999999999999993</v>
      </c>
      <c r="CS33" s="13">
        <f t="array" ref="CS33">INDEX(CR:CR,MIN(IF(ISNUMBER(CR33:CR229),ROW(CR33:CR229),"")))</f>
        <v>8.1999999999999993</v>
      </c>
      <c r="CT33" s="13">
        <f>IF('Données projet'!$A$140&gt;35,CT32+CS33-DB32,IF(A33&lt;'Données projet'!$A$140,$CQ$205^A33,IF(A33='Données projet'!$A$140,'Données projet'!$B$140,CT32+CS33-DB32)))</f>
        <v>131.99999999999997</v>
      </c>
      <c r="CU33" s="18">
        <f>CT33*VLOOKUP('Données projet'!$B$13,Paramètres!$A$1:$I$89,3,0)*VLOOKUP('Données projet'!$B$13,Paramètres!$A$1:$I$89,5,0)</f>
        <v>142.08479999999994</v>
      </c>
      <c r="CV33" s="14">
        <f t="shared" si="41"/>
        <v>36.77419224965486</v>
      </c>
      <c r="CW33" s="22">
        <f t="shared" si="13"/>
        <v>311.51274483481546</v>
      </c>
      <c r="CX33" s="60">
        <f t="shared" si="14"/>
        <v>604.84607816814878</v>
      </c>
      <c r="CY33" s="60">
        <f ca="1">AVERAGE(OFFSET($CX$3,0,0,'Données projet'!$E$13+1,1))-AVERAGE(OFFSET($H$3,0,0,'Données projet'!$E$13+1,1))</f>
        <v>488.44916315274139</v>
      </c>
      <c r="CZ33" s="60">
        <f t="shared" si="42"/>
        <v>348.17941150148209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39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8.6000000000000007E-2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3.9753054088800677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3.9753054088800677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8.0564102564102562</v>
      </c>
      <c r="N34" s="14">
        <f>IF('Données projet'!$A$36&gt;35,N33+M34-V33,IF(A34&lt;'Données projet'!$A$36,$K$205^A34,IF(A34='Données projet'!$A$36,'Données projet'!$B$36,N33+M34-V33)))</f>
        <v>129.94102564102562</v>
      </c>
      <c r="O34" s="14">
        <f>N34*VLOOKUP('Données projet'!$B$9,Paramètres!$A$1:$I$89,3,0)*VLOOKUP('Données projet'!$B$9,Paramètres!$A$1:$I$89,5,0)</f>
        <v>117.57063999999997</v>
      </c>
      <c r="P34" s="14">
        <f t="shared" si="33"/>
        <v>31.107718284302781</v>
      </c>
      <c r="Q34" s="22">
        <f t="shared" si="2"/>
        <v>258.94814067849393</v>
      </c>
      <c r="R34" s="60">
        <f t="shared" si="0"/>
        <v>552.28147401182719</v>
      </c>
      <c r="S34" s="60">
        <f ca="1">AVERAGE(OFFSET($R$3,0,0,'Données projet'!$E$9+1,1))-AVERAGE(OFFSET($H$3,0,0,'Données projet'!$E$9+1,1))</f>
        <v>319.72731970820928</v>
      </c>
      <c r="T34" s="60">
        <f t="shared" si="34"/>
        <v>279.93992813630513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9.8000000000000007</v>
      </c>
      <c r="AI34" s="14">
        <f>IF('Données projet'!$A$62&gt;35,AI33+AH34-AQ33,IF(A34&lt;'Données projet'!$A$62,$AF$205^A34,IF(A34='Données projet'!$A$62,'Données projet'!$B$62,AI33+AH34-AQ33)))</f>
        <v>113.80000000000001</v>
      </c>
      <c r="AJ34" s="14">
        <f>AI34*VLOOKUP('Données projet'!$B$10,Paramètres!$A$1:$I$89,3,0)*VLOOKUP('Données projet'!$B$10,Paramètres!$A$1:$I$89,5,0)</f>
        <v>115.39320000000002</v>
      </c>
      <c r="AK34" s="14">
        <f t="shared" si="35"/>
        <v>30.598103171409583</v>
      </c>
      <c r="AL34" s="22">
        <f t="shared" si="4"/>
        <v>254.26818635687172</v>
      </c>
      <c r="AM34" s="60">
        <f t="shared" si="5"/>
        <v>547.60151969020501</v>
      </c>
      <c r="AN34" s="60">
        <f ca="1">AVERAGE(OFFSET($AM$3,0,0,'Données projet'!$E$10+1,1))-AVERAGE(OFFSET($H$3,0,0,'Données projet'!$E$10+1,1))</f>
        <v>505.64100207870439</v>
      </c>
      <c r="AO34" s="60">
        <f t="shared" si="36"/>
        <v>371.76229669709249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4.3896188949477004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4.3896188949477004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12.8</v>
      </c>
      <c r="BD34" s="13">
        <f>IF('Données projet'!$A$88&gt;35,BD33+BC34-BL33,IF(A34&lt;'Données projet'!$A$88,$BA$205^A34,IF(A34='Données projet'!$A$88,'Données projet'!$B$88,BD33+BC34-BL33)))</f>
        <v>154.79999999999993</v>
      </c>
      <c r="BE34" s="14">
        <f>BD34*VLOOKUP('Données projet'!$B$11,Paramètres!$A$1:$I$89,3,0)*VLOOKUP('Données projet'!$B$11,Paramètres!$A$1:$I$89,5,0)</f>
        <v>123.15887999999995</v>
      </c>
      <c r="BF34" s="14">
        <f t="shared" si="37"/>
        <v>32.410638331814873</v>
      </c>
      <c r="BG34" s="22">
        <f t="shared" si="7"/>
        <v>270.95024442791083</v>
      </c>
      <c r="BH34" s="60">
        <f t="shared" si="8"/>
        <v>564.28357776124415</v>
      </c>
      <c r="BI34" s="60">
        <f ca="1">AVERAGE(OFFSET($BH$3,0,0,'Données projet'!$E$11+1,1))-AVERAGE(OFFSET($H$3,0,0,'Données projet'!$E$11+1,1))</f>
        <v>353.26636241468884</v>
      </c>
      <c r="BJ34" s="60">
        <f t="shared" si="38"/>
        <v>345.4750813433123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5.9133105664280246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5.9133105664280246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8.717948717948719</v>
      </c>
      <c r="BY34" s="13">
        <f>IF('Données projet'!$A$114&gt;35,BY33+BX34-CG33,IF(A34&lt;'Données projet'!$A$114,$BV$205^A34,IF(A34='Données projet'!$A$114,'Données projet'!$B$114,BY33+BX34-CG33)))</f>
        <v>153.58974358974359</v>
      </c>
      <c r="BZ34" s="14">
        <f>BY34*VLOOKUP('Données projet'!$B$12,Paramètres!$A$1:$I$89,3,0)*VLOOKUP('Données projet'!$B$12,Paramètres!$A$1:$I$89,5,0)</f>
        <v>103.02800000000001</v>
      </c>
      <c r="CA34" s="14">
        <f t="shared" si="39"/>
        <v>27.682119609309797</v>
      </c>
      <c r="CB34" s="22">
        <f t="shared" si="10"/>
        <v>227.65345831954789</v>
      </c>
      <c r="CC34" s="60">
        <f t="shared" si="11"/>
        <v>520.98679165288127</v>
      </c>
      <c r="CD34" s="60">
        <f ca="1">AVERAGE(OFFSET($CC$3,0,0,'Données projet'!$E$12+1,1))-AVERAGE(OFFSET($H$3,0,0,'Données projet'!$E$12+1,1))</f>
        <v>362.1372269575329</v>
      </c>
      <c r="CE34" s="60">
        <f t="shared" si="40"/>
        <v>308.1559670593121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2.9778081093134237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2.9778081093134237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8.6</v>
      </c>
      <c r="CT34" s="13">
        <f>IF('Données projet'!$A$140&gt;35,CT33+CS34-DB33,IF(A34&lt;'Données projet'!$A$140,$CQ$205^A34,IF(A34='Données projet'!$A$140,'Données projet'!$B$140,CT33+CS34-DB33)))</f>
        <v>101.59999999999997</v>
      </c>
      <c r="CU34" s="18">
        <f>CT34*VLOOKUP('Données projet'!$B$13,Paramètres!$A$1:$I$89,3,0)*VLOOKUP('Données projet'!$B$13,Paramètres!$A$1:$I$89,5,0)</f>
        <v>109.36223999999996</v>
      </c>
      <c r="CV34" s="14">
        <f t="shared" si="41"/>
        <v>29.180672529382424</v>
      </c>
      <c r="CW34" s="22">
        <f t="shared" si="13"/>
        <v>241.29557265534098</v>
      </c>
      <c r="CX34" s="60">
        <f t="shared" si="14"/>
        <v>534.62890598867432</v>
      </c>
      <c r="CY34" s="60">
        <f ca="1">AVERAGE(OFFSET($CX$3,0,0,'Données projet'!$E$13+1,1))-AVERAGE(OFFSET($H$3,0,0,'Données projet'!$E$13+1,1))</f>
        <v>488.44916315274139</v>
      </c>
      <c r="CZ34" s="60">
        <f t="shared" si="42"/>
        <v>348.17941150148209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3.8666004734220163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3.8666004734220163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8.0564102564102562</v>
      </c>
      <c r="N35" s="14">
        <f>IF('Données projet'!$A$36&gt;35,N34+M35-V34,IF(A35&lt;'Données projet'!$A$36,$K$205^A35,IF(A35='Données projet'!$A$36,'Données projet'!$B$36,N34+M35-V34)))</f>
        <v>137.99743589743588</v>
      </c>
      <c r="O35" s="14">
        <f>N35*VLOOKUP('Données projet'!$B$9,Paramètres!$A$1:$I$89,3,0)*VLOOKUP('Données projet'!$B$9,Paramètres!$A$1:$I$89,5,0)</f>
        <v>124.86007999999998</v>
      </c>
      <c r="P35" s="14">
        <f t="shared" si="33"/>
        <v>32.805900674075268</v>
      </c>
      <c r="Q35" s="22">
        <f t="shared" ref="Q35:Q66" si="53">(O35+P35)*0.475*44/12</f>
        <v>274.60158300734776</v>
      </c>
      <c r="R35" s="60">
        <f t="shared" si="0"/>
        <v>567.93491634068107</v>
      </c>
      <c r="S35" s="60">
        <f ca="1">AVERAGE(OFFSET($R$3,0,0,'Données projet'!$E$9+1,1))-AVERAGE(OFFSET($H$3,0,0,'Données projet'!$E$9+1,1))</f>
        <v>319.72731970820928</v>
      </c>
      <c r="T35" s="60">
        <f t="shared" si="34"/>
        <v>279.93992813630513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9.8000000000000007</v>
      </c>
      <c r="AI35" s="14">
        <f>IF('Données projet'!$A$62&gt;35,AI34+AH35-AQ34,IF(A35&lt;'Données projet'!$A$62,$AF$205^A35,IF(A35='Données projet'!$A$62,'Données projet'!$B$62,AI34+AH35-AQ34)))</f>
        <v>123.60000000000001</v>
      </c>
      <c r="AJ35" s="14">
        <f>AI35*VLOOKUP('Données projet'!$B$10,Paramètres!$A$1:$I$89,3,0)*VLOOKUP('Données projet'!$B$10,Paramètres!$A$1:$I$89,5,0)</f>
        <v>125.33040000000001</v>
      </c>
      <c r="AK35" s="14">
        <f t="shared" si="35"/>
        <v>32.915065424233788</v>
      </c>
      <c r="AL35" s="22">
        <f t="shared" si="4"/>
        <v>275.61085228054054</v>
      </c>
      <c r="AM35" s="60">
        <f t="shared" si="5"/>
        <v>568.94418561387386</v>
      </c>
      <c r="AN35" s="60">
        <f ca="1">AVERAGE(OFFSET($AM$3,0,0,'Données projet'!$E$10+1,1))-AVERAGE(OFFSET($H$3,0,0,'Données projet'!$E$10+1,1))</f>
        <v>505.64100207870439</v>
      </c>
      <c r="AO35" s="60">
        <f t="shared" si="36"/>
        <v>371.76229669709249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4.2695845354253308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4.2695845354253308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12.8</v>
      </c>
      <c r="BD35" s="13">
        <f>IF('Données projet'!$A$88&gt;35,BD34+BC35-BL34,IF(A35&lt;'Données projet'!$A$88,$BA$205^A35,IF(A35='Données projet'!$A$88,'Données projet'!$B$88,BD34+BC35-BL34)))</f>
        <v>167.59999999999994</v>
      </c>
      <c r="BE35" s="14">
        <f>BD35*VLOOKUP('Données projet'!$B$11,Paramètres!$A$1:$I$89,3,0)*VLOOKUP('Données projet'!$B$11,Paramètres!$A$1:$I$89,5,0)</f>
        <v>133.34255999999996</v>
      </c>
      <c r="BF35" s="14">
        <f t="shared" si="37"/>
        <v>34.767581918978188</v>
      </c>
      <c r="BG35" s="22">
        <f t="shared" si="7"/>
        <v>292.7918305088869</v>
      </c>
      <c r="BH35" s="60">
        <f t="shared" si="8"/>
        <v>586.12516384222022</v>
      </c>
      <c r="BI35" s="60">
        <f ca="1">AVERAGE(OFFSET($BH$3,0,0,'Données projet'!$E$11+1,1))-AVERAGE(OFFSET($H$3,0,0,'Données projet'!$E$11+1,1))</f>
        <v>353.26636241468884</v>
      </c>
      <c r="BJ35" s="60">
        <f t="shared" si="38"/>
        <v>345.4750813433123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5.7516107780215622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5.7516107780215622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8.717948717948719</v>
      </c>
      <c r="BY35" s="13">
        <f>IF('Données projet'!$A$114&gt;35,BY34+BX35-CG34,IF(A35&lt;'Données projet'!$A$114,$BV$205^A35,IF(A35='Données projet'!$A$114,'Données projet'!$B$114,BY34+BX35-CG34)))</f>
        <v>162.30769230769232</v>
      </c>
      <c r="BZ35" s="14">
        <f>BY35*VLOOKUP('Données projet'!$B$12,Paramètres!$A$1:$I$89,3,0)*VLOOKUP('Données projet'!$B$12,Paramètres!$A$1:$I$89,5,0)</f>
        <v>108.87600000000002</v>
      </c>
      <c r="CA35" s="14">
        <f t="shared" si="39"/>
        <v>29.066003313709242</v>
      </c>
      <c r="CB35" s="22">
        <f t="shared" si="10"/>
        <v>240.24898910471029</v>
      </c>
      <c r="CC35" s="60">
        <f t="shared" si="11"/>
        <v>533.58232243804355</v>
      </c>
      <c r="CD35" s="60">
        <f ca="1">AVERAGE(OFFSET($CC$3,0,0,'Données projet'!$E$12+1,1))-AVERAGE(OFFSET($H$3,0,0,'Données projet'!$E$12+1,1))</f>
        <v>362.1372269575329</v>
      </c>
      <c r="CE35" s="60">
        <f t="shared" si="40"/>
        <v>308.1559670593121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2.8963797899681256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2.8963797899681256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8.6</v>
      </c>
      <c r="CT35" s="13">
        <f>IF('Données projet'!$A$140&gt;35,CT34+CS35-DB34,IF(A35&lt;'Données projet'!$A$140,$CQ$205^A35,IF(A35='Données projet'!$A$140,'Données projet'!$B$140,CT34+CS35-DB34)))</f>
        <v>110.19999999999996</v>
      </c>
      <c r="CU35" s="18">
        <f>CT35*VLOOKUP('Données projet'!$B$13,Paramètres!$A$1:$I$89,3,0)*VLOOKUP('Données projet'!$B$13,Paramètres!$A$1:$I$89,5,0)</f>
        <v>118.61927999999996</v>
      </c>
      <c r="CV35" s="14">
        <f t="shared" si="41"/>
        <v>31.352752451796285</v>
      </c>
      <c r="CW35" s="22">
        <f t="shared" si="13"/>
        <v>261.20128985354512</v>
      </c>
      <c r="CX35" s="60">
        <f t="shared" si="14"/>
        <v>554.53462318687843</v>
      </c>
      <c r="CY35" s="60">
        <f ca="1">AVERAGE(OFFSET($CX$3,0,0,'Données projet'!$E$13+1,1))-AVERAGE(OFFSET($H$3,0,0,'Données projet'!$E$13+1,1))</f>
        <v>488.44916315274139</v>
      </c>
      <c r="CZ35" s="60">
        <f t="shared" si="42"/>
        <v>348.17941150148209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3.7608680801406096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3.7608680801406096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8.0564102564102562</v>
      </c>
      <c r="N36" s="14">
        <f>IF('Données projet'!$A$36&gt;35,N35+M36-V35,IF(A36&lt;'Données projet'!$A$36,$K$205^A36,IF(A36='Données projet'!$A$36,'Données projet'!$B$36,N35+M36-V35)))</f>
        <v>146.05384615384614</v>
      </c>
      <c r="O36" s="14">
        <f>N36*VLOOKUP('Données projet'!$B$9,Paramètres!$A$1:$I$89,3,0)*VLOOKUP('Données projet'!$B$9,Paramètres!$A$1:$I$89,5,0)</f>
        <v>132.14951999999997</v>
      </c>
      <c r="P36" s="14">
        <f t="shared" si="33"/>
        <v>34.49257523106499</v>
      </c>
      <c r="Q36" s="22">
        <f t="shared" si="53"/>
        <v>290.23498252743809</v>
      </c>
      <c r="R36" s="60">
        <f t="shared" si="0"/>
        <v>583.56831586077146</v>
      </c>
      <c r="S36" s="60">
        <f ca="1">AVERAGE(OFFSET($R$3,0,0,'Données projet'!$E$9+1,1))-AVERAGE(OFFSET($H$3,0,0,'Données projet'!$E$9+1,1))</f>
        <v>319.72731970820928</v>
      </c>
      <c r="T36" s="60">
        <f t="shared" si="34"/>
        <v>279.93992813630513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9.8000000000000007</v>
      </c>
      <c r="AI36" s="14">
        <f>IF('Données projet'!$A$62&gt;35,AI35+AH36-AQ35,IF(A36&lt;'Données projet'!$A$62,$AF$205^A36,IF(A36='Données projet'!$A$62,'Données projet'!$B$62,AI35+AH36-AQ35)))</f>
        <v>133.4</v>
      </c>
      <c r="AJ36" s="14">
        <f>AI36*VLOOKUP('Données projet'!$B$10,Paramètres!$A$1:$I$89,3,0)*VLOOKUP('Données projet'!$B$10,Paramètres!$A$1:$I$89,5,0)</f>
        <v>135.26760000000002</v>
      </c>
      <c r="AK36" s="14">
        <f t="shared" si="35"/>
        <v>35.210718959789133</v>
      </c>
      <c r="AL36" s="22">
        <f t="shared" si="4"/>
        <v>296.91640552163273</v>
      </c>
      <c r="AM36" s="60">
        <f t="shared" si="5"/>
        <v>590.24973885496604</v>
      </c>
      <c r="AN36" s="60">
        <f ca="1">AVERAGE(OFFSET($AM$3,0,0,'Données projet'!$E$10+1,1))-AVERAGE(OFFSET($H$3,0,0,'Données projet'!$E$10+1,1))</f>
        <v>505.64100207870439</v>
      </c>
      <c r="AO36" s="60">
        <f t="shared" si="36"/>
        <v>371.76229669709249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4.1528325217764328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4.1528325217764328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12.8</v>
      </c>
      <c r="BD36" s="13">
        <f>IF('Données projet'!$A$88&gt;35,BD35+BC36-BL35,IF(A36&lt;'Données projet'!$A$88,$BA$205^A36,IF(A36='Données projet'!$A$88,'Données projet'!$B$88,BD35+BC36-BL35)))</f>
        <v>180.39999999999995</v>
      </c>
      <c r="BE36" s="14">
        <f>BD36*VLOOKUP('Données projet'!$B$11,Paramètres!$A$1:$I$89,3,0)*VLOOKUP('Données projet'!$B$11,Paramètres!$A$1:$I$89,5,0)</f>
        <v>143.52623999999997</v>
      </c>
      <c r="BF36" s="14">
        <f t="shared" si="37"/>
        <v>37.103644337236275</v>
      </c>
      <c r="BG36" s="22">
        <f t="shared" si="7"/>
        <v>314.59704855401981</v>
      </c>
      <c r="BH36" s="60">
        <f t="shared" si="8"/>
        <v>607.93038188735318</v>
      </c>
      <c r="BI36" s="60">
        <f ca="1">AVERAGE(OFFSET($BH$3,0,0,'Données projet'!$E$11+1,1))-AVERAGE(OFFSET($H$3,0,0,'Données projet'!$E$11+1,1))</f>
        <v>353.26636241468884</v>
      </c>
      <c r="BJ36" s="60">
        <f t="shared" si="38"/>
        <v>345.4750813433123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5.5943326788324974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5.5943326788324974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8.717948717948719</v>
      </c>
      <c r="BY36" s="13">
        <f>IF('Données projet'!$A$114&gt;35,BY35+BX36-CG35,IF(A36&lt;'Données projet'!$A$114,$BV$205^A36,IF(A36='Données projet'!$A$114,'Données projet'!$B$114,BY35+BX36-CG35)))</f>
        <v>171.02564102564105</v>
      </c>
      <c r="BZ36" s="14">
        <f>BY36*VLOOKUP('Données projet'!$B$12,Paramètres!$A$1:$I$89,3,0)*VLOOKUP('Données projet'!$B$12,Paramètres!$A$1:$I$89,5,0)</f>
        <v>114.72400000000003</v>
      </c>
      <c r="CA36" s="14">
        <f t="shared" si="39"/>
        <v>30.441257404392591</v>
      </c>
      <c r="CB36" s="22">
        <f t="shared" si="10"/>
        <v>252.82948997931717</v>
      </c>
      <c r="CC36" s="60">
        <f t="shared" si="11"/>
        <v>546.16282331265052</v>
      </c>
      <c r="CD36" s="60">
        <f ca="1">AVERAGE(OFFSET($CC$3,0,0,'Données projet'!$E$12+1,1))-AVERAGE(OFFSET($H$3,0,0,'Données projet'!$E$12+1,1))</f>
        <v>362.1372269575329</v>
      </c>
      <c r="CE36" s="60">
        <f t="shared" si="40"/>
        <v>308.1559670593121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2.8171781322974536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2.8171781322974536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8.6</v>
      </c>
      <c r="CT36" s="13">
        <f>IF('Données projet'!$A$140&gt;35,CT35+CS36-DB35,IF(A36&lt;'Données projet'!$A$140,$CQ$205^A36,IF(A36='Données projet'!$A$140,'Données projet'!$B$140,CT35+CS36-DB35)))</f>
        <v>118.79999999999995</v>
      </c>
      <c r="CU36" s="18">
        <f>CT36*VLOOKUP('Données projet'!$B$13,Paramètres!$A$1:$I$89,3,0)*VLOOKUP('Données projet'!$B$13,Paramètres!$A$1:$I$89,5,0)</f>
        <v>127.87631999999995</v>
      </c>
      <c r="CV36" s="14">
        <f t="shared" si="41"/>
        <v>33.505169821414185</v>
      </c>
      <c r="CW36" s="22">
        <f t="shared" si="13"/>
        <v>281.07276143896291</v>
      </c>
      <c r="CX36" s="60">
        <f t="shared" si="14"/>
        <v>574.40609477229623</v>
      </c>
      <c r="CY36" s="60">
        <f ca="1">AVERAGE(OFFSET($CX$3,0,0,'Données projet'!$E$13+1,1))-AVERAGE(OFFSET($H$3,0,0,'Données projet'!$E$13+1,1))</f>
        <v>488.44916315274139</v>
      </c>
      <c r="CZ36" s="60">
        <f t="shared" si="42"/>
        <v>348.17941150148209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3.6580269447137077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3.6580269447137077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8.0564102564102562</v>
      </c>
      <c r="N37" s="14">
        <f>IF('Données projet'!$A$36&gt;35,N36+M37-V36,IF(A37&lt;'Données projet'!$A$36,$K$205^A37,IF(A37='Données projet'!$A$36,'Données projet'!$B$36,N36+M37-V36)))</f>
        <v>154.1102564102564</v>
      </c>
      <c r="O37" s="14">
        <f>N37*VLOOKUP('Données projet'!$B$9,Paramètres!$A$1:$I$89,3,0)*VLOOKUP('Données projet'!$B$9,Paramètres!$A$1:$I$89,5,0)</f>
        <v>139.43895999999998</v>
      </c>
      <c r="P37" s="14">
        <f t="shared" si="33"/>
        <v>36.168449088081644</v>
      </c>
      <c r="Q37" s="22">
        <f t="shared" si="53"/>
        <v>305.84957082840884</v>
      </c>
      <c r="R37" s="60">
        <f t="shared" si="0"/>
        <v>599.18290416174216</v>
      </c>
      <c r="S37" s="60">
        <f ca="1">AVERAGE(OFFSET($R$3,0,0,'Données projet'!$E$9+1,1))-AVERAGE(OFFSET($H$3,0,0,'Données projet'!$E$9+1,1))</f>
        <v>319.72731970820928</v>
      </c>
      <c r="T37" s="60">
        <f t="shared" si="34"/>
        <v>279.93992813630513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9.8000000000000007</v>
      </c>
      <c r="AI37" s="14">
        <f>IF('Données projet'!$A$62&gt;35,AI36+AH37-AQ36,IF(A37&lt;'Données projet'!$A$62,$AF$205^A37,IF(A37='Données projet'!$A$62,'Données projet'!$B$62,AI36+AH37-AQ36)))</f>
        <v>143.20000000000002</v>
      </c>
      <c r="AJ37" s="14">
        <f>AI37*VLOOKUP('Données projet'!$B$10,Paramètres!$A$1:$I$89,3,0)*VLOOKUP('Données projet'!$B$10,Paramètres!$A$1:$I$89,5,0)</f>
        <v>145.20480000000003</v>
      </c>
      <c r="AK37" s="14">
        <f t="shared" si="35"/>
        <v>37.486807201108256</v>
      </c>
      <c r="AL37" s="22">
        <f t="shared" si="4"/>
        <v>318.18788254193026</v>
      </c>
      <c r="AM37" s="60">
        <f t="shared" si="5"/>
        <v>611.52121587526358</v>
      </c>
      <c r="AN37" s="60">
        <f ca="1">AVERAGE(OFFSET($AM$3,0,0,'Données projet'!$E$10+1,1))-AVERAGE(OFFSET($H$3,0,0,'Données projet'!$E$10+1,1))</f>
        <v>505.64100207870439</v>
      </c>
      <c r="AO37" s="60">
        <f t="shared" si="36"/>
        <v>371.76229669709249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4.0392730980804856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4.0392730980804856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12.8</v>
      </c>
      <c r="BD37" s="13">
        <f>IF('Données projet'!$A$88&gt;35,BD36+BC37-BL36,IF(A37&lt;'Données projet'!$A$88,$BA$205^A37,IF(A37='Données projet'!$A$88,'Données projet'!$B$88,BD36+BC37-BL36)))</f>
        <v>193.19999999999996</v>
      </c>
      <c r="BE37" s="14">
        <f>BD37*VLOOKUP('Données projet'!$B$11,Paramètres!$A$1:$I$89,3,0)*VLOOKUP('Données projet'!$B$11,Paramètres!$A$1:$I$89,5,0)</f>
        <v>153.70991999999998</v>
      </c>
      <c r="BF37" s="14">
        <f t="shared" si="37"/>
        <v>39.420475690379831</v>
      </c>
      <c r="BG37" s="22">
        <f t="shared" si="7"/>
        <v>336.3687724940782</v>
      </c>
      <c r="BH37" s="60">
        <f t="shared" si="8"/>
        <v>629.70210582741151</v>
      </c>
      <c r="BI37" s="60">
        <f ca="1">AVERAGE(OFFSET($BH$3,0,0,'Données projet'!$E$11+1,1))-AVERAGE(OFFSET($H$3,0,0,'Données projet'!$E$11+1,1))</f>
        <v>353.26636241468884</v>
      </c>
      <c r="BJ37" s="60">
        <f t="shared" si="38"/>
        <v>345.4750813433123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5.4413553575366533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5.4413553575366533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8.717948717948719</v>
      </c>
      <c r="BY37" s="13">
        <f>IF('Données projet'!$A$114&gt;35,BY36+BX37-CG36,IF(A37&lt;'Données projet'!$A$114,$BV$205^A37,IF(A37='Données projet'!$A$114,'Données projet'!$B$114,BY36+BX37-CG36)))</f>
        <v>179.74358974358978</v>
      </c>
      <c r="BZ37" s="14">
        <f>BY37*VLOOKUP('Données projet'!$B$12,Paramètres!$A$1:$I$89,3,0)*VLOOKUP('Données projet'!$B$12,Paramètres!$A$1:$I$89,5,0)</f>
        <v>120.57200000000003</v>
      </c>
      <c r="CA37" s="14">
        <f t="shared" si="39"/>
        <v>31.808371955809051</v>
      </c>
      <c r="CB37" s="22">
        <f t="shared" si="10"/>
        <v>265.3958144897008</v>
      </c>
      <c r="CC37" s="60">
        <f t="shared" si="11"/>
        <v>558.72914782303405</v>
      </c>
      <c r="CD37" s="60">
        <f ca="1">AVERAGE(OFFSET($CC$3,0,0,'Données projet'!$E$12+1,1))-AVERAGE(OFFSET($H$3,0,0,'Données projet'!$E$12+1,1))</f>
        <v>362.1372269575329</v>
      </c>
      <c r="CE37" s="60">
        <f t="shared" si="40"/>
        <v>308.1559670593121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2.7401422481208204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2.7401422481208204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8.6</v>
      </c>
      <c r="CT37" s="13">
        <f>IF('Données projet'!$A$140&gt;35,CT36+CS37-DB36,IF(A37&lt;'Données projet'!$A$140,$CQ$205^A37,IF(A37='Données projet'!$A$140,'Données projet'!$B$140,CT36+CS37-DB36)))</f>
        <v>127.39999999999995</v>
      </c>
      <c r="CU37" s="18">
        <f>CT37*VLOOKUP('Données projet'!$B$13,Paramètres!$A$1:$I$89,3,0)*VLOOKUP('Données projet'!$B$13,Paramètres!$A$1:$I$89,5,0)</f>
        <v>137.13335999999995</v>
      </c>
      <c r="CV37" s="14">
        <f t="shared" si="41"/>
        <v>35.639509897196163</v>
      </c>
      <c r="CW37" s="22">
        <f t="shared" si="13"/>
        <v>300.91274840428326</v>
      </c>
      <c r="CX37" s="60">
        <f t="shared" si="14"/>
        <v>594.24608173761658</v>
      </c>
      <c r="CY37" s="60">
        <f ca="1">AVERAGE(OFFSET($CX$3,0,0,'Données projet'!$E$13+1,1))-AVERAGE(OFFSET($H$3,0,0,'Données projet'!$E$13+1,1))</f>
        <v>488.44916315274139</v>
      </c>
      <c r="CZ37" s="60">
        <f t="shared" si="42"/>
        <v>348.17941150148209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3.5579980055432348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3.5579980055432348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162.16666666666666</v>
      </c>
      <c r="L38" s="13">
        <f>VLOOKUP(A38,'Données projet'!$A$35:$I$55,9,0)</f>
        <v>8.0564102564102562</v>
      </c>
      <c r="M38" s="13">
        <f t="array" ref="M38">INDEX(L:L,MIN(IF(ISNUMBER(L38:L234),ROW(L38:L234),"")))</f>
        <v>8.0564102564102562</v>
      </c>
      <c r="N38" s="14">
        <f>IF('Données projet'!$A$36&gt;35,N37+M38-V37,IF(A38&lt;'Données projet'!$A$36,$K$205^A38,IF(A38='Données projet'!$A$36,'Données projet'!$B$36,N37+M38-V37)))</f>
        <v>162.16666666666666</v>
      </c>
      <c r="O38" s="14">
        <f>N38*VLOOKUP('Données projet'!$B$9,Paramètres!$A$1:$I$89,3,0)*VLOOKUP('Données projet'!$B$9,Paramètres!$A$1:$I$89,5,0)</f>
        <v>146.72839999999999</v>
      </c>
      <c r="P38" s="14">
        <f t="shared" si="33"/>
        <v>37.834151268675086</v>
      </c>
      <c r="Q38" s="22">
        <f t="shared" si="53"/>
        <v>321.44644345960904</v>
      </c>
      <c r="R38" s="60">
        <f t="shared" si="0"/>
        <v>614.77977679294236</v>
      </c>
      <c r="S38" s="60">
        <f ca="1">AVERAGE(OFFSET($R$3,0,0,'Données projet'!$E$9+1,1))-AVERAGE(OFFSET($H$3,0,0,'Données projet'!$E$9+1,1))</f>
        <v>319.72731970820928</v>
      </c>
      <c r="T38" s="60">
        <f t="shared" si="34"/>
        <v>279.93992813630513</v>
      </c>
      <c r="U38" s="16">
        <f>IF(ISNA(VLOOKUP(A38,'Données projet'!$A$35:$I$55,3,0)),0,VLOOKUP(A38,'Données projet'!$A$35:$I$55,3,0))</f>
        <v>1</v>
      </c>
      <c r="V38" s="16">
        <f>IF(ISNA(VLOOKUP(A38,'Données projet'!$A$35:$I$55,4,0)),0,VLOOKUP(A38,'Données projet'!$A$35:$I$55,4,0))</f>
        <v>60.602564102564102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153</v>
      </c>
      <c r="AG38" s="13">
        <f>VLOOKUP(A38,'Données projet'!$A$61:$I$81,9,0)</f>
        <v>9.8000000000000007</v>
      </c>
      <c r="AH38" s="13">
        <f t="array" ref="AH38">INDEX(AG:AG,MIN(IF(ISNUMBER(AG38:AG234),ROW(AG38:AG234),"")))</f>
        <v>9.8000000000000007</v>
      </c>
      <c r="AI38" s="14">
        <f>IF('Données projet'!$A$62&gt;35,AI37+AH38-AQ37,IF(A38&lt;'Données projet'!$A$62,$AF$205^A38,IF(A38='Données projet'!$A$62,'Données projet'!$B$62,AI37+AH38-AQ37)))</f>
        <v>153.00000000000003</v>
      </c>
      <c r="AJ38" s="14">
        <f>AI38*VLOOKUP('Données projet'!$B$10,Paramètres!$A$1:$I$89,3,0)*VLOOKUP('Données projet'!$B$10,Paramètres!$A$1:$I$89,5,0)</f>
        <v>155.14200000000002</v>
      </c>
      <c r="AK38" s="14">
        <f t="shared" si="35"/>
        <v>39.744821439017379</v>
      </c>
      <c r="AL38" s="22">
        <f t="shared" si="4"/>
        <v>339.42788067295527</v>
      </c>
      <c r="AM38" s="60">
        <f t="shared" si="5"/>
        <v>632.76121400628858</v>
      </c>
      <c r="AN38" s="60">
        <f ca="1">AVERAGE(OFFSET($AM$3,0,0,'Données projet'!$E$10+1,1))-AVERAGE(OFFSET($H$3,0,0,'Données projet'!$E$10+1,1))</f>
        <v>505.64100207870439</v>
      </c>
      <c r="AO38" s="60">
        <f t="shared" si="36"/>
        <v>371.76229669709249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3.9288189627973344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3.9288189627973344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206</v>
      </c>
      <c r="BB38" s="13">
        <f>VLOOKUP(A38,'Données projet'!$A$87:$I$107,9,0)</f>
        <v>12.8</v>
      </c>
      <c r="BC38" s="13">
        <f t="array" ref="BC38">INDEX(BB:BB,MIN(IF(ISNUMBER(BB38:BB234),ROW(BB38:BB234),"")))</f>
        <v>12.8</v>
      </c>
      <c r="BD38" s="13">
        <f>IF('Données projet'!$A$88&gt;35,BD37+BC38-BL37,IF(A38&lt;'Données projet'!$A$88,$BA$205^A38,IF(A38='Données projet'!$A$88,'Données projet'!$B$88,BD37+BC38-BL37)))</f>
        <v>205.99999999999997</v>
      </c>
      <c r="BE38" s="14">
        <f>BD38*VLOOKUP('Données projet'!$B$11,Paramètres!$A$1:$I$89,3,0)*VLOOKUP('Données projet'!$B$11,Paramètres!$A$1:$I$89,5,0)</f>
        <v>163.89359999999999</v>
      </c>
      <c r="BF38" s="14">
        <f t="shared" si="37"/>
        <v>41.71949506642347</v>
      </c>
      <c r="BG38" s="22">
        <f t="shared" si="7"/>
        <v>358.10947390735419</v>
      </c>
      <c r="BH38" s="60">
        <f t="shared" si="8"/>
        <v>651.44280724068744</v>
      </c>
      <c r="BI38" s="60">
        <f ca="1">AVERAGE(OFFSET($BH$3,0,0,'Données projet'!$E$11+1,1))-AVERAGE(OFFSET($H$3,0,0,'Données projet'!$E$11+1,1))</f>
        <v>353.26636241468884</v>
      </c>
      <c r="BJ38" s="60">
        <f t="shared" si="38"/>
        <v>345.4750813433123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35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5.2925612091363714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5.2925612091363714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188.46153846153845</v>
      </c>
      <c r="BW38" s="13">
        <f>VLOOKUP(A38,'Données projet'!$A$113:$I$133,9,0)</f>
        <v>8.717948717948719</v>
      </c>
      <c r="BX38" s="13">
        <f t="array" ref="BX38">INDEX(BW:BW,MIN(IF(ISNUMBER(BW38:BW234),ROW(BW38:BW234),"")))</f>
        <v>8.717948717948719</v>
      </c>
      <c r="BY38" s="13">
        <f>IF('Données projet'!$A$114&gt;35,BY37+BX38-CG37,IF(A38&lt;'Données projet'!$A$114,$BV$205^A38,IF(A38='Données projet'!$A$114,'Données projet'!$B$114,BY37+BX38-CG37)))</f>
        <v>188.46153846153851</v>
      </c>
      <c r="BZ38" s="14">
        <f>BY38*VLOOKUP('Données projet'!$B$12,Paramètres!$A$1:$I$89,3,0)*VLOOKUP('Données projet'!$B$12,Paramètres!$A$1:$I$89,5,0)</f>
        <v>126.42000000000004</v>
      </c>
      <c r="CA38" s="14">
        <f t="shared" si="39"/>
        <v>33.167786817172477</v>
      </c>
      <c r="CB38" s="22">
        <f t="shared" si="10"/>
        <v>277.94872870657542</v>
      </c>
      <c r="CC38" s="60">
        <f t="shared" si="11"/>
        <v>571.28206203990874</v>
      </c>
      <c r="CD38" s="60">
        <f ca="1">AVERAGE(OFFSET($CC$3,0,0,'Données projet'!$E$12+1,1))-AVERAGE(OFFSET($H$3,0,0,'Données projet'!$E$12+1,1))</f>
        <v>362.1372269575329</v>
      </c>
      <c r="CE38" s="60">
        <f t="shared" si="40"/>
        <v>308.1559670593121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2.6652129142481384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2.6652129142481384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136</v>
      </c>
      <c r="CR38" s="13">
        <f>VLOOKUP(A38,'Données projet'!$A$139:$I$159,9,0)</f>
        <v>8.6</v>
      </c>
      <c r="CS38" s="13">
        <f t="array" ref="CS38">INDEX(CR:CR,MIN(IF(ISNUMBER(CR38:CR234),ROW(CR38:CR234),"")))</f>
        <v>8.6</v>
      </c>
      <c r="CT38" s="13">
        <f>IF('Données projet'!$A$140&gt;35,CT37+CS38-DB37,IF(A38&lt;'Données projet'!$A$140,$CQ$205^A38,IF(A38='Données projet'!$A$140,'Données projet'!$B$140,CT37+CS38-DB37)))</f>
        <v>135.99999999999994</v>
      </c>
      <c r="CU38" s="18">
        <f>CT38*VLOOKUP('Données projet'!$B$13,Paramètres!$A$1:$I$89,3,0)*VLOOKUP('Données projet'!$B$13,Paramètres!$A$1:$I$89,5,0)</f>
        <v>146.39039999999991</v>
      </c>
      <c r="CV38" s="14">
        <f t="shared" si="41"/>
        <v>37.757131804538304</v>
      </c>
      <c r="CW38" s="22">
        <f t="shared" si="13"/>
        <v>320.72361789290409</v>
      </c>
      <c r="CX38" s="60">
        <f t="shared" si="14"/>
        <v>614.0569512262374</v>
      </c>
      <c r="CY38" s="60">
        <f ca="1">AVERAGE(OFFSET($CX$3,0,0,'Données projet'!$E$13+1,1))-AVERAGE(OFFSET($H$3,0,0,'Données projet'!$E$13+1,1))</f>
        <v>488.44916315274139</v>
      </c>
      <c r="CZ38" s="60">
        <f t="shared" si="42"/>
        <v>348.17941150148209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3.4607043629746719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3.4607043629746719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9.3141025641025674</v>
      </c>
      <c r="N39" s="14">
        <f>IF('Données projet'!$A$36&gt;35,N38+M39-V38,IF(A39&lt;'Données projet'!$A$36,$K$205^A39,IF(A39='Données projet'!$A$36,'Données projet'!$B$36,N38+M39-V38)))</f>
        <v>110.87820512820512</v>
      </c>
      <c r="O39" s="14">
        <f>N39*VLOOKUP('Données projet'!$B$9,Paramètres!$A$1:$I$89,3,0)*VLOOKUP('Données projet'!$B$9,Paramètres!$A$1:$I$89,5,0)</f>
        <v>100.32259999999999</v>
      </c>
      <c r="P39" s="14">
        <f t="shared" si="33"/>
        <v>27.038838137326771</v>
      </c>
      <c r="Q39" s="22">
        <f t="shared" si="53"/>
        <v>221.82117142251073</v>
      </c>
      <c r="R39" s="60">
        <f t="shared" si="0"/>
        <v>515.15450475584407</v>
      </c>
      <c r="S39" s="60">
        <f ca="1">AVERAGE(OFFSET($R$3,0,0,'Données projet'!$E$9+1,1))-AVERAGE(OFFSET($H$3,0,0,'Données projet'!$E$9+1,1))</f>
        <v>319.72731970820928</v>
      </c>
      <c r="T39" s="60">
        <f t="shared" si="34"/>
        <v>279.93992813630513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163.00000000000003</v>
      </c>
      <c r="AJ39" s="14">
        <f>AI39*VLOOKUP('Données projet'!$B$10,Paramètres!$A$1:$I$89,3,0)*VLOOKUP('Données projet'!$B$10,Paramètres!$A$1:$I$89,5,0)</f>
        <v>165.28200000000004</v>
      </c>
      <c r="AK39" s="14">
        <f t="shared" si="35"/>
        <v>42.031623878204478</v>
      </c>
      <c r="AL39" s="22">
        <f t="shared" si="4"/>
        <v>361.07122825453945</v>
      </c>
      <c r="AM39" s="60">
        <f t="shared" si="5"/>
        <v>654.40456158787276</v>
      </c>
      <c r="AN39" s="60">
        <f ca="1">AVERAGE(OFFSET($AM$3,0,0,'Données projet'!$E$10+1,1))-AVERAGE(OFFSET($H$3,0,0,'Données projet'!$E$10+1,1))</f>
        <v>505.64100207870439</v>
      </c>
      <c r="AO39" s="60">
        <f t="shared" si="36"/>
        <v>371.76229669709249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3.8213852016520313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3.8213852016520313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11.4</v>
      </c>
      <c r="BD39" s="13">
        <f>IF('Données projet'!$A$88&gt;35,BD38+BC39-BL38,IF(A39&lt;'Données projet'!$A$88,$BA$205^A39,IF(A39='Données projet'!$A$88,'Données projet'!$B$88,BD38+BC39-BL38)))</f>
        <v>182.39999999999998</v>
      </c>
      <c r="BE39" s="14">
        <f>BD39*VLOOKUP('Données projet'!$B$11,Paramètres!$A$1:$I$89,3,0)*VLOOKUP('Données projet'!$B$11,Paramètres!$A$1:$I$89,5,0)</f>
        <v>145.11743999999999</v>
      </c>
      <c r="BF39" s="14">
        <f t="shared" si="37"/>
        <v>37.466878406916173</v>
      </c>
      <c r="BG39" s="22">
        <f t="shared" si="7"/>
        <v>318.00102122537896</v>
      </c>
      <c r="BH39" s="60">
        <f t="shared" si="8"/>
        <v>611.33435455871222</v>
      </c>
      <c r="BI39" s="60">
        <f ca="1">AVERAGE(OFFSET($BH$3,0,0,'Données projet'!$E$11+1,1))-AVERAGE(OFFSET($H$3,0,0,'Données projet'!$E$11+1,1))</f>
        <v>353.26636241468884</v>
      </c>
      <c r="BJ39" s="60">
        <f t="shared" si="38"/>
        <v>345.4750813433123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5.1478358445488395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5.1478358445488395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7.9487179487179507</v>
      </c>
      <c r="BY39" s="13">
        <f>IF('Données projet'!$A$114&gt;35,BY38+BX39-CG38,IF(A39&lt;'Données projet'!$A$114,$BV$205^A39,IF(A39='Données projet'!$A$114,'Données projet'!$B$114,BY38+BX39-CG38)))</f>
        <v>196.41025641025647</v>
      </c>
      <c r="BZ39" s="14">
        <f>BY39*VLOOKUP('Données projet'!$B$12,Paramètres!$A$1:$I$89,3,0)*VLOOKUP('Données projet'!$B$12,Paramètres!$A$1:$I$89,5,0)</f>
        <v>131.75200000000004</v>
      </c>
      <c r="CA39" s="14">
        <f t="shared" si="39"/>
        <v>34.400879137880764</v>
      </c>
      <c r="CB39" s="22">
        <f t="shared" si="10"/>
        <v>289.38293116514234</v>
      </c>
      <c r="CC39" s="60">
        <f t="shared" si="11"/>
        <v>582.71626449847565</v>
      </c>
      <c r="CD39" s="60">
        <f ca="1">AVERAGE(OFFSET($CC$3,0,0,'Données projet'!$E$12+1,1))-AVERAGE(OFFSET($H$3,0,0,'Données projet'!$E$12+1,1))</f>
        <v>362.1372269575329</v>
      </c>
      <c r="CE39" s="60">
        <f t="shared" si="40"/>
        <v>308.1559670593121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2.5923325269505675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2.5923325269505675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8.8000000000000007</v>
      </c>
      <c r="CT39" s="13">
        <f>IF('Données projet'!$A$140&gt;35,CT38+CS39-DB38,IF(A39&lt;'Données projet'!$A$140,$CQ$205^A39,IF(A39='Données projet'!$A$140,'Données projet'!$B$140,CT38+CS39-DB38)))</f>
        <v>144.79999999999995</v>
      </c>
      <c r="CU39" s="18">
        <f>CT39*VLOOKUP('Données projet'!$B$13,Paramètres!$A$1:$I$89,3,0)*VLOOKUP('Données projet'!$B$13,Paramètres!$A$1:$I$89,5,0)</f>
        <v>155.86271999999994</v>
      </c>
      <c r="CV39" s="14">
        <f t="shared" si="41"/>
        <v>39.907922284180763</v>
      </c>
      <c r="CW39" s="22">
        <f t="shared" si="13"/>
        <v>340.96720197828137</v>
      </c>
      <c r="CX39" s="60">
        <f t="shared" si="14"/>
        <v>634.30053531161468</v>
      </c>
      <c r="CY39" s="60">
        <f ca="1">AVERAGE(OFFSET($CX$3,0,0,'Données projet'!$E$13+1,1))-AVERAGE(OFFSET($H$3,0,0,'Données projet'!$E$13+1,1))</f>
        <v>488.44916315274139</v>
      </c>
      <c r="CZ39" s="60">
        <f t="shared" si="42"/>
        <v>348.17941150148209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3.3660712201785965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3.3660712201785965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9.3141025641025674</v>
      </c>
      <c r="N40" s="14">
        <f>IF('Données projet'!$A$36&gt;35,N39+M40-V39,IF(A40&lt;'Données projet'!$A$36,$K$205^A40,IF(A40='Données projet'!$A$36,'Données projet'!$B$36,N39+M40-V39)))</f>
        <v>120.19230769230769</v>
      </c>
      <c r="O40" s="14">
        <f>N40*VLOOKUP('Données projet'!$B$9,Paramètres!$A$1:$I$89,3,0)*VLOOKUP('Données projet'!$B$9,Paramètres!$A$1:$I$89,5,0)</f>
        <v>108.74999999999999</v>
      </c>
      <c r="P40" s="14">
        <f t="shared" si="33"/>
        <v>29.036279216217448</v>
      </c>
      <c r="Q40" s="22">
        <f t="shared" si="53"/>
        <v>239.97776963491199</v>
      </c>
      <c r="R40" s="60">
        <f t="shared" si="0"/>
        <v>533.31110296824534</v>
      </c>
      <c r="S40" s="60">
        <f ca="1">AVERAGE(OFFSET($R$3,0,0,'Données projet'!$E$9+1,1))-AVERAGE(OFFSET($H$3,0,0,'Données projet'!$E$9+1,1))</f>
        <v>319.72731970820928</v>
      </c>
      <c r="T40" s="60">
        <f t="shared" si="34"/>
        <v>279.93992813630513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173.00000000000003</v>
      </c>
      <c r="AJ40" s="14">
        <f>AI40*VLOOKUP('Données projet'!$B$10,Paramètres!$A$1:$I$89,3,0)*VLOOKUP('Données projet'!$B$10,Paramètres!$A$1:$I$89,5,0)</f>
        <v>175.42200000000003</v>
      </c>
      <c r="AK40" s="14">
        <f t="shared" si="35"/>
        <v>44.302143412304737</v>
      </c>
      <c r="AL40" s="22">
        <f t="shared" si="4"/>
        <v>382.68621644309746</v>
      </c>
      <c r="AM40" s="60">
        <f t="shared" si="5"/>
        <v>676.01954977643072</v>
      </c>
      <c r="AN40" s="60">
        <f ca="1">AVERAGE(OFFSET($AM$3,0,0,'Données projet'!$E$10+1,1))-AVERAGE(OFFSET($H$3,0,0,'Données projet'!$E$10+1,1))</f>
        <v>505.64100207870439</v>
      </c>
      <c r="AO40" s="60">
        <f t="shared" si="36"/>
        <v>371.76229669709249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3.7168892223549426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3.7168892223549426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11.4</v>
      </c>
      <c r="BD40" s="13">
        <f>IF('Données projet'!$A$88&gt;35,BD39+BC40-BL39,IF(A40&lt;'Données projet'!$A$88,$BA$205^A40,IF(A40='Données projet'!$A$88,'Données projet'!$B$88,BD39+BC40-BL39)))</f>
        <v>193.79999999999998</v>
      </c>
      <c r="BE40" s="14">
        <f>BD40*VLOOKUP('Données projet'!$B$11,Paramètres!$A$1:$I$89,3,0)*VLOOKUP('Données projet'!$B$11,Paramètres!$A$1:$I$89,5,0)</f>
        <v>154.18727999999999</v>
      </c>
      <c r="BF40" s="14">
        <f t="shared" si="37"/>
        <v>39.528629863903078</v>
      </c>
      <c r="BG40" s="22">
        <f t="shared" si="7"/>
        <v>337.38854301296448</v>
      </c>
      <c r="BH40" s="60">
        <f t="shared" si="8"/>
        <v>630.72187634629779</v>
      </c>
      <c r="BI40" s="60">
        <f ca="1">AVERAGE(OFFSET($BH$3,0,0,'Données projet'!$E$11+1,1))-AVERAGE(OFFSET($H$3,0,0,'Données projet'!$E$11+1,1))</f>
        <v>353.26636241468884</v>
      </c>
      <c r="BJ40" s="60">
        <f t="shared" si="38"/>
        <v>345.4750813433123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5.0070680026667302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5.0070680026667302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7.9487179487179507</v>
      </c>
      <c r="BY40" s="13">
        <f>IF('Données projet'!$A$114&gt;35,BY39+BX40-CG39,IF(A40&lt;'Données projet'!$A$114,$BV$205^A40,IF(A40='Données projet'!$A$114,'Données projet'!$B$114,BY39+BX40-CG39)))</f>
        <v>204.35897435897442</v>
      </c>
      <c r="BZ40" s="14">
        <f>BY40*VLOOKUP('Données projet'!$B$12,Paramètres!$A$1:$I$89,3,0)*VLOOKUP('Données projet'!$B$12,Paramètres!$A$1:$I$89,5,0)</f>
        <v>137.08400000000003</v>
      </c>
      <c r="CA40" s="14">
        <f t="shared" si="39"/>
        <v>35.628174713483716</v>
      </c>
      <c r="CB40" s="22">
        <f t="shared" si="10"/>
        <v>300.80703762598421</v>
      </c>
      <c r="CC40" s="60">
        <f t="shared" si="11"/>
        <v>594.14037095931758</v>
      </c>
      <c r="CD40" s="60">
        <f ca="1">AVERAGE(OFFSET($CC$3,0,0,'Données projet'!$E$12+1,1))-AVERAGE(OFFSET($H$3,0,0,'Données projet'!$E$12+1,1))</f>
        <v>362.1372269575329</v>
      </c>
      <c r="CE40" s="60">
        <f t="shared" si="40"/>
        <v>308.1559670593121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2.5214450576762615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2.5214450576762615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8.8000000000000007</v>
      </c>
      <c r="CT40" s="13">
        <f>IF('Données projet'!$A$140&gt;35,CT39+CS40-DB39,IF(A40&lt;'Données projet'!$A$140,$CQ$205^A40,IF(A40='Données projet'!$A$140,'Données projet'!$B$140,CT39+CS40-DB39)))</f>
        <v>153.59999999999997</v>
      </c>
      <c r="CU40" s="18">
        <f>CT40*VLOOKUP('Données projet'!$B$13,Paramètres!$A$1:$I$89,3,0)*VLOOKUP('Données projet'!$B$13,Paramètres!$A$1:$I$89,5,0)</f>
        <v>165.33503999999996</v>
      </c>
      <c r="CV40" s="14">
        <f t="shared" si="41"/>
        <v>42.043541832676581</v>
      </c>
      <c r="CW40" s="22">
        <f t="shared" si="13"/>
        <v>361.18436335857831</v>
      </c>
      <c r="CX40" s="60">
        <f t="shared" si="14"/>
        <v>654.51769669191162</v>
      </c>
      <c r="CY40" s="60">
        <f ca="1">AVERAGE(OFFSET($CX$3,0,0,'Données projet'!$E$13+1,1))-AVERAGE(OFFSET($H$3,0,0,'Données projet'!$E$13+1,1))</f>
        <v>488.44916315274139</v>
      </c>
      <c r="CZ40" s="60">
        <f t="shared" si="42"/>
        <v>348.17941150148209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3.2740258256488204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3.2740258256488204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9.3141025641025674</v>
      </c>
      <c r="N41" s="14">
        <f>IF('Données projet'!$A$36&gt;35,N40+M41-V40,IF(A41&lt;'Données projet'!$A$36,$K$205^A41,IF(A41='Données projet'!$A$36,'Données projet'!$B$36,N40+M41-V40)))</f>
        <v>129.50641025641025</v>
      </c>
      <c r="O41" s="14">
        <f>N41*VLOOKUP('Données projet'!$B$9,Paramètres!$A$1:$I$89,3,0)*VLOOKUP('Données projet'!$B$9,Paramètres!$A$1:$I$89,5,0)</f>
        <v>117.17739999999998</v>
      </c>
      <c r="P41" s="14">
        <f t="shared" si="33"/>
        <v>31.015764986886897</v>
      </c>
      <c r="Q41" s="22">
        <f t="shared" si="53"/>
        <v>258.10309568549462</v>
      </c>
      <c r="R41" s="60">
        <f t="shared" si="0"/>
        <v>551.43642901882799</v>
      </c>
      <c r="S41" s="60">
        <f ca="1">AVERAGE(OFFSET($R$3,0,0,'Données projet'!$E$9+1,1))-AVERAGE(OFFSET($H$3,0,0,'Données projet'!$E$9+1,1))</f>
        <v>319.72731970820928</v>
      </c>
      <c r="T41" s="60">
        <f t="shared" si="34"/>
        <v>279.93992813630513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183.00000000000003</v>
      </c>
      <c r="AJ41" s="14">
        <f>AI41*VLOOKUP('Données projet'!$B$10,Paramètres!$A$1:$I$89,3,0)*VLOOKUP('Données projet'!$B$10,Paramètres!$A$1:$I$89,5,0)</f>
        <v>185.56200000000004</v>
      </c>
      <c r="AK41" s="14">
        <f t="shared" si="35"/>
        <v>46.557428480028591</v>
      </c>
      <c r="AL41" s="22">
        <f t="shared" si="4"/>
        <v>404.27467126938319</v>
      </c>
      <c r="AM41" s="60">
        <f t="shared" si="5"/>
        <v>697.60800460271651</v>
      </c>
      <c r="AN41" s="60">
        <f ca="1">AVERAGE(OFFSET($AM$3,0,0,'Données projet'!$E$10+1,1))-AVERAGE(OFFSET($H$3,0,0,'Données projet'!$E$10+1,1))</f>
        <v>505.64100207870439</v>
      </c>
      <c r="AO41" s="60">
        <f t="shared" si="36"/>
        <v>371.76229669709249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3.6152506911069375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3.6152506911069375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11.4</v>
      </c>
      <c r="BD41" s="13">
        <f>IF('Données projet'!$A$88&gt;35,BD40+BC41-BL40,IF(A41&lt;'Données projet'!$A$88,$BA$205^A41,IF(A41='Données projet'!$A$88,'Données projet'!$B$88,BD40+BC41-BL40)))</f>
        <v>205.2</v>
      </c>
      <c r="BE41" s="14">
        <f>BD41*VLOOKUP('Données projet'!$B$11,Paramètres!$A$1:$I$89,3,0)*VLOOKUP('Données projet'!$B$11,Paramètres!$A$1:$I$89,5,0)</f>
        <v>163.25712000000001</v>
      </c>
      <c r="BF41" s="14">
        <f t="shared" si="37"/>
        <v>41.576304038313076</v>
      </c>
      <c r="BG41" s="22">
        <f t="shared" si="7"/>
        <v>356.75154686672863</v>
      </c>
      <c r="BH41" s="60">
        <f t="shared" si="8"/>
        <v>650.08488020006189</v>
      </c>
      <c r="BI41" s="60">
        <f ca="1">AVERAGE(OFFSET($BH$3,0,0,'Données projet'!$E$11+1,1))-AVERAGE(OFFSET($H$3,0,0,'Données projet'!$E$11+1,1))</f>
        <v>353.26636241468884</v>
      </c>
      <c r="BJ41" s="60">
        <f t="shared" si="38"/>
        <v>345.4750813433123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4.8701494648235464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4.8701494648235464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7.9487179487179507</v>
      </c>
      <c r="BY41" s="13">
        <f>IF('Données projet'!$A$114&gt;35,BY40+BX41-CG40,IF(A41&lt;'Données projet'!$A$114,$BV$205^A41,IF(A41='Données projet'!$A$114,'Données projet'!$B$114,BY40+BX41-CG40)))</f>
        <v>212.30769230769238</v>
      </c>
      <c r="BZ41" s="14">
        <f>BY41*VLOOKUP('Données projet'!$B$12,Paramètres!$A$1:$I$89,3,0)*VLOOKUP('Données projet'!$B$12,Paramètres!$A$1:$I$89,5,0)</f>
        <v>142.41600000000005</v>
      </c>
      <c r="CA41" s="14">
        <f t="shared" si="39"/>
        <v>36.849924818088418</v>
      </c>
      <c r="CB41" s="22">
        <f t="shared" si="10"/>
        <v>312.22148572483741</v>
      </c>
      <c r="CC41" s="60">
        <f t="shared" si="11"/>
        <v>605.55481905817078</v>
      </c>
      <c r="CD41" s="60">
        <f ca="1">AVERAGE(OFFSET($CC$3,0,0,'Données projet'!$E$12+1,1))-AVERAGE(OFFSET($H$3,0,0,'Données projet'!$E$12+1,1))</f>
        <v>362.1372269575329</v>
      </c>
      <c r="CE41" s="60">
        <f t="shared" si="40"/>
        <v>308.1559670593121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2.4524960099770712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2.4524960099770712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8.8000000000000007</v>
      </c>
      <c r="CT41" s="13">
        <f>IF('Données projet'!$A$140&gt;35,CT40+CS41-DB40,IF(A41&lt;'Données projet'!$A$140,$CQ$205^A41,IF(A41='Données projet'!$A$140,'Données projet'!$B$140,CT40+CS41-DB40)))</f>
        <v>162.39999999999998</v>
      </c>
      <c r="CU41" s="18">
        <f>CT41*VLOOKUP('Données projet'!$B$13,Paramètres!$A$1:$I$89,3,0)*VLOOKUP('Données projet'!$B$13,Paramètres!$A$1:$I$89,5,0)</f>
        <v>174.80735999999996</v>
      </c>
      <c r="CV41" s="14">
        <f t="shared" si="41"/>
        <v>44.164958649772537</v>
      </c>
      <c r="CW41" s="22">
        <f t="shared" si="13"/>
        <v>381.37678831502041</v>
      </c>
      <c r="CX41" s="60">
        <f t="shared" si="14"/>
        <v>674.71012164835372</v>
      </c>
      <c r="CY41" s="60">
        <f ca="1">AVERAGE(OFFSET($CX$3,0,0,'Données projet'!$E$13+1,1))-AVERAGE(OFFSET($H$3,0,0,'Données projet'!$E$13+1,1))</f>
        <v>488.44916315274139</v>
      </c>
      <c r="CZ41" s="60">
        <f t="shared" si="42"/>
        <v>348.17941150148209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3.1844974172729179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3.1844974172729179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9.3141025641025674</v>
      </c>
      <c r="N42" s="14">
        <f>IF('Données projet'!$A$36&gt;35,N41+M42-V41,IF(A42&lt;'Données projet'!$A$36,$K$205^A42,IF(A42='Données projet'!$A$36,'Données projet'!$B$36,N41+M42-V41)))</f>
        <v>138.82051282051282</v>
      </c>
      <c r="O42" s="14">
        <f>N42*VLOOKUP('Données projet'!$B$9,Paramètres!$A$1:$I$89,3,0)*VLOOKUP('Données projet'!$B$9,Paramètres!$A$1:$I$89,5,0)</f>
        <v>125.6048</v>
      </c>
      <c r="P42" s="14">
        <f t="shared" si="33"/>
        <v>32.978733659615138</v>
      </c>
      <c r="Q42" s="22">
        <f t="shared" si="53"/>
        <v>276.19965445716304</v>
      </c>
      <c r="R42" s="60">
        <f t="shared" si="0"/>
        <v>569.53298779049635</v>
      </c>
      <c r="S42" s="60">
        <f ca="1">AVERAGE(OFFSET($R$3,0,0,'Données projet'!$E$9+1,1))-AVERAGE(OFFSET($H$3,0,0,'Données projet'!$E$9+1,1))</f>
        <v>319.72731970820928</v>
      </c>
      <c r="T42" s="60">
        <f t="shared" si="34"/>
        <v>279.93992813630513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193.00000000000003</v>
      </c>
      <c r="AJ42" s="14">
        <f>AI42*VLOOKUP('Données projet'!$B$10,Paramètres!$A$1:$I$89,3,0)*VLOOKUP('Données projet'!$B$10,Paramètres!$A$1:$I$89,5,0)</f>
        <v>195.70200000000003</v>
      </c>
      <c r="AK42" s="14">
        <f t="shared" si="35"/>
        <v>48.79840646516984</v>
      </c>
      <c r="AL42" s="22">
        <f t="shared" si="4"/>
        <v>425.83820792683758</v>
      </c>
      <c r="AM42" s="60">
        <f t="shared" si="5"/>
        <v>719.1715412601709</v>
      </c>
      <c r="AN42" s="60">
        <f ca="1">AVERAGE(OFFSET($AM$3,0,0,'Données projet'!$E$10+1,1))-AVERAGE(OFFSET($H$3,0,0,'Données projet'!$E$10+1,1))</f>
        <v>505.64100207870439</v>
      </c>
      <c r="AO42" s="60">
        <f t="shared" si="36"/>
        <v>371.76229669709249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3.5163914708408472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3.5163914708408472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11.4</v>
      </c>
      <c r="BD42" s="13">
        <f>IF('Données projet'!$A$88&gt;35,BD41+BC42-BL41,IF(A42&lt;'Données projet'!$A$88,$BA$205^A42,IF(A42='Données projet'!$A$88,'Données projet'!$B$88,BD41+BC42-BL41)))</f>
        <v>216.6</v>
      </c>
      <c r="BE42" s="14">
        <f>BD42*VLOOKUP('Données projet'!$B$11,Paramètres!$A$1:$I$89,3,0)*VLOOKUP('Données projet'!$B$11,Paramètres!$A$1:$I$89,5,0)</f>
        <v>172.32695999999999</v>
      </c>
      <c r="BF42" s="14">
        <f t="shared" si="37"/>
        <v>43.61077213808133</v>
      </c>
      <c r="BG42" s="22">
        <f t="shared" si="7"/>
        <v>376.09155014049156</v>
      </c>
      <c r="BH42" s="60">
        <f t="shared" si="8"/>
        <v>669.42488347382482</v>
      </c>
      <c r="BI42" s="60">
        <f ca="1">AVERAGE(OFFSET($BH$3,0,0,'Données projet'!$E$11+1,1))-AVERAGE(OFFSET($H$3,0,0,'Données projet'!$E$11+1,1))</f>
        <v>353.26636241468884</v>
      </c>
      <c r="BJ42" s="60">
        <f t="shared" si="38"/>
        <v>345.4750813433123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4.7369749715979168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4.7369749715979168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7.9487179487179507</v>
      </c>
      <c r="BY42" s="13">
        <f>IF('Données projet'!$A$114&gt;35,BY41+BX42-CG41,IF(A42&lt;'Données projet'!$A$114,$BV$205^A42,IF(A42='Données projet'!$A$114,'Données projet'!$B$114,BY41+BX42-CG41)))</f>
        <v>220.25641025641033</v>
      </c>
      <c r="BZ42" s="14">
        <f>BY42*VLOOKUP('Données projet'!$B$12,Paramètres!$A$1:$I$89,3,0)*VLOOKUP('Données projet'!$B$12,Paramètres!$A$1:$I$89,5,0)</f>
        <v>147.74800000000008</v>
      </c>
      <c r="CA42" s="14">
        <f t="shared" si="39"/>
        <v>38.066360844681896</v>
      </c>
      <c r="CB42" s="22">
        <f t="shared" si="10"/>
        <v>323.62667847115443</v>
      </c>
      <c r="CC42" s="60">
        <f t="shared" si="11"/>
        <v>616.96001180448775</v>
      </c>
      <c r="CD42" s="60">
        <f ca="1">AVERAGE(OFFSET($CC$3,0,0,'Données projet'!$E$12+1,1))-AVERAGE(OFFSET($H$3,0,0,'Données projet'!$E$12+1,1))</f>
        <v>362.1372269575329</v>
      </c>
      <c r="CE42" s="60">
        <f t="shared" si="40"/>
        <v>308.1559670593121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2.3854323776130881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2.3854323776130881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8.8000000000000007</v>
      </c>
      <c r="CT42" s="13">
        <f>IF('Données projet'!$A$140&gt;35,CT41+CS42-DB41,IF(A42&lt;'Données projet'!$A$140,$CQ$205^A42,IF(A42='Données projet'!$A$140,'Données projet'!$B$140,CT41+CS42-DB41)))</f>
        <v>171.2</v>
      </c>
      <c r="CU42" s="18">
        <f>CT42*VLOOKUP('Données projet'!$B$13,Paramètres!$A$1:$I$89,3,0)*VLOOKUP('Données projet'!$B$13,Paramètres!$A$1:$I$89,5,0)</f>
        <v>184.27967999999998</v>
      </c>
      <c r="CV42" s="14">
        <f t="shared" si="41"/>
        <v>46.273030081038371</v>
      </c>
      <c r="CW42" s="22">
        <f t="shared" si="13"/>
        <v>401.54597005780846</v>
      </c>
      <c r="CX42" s="60">
        <f t="shared" si="14"/>
        <v>694.87930339114178</v>
      </c>
      <c r="CY42" s="60">
        <f ca="1">AVERAGE(OFFSET($CX$3,0,0,'Données projet'!$E$13+1,1))-AVERAGE(OFFSET($H$3,0,0,'Données projet'!$E$13+1,1))</f>
        <v>488.44916315274139</v>
      </c>
      <c r="CZ42" s="60">
        <f t="shared" si="42"/>
        <v>348.17941150148209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3.0974171679321492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3.0974171679321492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9.3141025641025674</v>
      </c>
      <c r="N43" s="14">
        <f>IF('Données projet'!$A$36&gt;35,N42+M43-V42,IF(A43&lt;'Données projet'!$A$36,$K$205^A43,IF(A43='Données projet'!$A$36,'Données projet'!$B$36,N42+M43-V42)))</f>
        <v>148.13461538461539</v>
      </c>
      <c r="O43" s="14">
        <f>N43*VLOOKUP('Données projet'!$B$9,Paramètres!$A$1:$I$89,3,0)*VLOOKUP('Données projet'!$B$9,Paramètres!$A$1:$I$89,5,0)</f>
        <v>134.03220000000002</v>
      </c>
      <c r="P43" s="14">
        <f t="shared" si="33"/>
        <v>34.926419532696755</v>
      </c>
      <c r="Q43" s="22">
        <f t="shared" si="53"/>
        <v>294.26959568611358</v>
      </c>
      <c r="R43" s="60">
        <f t="shared" si="0"/>
        <v>587.60292901944695</v>
      </c>
      <c r="S43" s="60">
        <f ca="1">AVERAGE(OFFSET($R$3,0,0,'Données projet'!$E$9+1,1))-AVERAGE(OFFSET($H$3,0,0,'Données projet'!$E$9+1,1))</f>
        <v>319.72731970820928</v>
      </c>
      <c r="T43" s="60">
        <f t="shared" si="34"/>
        <v>279.93992813630513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203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203.00000000000003</v>
      </c>
      <c r="AJ43" s="14">
        <f>AI43*VLOOKUP('Données projet'!$B$10,Paramètres!$A$1:$I$89,3,0)*VLOOKUP('Données projet'!$B$10,Paramètres!$A$1:$I$89,5,0)</f>
        <v>205.84200000000004</v>
      </c>
      <c r="AK43" s="14">
        <f t="shared" si="35"/>
        <v>51.02590322155848</v>
      </c>
      <c r="AL43" s="22">
        <f t="shared" si="4"/>
        <v>447.37826477754771</v>
      </c>
      <c r="AM43" s="60">
        <f t="shared" si="5"/>
        <v>740.71159811088103</v>
      </c>
      <c r="AN43" s="60">
        <f ca="1">AVERAGE(OFFSET($AM$3,0,0,'Données projet'!$E$10+1,1))-AVERAGE(OFFSET($H$3,0,0,'Données projet'!$E$10+1,1))</f>
        <v>505.64100207870439</v>
      </c>
      <c r="AO43" s="60">
        <f t="shared" si="36"/>
        <v>371.76229669709249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3.4202355611517135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3.4202355611517135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228</v>
      </c>
      <c r="BB43" s="13">
        <f>VLOOKUP(A43,'Données projet'!$A$87:$I$107,9,0)</f>
        <v>11.4</v>
      </c>
      <c r="BC43" s="13">
        <f t="array" ref="BC43">INDEX(BB:BB,MIN(IF(ISNUMBER(BB43:BB239),ROW(BB43:BB239),"")))</f>
        <v>11.4</v>
      </c>
      <c r="BD43" s="13">
        <f>IF('Données projet'!$A$88&gt;35,BD42+BC43-BL42,IF(A43&lt;'Données projet'!$A$88,$BA$205^A43,IF(A43='Données projet'!$A$88,'Données projet'!$B$88,BD42+BC43-BL42)))</f>
        <v>228</v>
      </c>
      <c r="BE43" s="14">
        <f>BD43*VLOOKUP('Données projet'!$B$11,Paramètres!$A$1:$I$89,3,0)*VLOOKUP('Données projet'!$B$11,Paramètres!$A$1:$I$89,5,0)</f>
        <v>181.39680000000001</v>
      </c>
      <c r="BF43" s="14">
        <f t="shared" si="37"/>
        <v>45.63280848550832</v>
      </c>
      <c r="BG43" s="22">
        <f t="shared" si="7"/>
        <v>395.40990144559368</v>
      </c>
      <c r="BH43" s="60">
        <f t="shared" si="8"/>
        <v>688.74323477892699</v>
      </c>
      <c r="BI43" s="60">
        <f ca="1">AVERAGE(OFFSET($BH$3,0,0,'Données projet'!$E$11+1,1))-AVERAGE(OFFSET($H$3,0,0,'Données projet'!$E$11+1,1))</f>
        <v>353.26636241468884</v>
      </c>
      <c r="BJ43" s="60">
        <f t="shared" si="38"/>
        <v>345.4750813433123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35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4.6074421418928848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4.6074421418928848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228.2051282051282</v>
      </c>
      <c r="BW43" s="13">
        <f>VLOOKUP(A43,'Données projet'!$A$113:$I$133,9,0)</f>
        <v>7.9487179487179507</v>
      </c>
      <c r="BX43" s="13">
        <f t="array" ref="BX43">INDEX(BW:BW,MIN(IF(ISNUMBER(BW43:BW239),ROW(BW43:BW239),"")))</f>
        <v>7.9487179487179507</v>
      </c>
      <c r="BY43" s="13">
        <f>IF('Données projet'!$A$114&gt;35,BY42+BX43-CG42,IF(A43&lt;'Données projet'!$A$114,$BV$205^A43,IF(A43='Données projet'!$A$114,'Données projet'!$B$114,BY42+BX43-CG42)))</f>
        <v>228.20512820512829</v>
      </c>
      <c r="BZ43" s="14">
        <f>BY43*VLOOKUP('Données projet'!$B$12,Paramètres!$A$1:$I$89,3,0)*VLOOKUP('Données projet'!$B$12,Paramètres!$A$1:$I$89,5,0)</f>
        <v>153.08000000000007</v>
      </c>
      <c r="CA43" s="14">
        <f t="shared" si="39"/>
        <v>39.277696538385037</v>
      </c>
      <c r="CB43" s="22">
        <f t="shared" si="10"/>
        <v>335.02298813768738</v>
      </c>
      <c r="CC43" s="60">
        <f t="shared" si="11"/>
        <v>628.35632147102069</v>
      </c>
      <c r="CD43" s="60">
        <f ca="1">AVERAGE(OFFSET($CC$3,0,0,'Données projet'!$E$12+1,1))-AVERAGE(OFFSET($H$3,0,0,'Données projet'!$E$12+1,1))</f>
        <v>362.1372269575329</v>
      </c>
      <c r="CE43" s="60">
        <f t="shared" si="40"/>
        <v>308.1559670593121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39.743589743589745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2.3202026038028216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2.3202026038028216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180</v>
      </c>
      <c r="CR43" s="13">
        <f>VLOOKUP(A43,'Données projet'!$A$139:$I$159,9,0)</f>
        <v>8.8000000000000007</v>
      </c>
      <c r="CS43" s="13">
        <f t="array" ref="CS43">INDEX(CR:CR,MIN(IF(ISNUMBER(CR43:CR239),ROW(CR43:CR239),"")))</f>
        <v>8.8000000000000007</v>
      </c>
      <c r="CT43" s="13">
        <f>IF('Données projet'!$A$140&gt;35,CT42+CS43-DB42,IF(A43&lt;'Données projet'!$A$140,$CQ$205^A43,IF(A43='Données projet'!$A$140,'Données projet'!$B$140,CT42+CS43-DB42)))</f>
        <v>180</v>
      </c>
      <c r="CU43" s="18">
        <f>CT43*VLOOKUP('Données projet'!$B$13,Paramètres!$A$1:$I$89,3,0)*VLOOKUP('Données projet'!$B$13,Paramètres!$A$1:$I$89,5,0)</f>
        <v>193.75199999999998</v>
      </c>
      <c r="CV43" s="14">
        <f t="shared" si="41"/>
        <v>48.36852035537607</v>
      </c>
      <c r="CW43" s="22">
        <f t="shared" si="13"/>
        <v>421.69323961894656</v>
      </c>
      <c r="CX43" s="60">
        <f t="shared" si="14"/>
        <v>715.02657295227982</v>
      </c>
      <c r="CY43" s="60">
        <f ca="1">AVERAGE(OFFSET($CX$3,0,0,'Données projet'!$E$13+1,1))-AVERAGE(OFFSET($H$3,0,0,'Données projet'!$E$13+1,1))</f>
        <v>488.44916315274139</v>
      </c>
      <c r="CZ43" s="60">
        <f t="shared" si="42"/>
        <v>348.17941150148209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48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3.0127181325889549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3.0127181325889549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>
        <f>VLOOKUP(A44,'Données projet'!$A$35:$I$55,2,0)</f>
        <v>157.44871794871796</v>
      </c>
      <c r="L44" s="13">
        <f>VLOOKUP(A44,'Données projet'!$A$35:$I$55,9,0)</f>
        <v>9.3141025641025674</v>
      </c>
      <c r="M44" s="13">
        <f t="array" ref="M44">INDEX(L:L,MIN(IF(ISNUMBER(L44:L240),ROW(L44:L240),"")))</f>
        <v>9.3141025641025674</v>
      </c>
      <c r="N44" s="14">
        <f>IF('Données projet'!$A$36&gt;35,N43+M44-V43,IF(A44&lt;'Données projet'!$A$36,$K$205^A44,IF(A44='Données projet'!$A$36,'Données projet'!$B$36,N43+M44-V43)))</f>
        <v>157.44871794871796</v>
      </c>
      <c r="O44" s="14">
        <f>N44*VLOOKUP('Données projet'!$B$9,Paramètres!$A$1:$I$89,3,0)*VLOOKUP('Données projet'!$B$9,Paramètres!$A$1:$I$89,5,0)</f>
        <v>142.45959999999999</v>
      </c>
      <c r="P44" s="14">
        <f t="shared" si="33"/>
        <v>36.859892915688405</v>
      </c>
      <c r="Q44" s="22">
        <f t="shared" si="53"/>
        <v>312.31478349482393</v>
      </c>
      <c r="R44" s="60">
        <f t="shared" si="0"/>
        <v>605.6481168281573</v>
      </c>
      <c r="S44" s="60">
        <f ca="1">AVERAGE(OFFSET($R$3,0,0,'Données projet'!$E$9+1,1))-AVERAGE(OFFSET($H$3,0,0,'Données projet'!$E$9+1,1))</f>
        <v>319.72731970820928</v>
      </c>
      <c r="T44" s="60">
        <f t="shared" si="34"/>
        <v>279.93992813630513</v>
      </c>
      <c r="U44" s="16">
        <f>IF(ISNA(VLOOKUP(A44,'Données projet'!$A$35:$I$55,3,0)),0,VLOOKUP(A44,'Données projet'!$A$35:$I$55,3,0))</f>
        <v>2</v>
      </c>
      <c r="V44" s="16">
        <f>IF(ISNA(VLOOKUP(A44,'Données projet'!$A$35:$I$55,4,0)),0,VLOOKUP(A44,'Données projet'!$A$35:$I$55,4,0))</f>
        <v>38.512820512820511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9.8000000000000007</v>
      </c>
      <c r="AI44" s="14">
        <f>IF('Données projet'!$A$62&gt;35,AI43+AH44-AQ43,IF(A44&lt;'Données projet'!$A$62,$AF$205^A44,IF(A44='Données projet'!$A$62,'Données projet'!$B$62,AI43+AH44-AQ43)))</f>
        <v>156.80000000000004</v>
      </c>
      <c r="AJ44" s="14">
        <f>AI44*VLOOKUP('Données projet'!$B$10,Paramètres!$A$1:$I$89,3,0)*VLOOKUP('Données projet'!$B$10,Paramètres!$A$1:$I$89,5,0)</f>
        <v>158.99520000000004</v>
      </c>
      <c r="AK44" s="14">
        <f t="shared" si="35"/>
        <v>40.615796933386044</v>
      </c>
      <c r="AL44" s="22">
        <f t="shared" si="4"/>
        <v>347.65581965898076</v>
      </c>
      <c r="AM44" s="60">
        <f t="shared" si="5"/>
        <v>640.98915299231408</v>
      </c>
      <c r="AN44" s="60">
        <f ca="1">AVERAGE(OFFSET($AM$3,0,0,'Données projet'!$E$10+1,1))-AVERAGE(OFFSET($H$3,0,0,'Données projet'!$E$10+1,1))</f>
        <v>505.64100207870439</v>
      </c>
      <c r="AO44" s="60">
        <f t="shared" si="36"/>
        <v>371.76229669709249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3.3267090398696486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3.3267090398696486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202.8</v>
      </c>
      <c r="BE44" s="14">
        <f>BD44*VLOOKUP('Données projet'!$B$11,Paramètres!$A$1:$I$89,3,0)*VLOOKUP('Données projet'!$B$11,Paramètres!$A$1:$I$89,5,0)</f>
        <v>161.34768000000003</v>
      </c>
      <c r="BF44" s="14">
        <f t="shared" si="37"/>
        <v>41.146339844316657</v>
      </c>
      <c r="BG44" s="22">
        <f t="shared" si="7"/>
        <v>352.6770845621848</v>
      </c>
      <c r="BH44" s="60">
        <f t="shared" si="8"/>
        <v>646.01041789551812</v>
      </c>
      <c r="BI44" s="60">
        <f ca="1">AVERAGE(OFFSET($BH$3,0,0,'Données projet'!$E$11+1,1))-AVERAGE(OFFSET($H$3,0,0,'Données projet'!$E$11+1,1))</f>
        <v>353.26636241468884</v>
      </c>
      <c r="BJ44" s="60">
        <f t="shared" si="38"/>
        <v>345.4750813433123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4.4814513942279719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4.4814513942279719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7.5641025641025639</v>
      </c>
      <c r="BY44" s="13">
        <f>IF('Données projet'!$A$114&gt;35,BY43+BX44-CG43,IF(A44&lt;'Données projet'!$A$114,$BV$205^A44,IF(A44='Données projet'!$A$114,'Données projet'!$B$114,BY43+BX44-CG43)))</f>
        <v>196.02564102564111</v>
      </c>
      <c r="BZ44" s="14">
        <f>BY44*VLOOKUP('Données projet'!$B$12,Paramètres!$A$1:$I$89,3,0)*VLOOKUP('Données projet'!$B$12,Paramètres!$A$1:$I$89,5,0)</f>
        <v>131.49400000000006</v>
      </c>
      <c r="CA44" s="14">
        <f t="shared" si="39"/>
        <v>34.341348948072792</v>
      </c>
      <c r="CB44" s="22">
        <f t="shared" si="10"/>
        <v>288.82989941789356</v>
      </c>
      <c r="CC44" s="60">
        <f t="shared" si="11"/>
        <v>582.16323275122681</v>
      </c>
      <c r="CD44" s="60">
        <f ca="1">AVERAGE(OFFSET($CC$3,0,0,'Données projet'!$E$12+1,1))-AVERAGE(OFFSET($H$3,0,0,'Données projet'!$E$12+1,1))</f>
        <v>362.1372269575329</v>
      </c>
      <c r="CE44" s="60">
        <f t="shared" si="40"/>
        <v>308.1559670593121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2.2567565415876816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2.2567565415876816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8.8000000000000007</v>
      </c>
      <c r="CT44" s="13">
        <f>IF('Données projet'!$A$140&gt;35,CT43+CS44-DB43,IF(A44&lt;'Données projet'!$A$140,$CQ$205^A44,IF(A44='Données projet'!$A$140,'Données projet'!$B$140,CT43+CS44-DB43)))</f>
        <v>140.80000000000001</v>
      </c>
      <c r="CU44" s="18">
        <f>CT44*VLOOKUP('Données projet'!$B$13,Paramètres!$A$1:$I$89,3,0)*VLOOKUP('Données projet'!$B$13,Paramètres!$A$1:$I$89,5,0)</f>
        <v>151.55712</v>
      </c>
      <c r="CV44" s="14">
        <f t="shared" si="41"/>
        <v>38.932233760105582</v>
      </c>
      <c r="CW44" s="22">
        <f t="shared" si="13"/>
        <v>331.76895779885058</v>
      </c>
      <c r="CX44" s="60">
        <f t="shared" si="14"/>
        <v>625.10229113218384</v>
      </c>
      <c r="CY44" s="60">
        <f ca="1">AVERAGE(OFFSET($CX$3,0,0,'Données projet'!$E$13+1,1))-AVERAGE(OFFSET($H$3,0,0,'Données projet'!$E$13+1,1))</f>
        <v>488.44916315274139</v>
      </c>
      <c r="CZ44" s="60">
        <f t="shared" si="42"/>
        <v>348.17941150148209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2.9303351968213489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2.9303351968213489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9.3452380952380913</v>
      </c>
      <c r="N45" s="14">
        <f>IF('Données projet'!$A$36&gt;35,N44+M45-V44,IF(A45&lt;'Données projet'!$A$36,$K$205^A45,IF(A45='Données projet'!$A$36,'Données projet'!$B$36,N44+M45-V44)))</f>
        <v>128.28113553113553</v>
      </c>
      <c r="O45" s="14">
        <f>N45*VLOOKUP('Données projet'!$B$9,Paramètres!$A$1:$I$89,3,0)*VLOOKUP('Données projet'!$B$9,Paramètres!$A$1:$I$89,5,0)</f>
        <v>116.06877142857142</v>
      </c>
      <c r="P45" s="14">
        <f t="shared" si="33"/>
        <v>30.756334905160415</v>
      </c>
      <c r="Q45" s="22">
        <f t="shared" si="53"/>
        <v>255.72039353124964</v>
      </c>
      <c r="R45" s="60">
        <f t="shared" si="0"/>
        <v>549.05372686458293</v>
      </c>
      <c r="S45" s="60">
        <f ca="1">AVERAGE(OFFSET($R$3,0,0,'Données projet'!$E$9+1,1))-AVERAGE(OFFSET($H$3,0,0,'Données projet'!$E$9+1,1))</f>
        <v>319.72731970820928</v>
      </c>
      <c r="T45" s="60">
        <f t="shared" si="34"/>
        <v>279.93992813630513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9.8000000000000007</v>
      </c>
      <c r="AI45" s="14">
        <f>IF('Données projet'!$A$62&gt;35,AI44+AH45-AQ44,IF(A45&lt;'Données projet'!$A$62,$AF$205^A45,IF(A45='Données projet'!$A$62,'Données projet'!$B$62,AI44+AH45-AQ44)))</f>
        <v>166.60000000000005</v>
      </c>
      <c r="AJ45" s="14">
        <f>AI45*VLOOKUP('Données projet'!$B$10,Paramètres!$A$1:$I$89,3,0)*VLOOKUP('Données projet'!$B$10,Paramètres!$A$1:$I$89,5,0)</f>
        <v>168.93240000000006</v>
      </c>
      <c r="AK45" s="14">
        <f t="shared" si="35"/>
        <v>42.850829102189209</v>
      </c>
      <c r="AL45" s="22">
        <f t="shared" si="4"/>
        <v>368.85579068631296</v>
      </c>
      <c r="AM45" s="60">
        <f t="shared" si="5"/>
        <v>662.18912401964621</v>
      </c>
      <c r="AN45" s="60">
        <f ca="1">AVERAGE(OFFSET($AM$3,0,0,'Données projet'!$E$10+1,1))-AVERAGE(OFFSET($H$3,0,0,'Données projet'!$E$10+1,1))</f>
        <v>505.64100207870439</v>
      </c>
      <c r="AO45" s="60">
        <f t="shared" si="36"/>
        <v>371.76229669709249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3.235740006230388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3.235740006230388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212.60000000000002</v>
      </c>
      <c r="BE45" s="14">
        <f>BD45*VLOOKUP('Données projet'!$B$11,Paramètres!$A$1:$I$89,3,0)*VLOOKUP('Données projet'!$B$11,Paramètres!$A$1:$I$89,5,0)</f>
        <v>169.14456000000004</v>
      </c>
      <c r="BF45" s="14">
        <f t="shared" si="37"/>
        <v>42.898377267189964</v>
      </c>
      <c r="BG45" s="22">
        <f t="shared" si="7"/>
        <v>369.30811574035596</v>
      </c>
      <c r="BH45" s="60">
        <f t="shared" si="8"/>
        <v>662.64144907368927</v>
      </c>
      <c r="BI45" s="60">
        <f ca="1">AVERAGE(OFFSET($BH$3,0,0,'Données projet'!$E$11+1,1))-AVERAGE(OFFSET($H$3,0,0,'Données projet'!$E$11+1,1))</f>
        <v>353.26636241468884</v>
      </c>
      <c r="BJ45" s="60">
        <f t="shared" si="38"/>
        <v>345.4750813433123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4.3589058701835217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4.3589058701835217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7.5641025641025639</v>
      </c>
      <c r="BY45" s="13">
        <f>IF('Données projet'!$A$114&gt;35,BY44+BX45-CG44,IF(A45&lt;'Données projet'!$A$114,$BV$205^A45,IF(A45='Données projet'!$A$114,'Données projet'!$B$114,BY44+BX45-CG44)))</f>
        <v>203.58974358974368</v>
      </c>
      <c r="BZ45" s="14">
        <f>BY45*VLOOKUP('Données projet'!$B$12,Paramètres!$A$1:$I$89,3,0)*VLOOKUP('Données projet'!$B$12,Paramètres!$A$1:$I$89,5,0)</f>
        <v>136.56800000000007</v>
      </c>
      <c r="CA45" s="14">
        <f t="shared" si="39"/>
        <v>35.509650391805792</v>
      </c>
      <c r="CB45" s="22">
        <f t="shared" si="10"/>
        <v>299.70190776572849</v>
      </c>
      <c r="CC45" s="60">
        <f t="shared" si="11"/>
        <v>593.03524109906175</v>
      </c>
      <c r="CD45" s="60">
        <f ca="1">AVERAGE(OFFSET($CC$3,0,0,'Données projet'!$E$12+1,1))-AVERAGE(OFFSET($H$3,0,0,'Données projet'!$E$12+1,1))</f>
        <v>362.1372269575329</v>
      </c>
      <c r="CE45" s="60">
        <f t="shared" si="40"/>
        <v>308.1559670593121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2.1950454152802976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2.1950454152802976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8.8000000000000007</v>
      </c>
      <c r="CT45" s="13">
        <f>IF('Données projet'!$A$140&gt;35,CT44+CS45-DB44,IF(A45&lt;'Données projet'!$A$140,$CQ$205^A45,IF(A45='Données projet'!$A$140,'Données projet'!$B$140,CT44+CS45-DB44)))</f>
        <v>149.60000000000002</v>
      </c>
      <c r="CU45" s="18">
        <f>CT45*VLOOKUP('Données projet'!$B$13,Paramètres!$A$1:$I$89,3,0)*VLOOKUP('Données projet'!$B$13,Paramètres!$A$1:$I$89,5,0)</f>
        <v>161.02944000000002</v>
      </c>
      <c r="CV45" s="14">
        <f t="shared" si="41"/>
        <v>41.074621732940685</v>
      </c>
      <c r="CW45" s="22">
        <f t="shared" si="13"/>
        <v>351.99790751820501</v>
      </c>
      <c r="CX45" s="60">
        <f t="shared" si="14"/>
        <v>645.33124085153827</v>
      </c>
      <c r="CY45" s="60">
        <f ca="1">AVERAGE(OFFSET($CX$3,0,0,'Données projet'!$E$13+1,1))-AVERAGE(OFFSET($H$3,0,0,'Données projet'!$E$13+1,1))</f>
        <v>488.44916315274139</v>
      </c>
      <c r="CZ45" s="60">
        <f t="shared" si="42"/>
        <v>348.17941150148209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2.8502050267646384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2.8502050267646384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9.3452380952380913</v>
      </c>
      <c r="N46" s="14">
        <f>IF('Données projet'!$A$36&gt;35,N45+M46-V45,IF(A46&lt;'Données projet'!$A$36,$K$205^A46,IF(A46='Données projet'!$A$36,'Données projet'!$B$36,N45+M46-V45)))</f>
        <v>137.62637362637363</v>
      </c>
      <c r="O46" s="14">
        <f>N46*VLOOKUP('Données projet'!$B$9,Paramètres!$A$1:$I$89,3,0)*VLOOKUP('Données projet'!$B$9,Paramètres!$A$1:$I$89,5,0)</f>
        <v>124.52434285714287</v>
      </c>
      <c r="P46" s="14">
        <f t="shared" si="33"/>
        <v>32.72794432679062</v>
      </c>
      <c r="Q46" s="22">
        <f t="shared" si="53"/>
        <v>273.88106684535086</v>
      </c>
      <c r="R46" s="60">
        <f t="shared" si="0"/>
        <v>567.21440017868417</v>
      </c>
      <c r="S46" s="60">
        <f ca="1">AVERAGE(OFFSET($R$3,0,0,'Données projet'!$E$9+1,1))-AVERAGE(OFFSET($H$3,0,0,'Données projet'!$E$9+1,1))</f>
        <v>319.72731970820928</v>
      </c>
      <c r="T46" s="60">
        <f t="shared" si="34"/>
        <v>279.93992813630513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9.8000000000000007</v>
      </c>
      <c r="AI46" s="14">
        <f>IF('Données projet'!$A$62&gt;35,AI45+AH46-AQ45,IF(A46&lt;'Données projet'!$A$62,$AF$205^A46,IF(A46='Données projet'!$A$62,'Données projet'!$B$62,AI45+AH46-AQ45)))</f>
        <v>176.40000000000006</v>
      </c>
      <c r="AJ46" s="14">
        <f>AI46*VLOOKUP('Données projet'!$B$10,Paramètres!$A$1:$I$89,3,0)*VLOOKUP('Données projet'!$B$10,Paramètres!$A$1:$I$89,5,0)</f>
        <v>178.86960000000008</v>
      </c>
      <c r="AK46" s="14">
        <f t="shared" si="35"/>
        <v>45.07060085766652</v>
      </c>
      <c r="AL46" s="22">
        <f t="shared" si="4"/>
        <v>390.02918316043593</v>
      </c>
      <c r="AM46" s="60">
        <f t="shared" si="5"/>
        <v>683.36251649376925</v>
      </c>
      <c r="AN46" s="60">
        <f ca="1">AVERAGE(OFFSET($AM$3,0,0,'Données projet'!$E$10+1,1))-AVERAGE(OFFSET($H$3,0,0,'Données projet'!$E$10+1,1))</f>
        <v>505.64100207870439</v>
      </c>
      <c r="AO46" s="60">
        <f t="shared" si="36"/>
        <v>371.76229669709249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3.1472585255998466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3.1472585255998466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222.40000000000003</v>
      </c>
      <c r="BE46" s="14">
        <f>BD46*VLOOKUP('Données projet'!$B$11,Paramètres!$A$1:$I$89,3,0)*VLOOKUP('Données projet'!$B$11,Paramètres!$A$1:$I$89,5,0)</f>
        <v>176.94144000000003</v>
      </c>
      <c r="BF46" s="14">
        <f t="shared" si="37"/>
        <v>44.641035679901449</v>
      </c>
      <c r="BG46" s="22">
        <f t="shared" si="7"/>
        <v>385.92281180916171</v>
      </c>
      <c r="BH46" s="60">
        <f t="shared" si="8"/>
        <v>679.25614514249503</v>
      </c>
      <c r="BI46" s="60">
        <f ca="1">AVERAGE(OFFSET($BH$3,0,0,'Données projet'!$E$11+1,1))-AVERAGE(OFFSET($H$3,0,0,'Données projet'!$E$11+1,1))</f>
        <v>353.26636241468884</v>
      </c>
      <c r="BJ46" s="60">
        <f t="shared" si="38"/>
        <v>345.4750813433123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4.2397113599384557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4.2397113599384557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7.5641025641025639</v>
      </c>
      <c r="BY46" s="13">
        <f>IF('Données projet'!$A$114&gt;35,BY45+BX46-CG45,IF(A46&lt;'Données projet'!$A$114,$BV$205^A46,IF(A46='Données projet'!$A$114,'Données projet'!$B$114,BY45+BX46-CG45)))</f>
        <v>211.15384615384625</v>
      </c>
      <c r="BZ46" s="14">
        <f>BY46*VLOOKUP('Données projet'!$B$12,Paramètres!$A$1:$I$89,3,0)*VLOOKUP('Données projet'!$B$12,Paramètres!$A$1:$I$89,5,0)</f>
        <v>141.64200000000005</v>
      </c>
      <c r="CA46" s="14">
        <f t="shared" si="39"/>
        <v>36.672908983761502</v>
      </c>
      <c r="CB46" s="22">
        <f t="shared" si="10"/>
        <v>310.56513314671798</v>
      </c>
      <c r="CC46" s="60">
        <f t="shared" si="11"/>
        <v>603.8984664800513</v>
      </c>
      <c r="CD46" s="60">
        <f ca="1">AVERAGE(OFFSET($CC$3,0,0,'Données projet'!$E$12+1,1))-AVERAGE(OFFSET($H$3,0,0,'Données projet'!$E$12+1,1))</f>
        <v>362.1372269575329</v>
      </c>
      <c r="CE46" s="60">
        <f t="shared" si="40"/>
        <v>308.1559670593121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2.1350217829670362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2.1350217829670362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8.8000000000000007</v>
      </c>
      <c r="CT46" s="13">
        <f>IF('Données projet'!$A$140&gt;35,CT45+CS46-DB45,IF(A46&lt;'Données projet'!$A$140,$CQ$205^A46,IF(A46='Données projet'!$A$140,'Données projet'!$B$140,CT45+CS46-DB45)))</f>
        <v>158.40000000000003</v>
      </c>
      <c r="CU46" s="18">
        <f>CT46*VLOOKUP('Données projet'!$B$13,Paramètres!$A$1:$I$89,3,0)*VLOOKUP('Données projet'!$B$13,Paramètres!$A$1:$I$89,5,0)</f>
        <v>170.50176000000005</v>
      </c>
      <c r="CV46" s="14">
        <f t="shared" si="41"/>
        <v>43.202381851006642</v>
      </c>
      <c r="CW46" s="22">
        <f t="shared" si="13"/>
        <v>372.20138039050329</v>
      </c>
      <c r="CX46" s="60">
        <f t="shared" si="14"/>
        <v>665.5347137238366</v>
      </c>
      <c r="CY46" s="60">
        <f ca="1">AVERAGE(OFFSET($CX$3,0,0,'Données projet'!$E$13+1,1))-AVERAGE(OFFSET($H$3,0,0,'Données projet'!$E$13+1,1))</f>
        <v>488.44916315274139</v>
      </c>
      <c r="CZ46" s="60">
        <f t="shared" si="42"/>
        <v>348.17941150148209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2.7722660204219913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2.7722660204219913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9.3452380952380913</v>
      </c>
      <c r="N47" s="14">
        <f>IF('Données projet'!$A$36&gt;35,N46+M47-V46,IF(A47&lt;'Données projet'!$A$36,$K$205^A47,IF(A47='Données projet'!$A$36,'Données projet'!$B$36,N46+M47-V46)))</f>
        <v>146.97161172161174</v>
      </c>
      <c r="O47" s="14">
        <f>N47*VLOOKUP('Données projet'!$B$9,Paramètres!$A$1:$I$89,3,0)*VLOOKUP('Données projet'!$B$9,Paramètres!$A$1:$I$89,5,0)</f>
        <v>132.97991428571427</v>
      </c>
      <c r="P47" s="14">
        <f t="shared" si="33"/>
        <v>34.68401916194258</v>
      </c>
      <c r="Q47" s="22">
        <f t="shared" si="53"/>
        <v>292.01468408800241</v>
      </c>
      <c r="R47" s="60">
        <f t="shared" si="0"/>
        <v>585.34801742133573</v>
      </c>
      <c r="S47" s="60">
        <f ca="1">AVERAGE(OFFSET($R$3,0,0,'Données projet'!$E$9+1,1))-AVERAGE(OFFSET($H$3,0,0,'Données projet'!$E$9+1,1))</f>
        <v>319.72731970820928</v>
      </c>
      <c r="T47" s="60">
        <f t="shared" si="34"/>
        <v>279.93992813630513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9.8000000000000007</v>
      </c>
      <c r="AI47" s="14">
        <f>IF('Données projet'!$A$62&gt;35,AI46+AH47-AQ46,IF(A47&lt;'Données projet'!$A$62,$AF$205^A47,IF(A47='Données projet'!$A$62,'Données projet'!$B$62,AI46+AH47-AQ46)))</f>
        <v>186.20000000000007</v>
      </c>
      <c r="AJ47" s="14">
        <f>AI47*VLOOKUP('Données projet'!$B$10,Paramètres!$A$1:$I$89,3,0)*VLOOKUP('Données projet'!$B$10,Paramètres!$A$1:$I$89,5,0)</f>
        <v>188.80680000000009</v>
      </c>
      <c r="AK47" s="14">
        <f t="shared" si="35"/>
        <v>47.276056628766632</v>
      </c>
      <c r="AL47" s="22">
        <f t="shared" si="4"/>
        <v>411.17764196176864</v>
      </c>
      <c r="AM47" s="60">
        <f t="shared" si="5"/>
        <v>704.51097529510196</v>
      </c>
      <c r="AN47" s="60">
        <f ca="1">AVERAGE(OFFSET($AM$3,0,0,'Données projet'!$E$10+1,1))-AVERAGE(OFFSET($H$3,0,0,'Données projet'!$E$10+1,1))</f>
        <v>505.64100207870439</v>
      </c>
      <c r="AO47" s="60">
        <f t="shared" si="36"/>
        <v>371.76229669709249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3.061196575710186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3.061196575710186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232.20000000000005</v>
      </c>
      <c r="BE47" s="14">
        <f>BD47*VLOOKUP('Données projet'!$B$11,Paramètres!$A$1:$I$89,3,0)*VLOOKUP('Données projet'!$B$11,Paramètres!$A$1:$I$89,5,0)</f>
        <v>184.73832000000004</v>
      </c>
      <c r="BF47" s="14">
        <f t="shared" si="37"/>
        <v>46.374775595471988</v>
      </c>
      <c r="BG47" s="22">
        <f t="shared" si="7"/>
        <v>402.52197482878046</v>
      </c>
      <c r="BH47" s="60">
        <f t="shared" si="8"/>
        <v>695.85530816211372</v>
      </c>
      <c r="BI47" s="60">
        <f ca="1">AVERAGE(OFFSET($BH$3,0,0,'Données projet'!$E$11+1,1))-AVERAGE(OFFSET($H$3,0,0,'Données projet'!$E$11+1,1))</f>
        <v>353.26636241468884</v>
      </c>
      <c r="BJ47" s="60">
        <f t="shared" si="38"/>
        <v>345.4750813433123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4.123776229844208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4.123776229844208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7.5641025641025639</v>
      </c>
      <c r="BY47" s="13">
        <f>IF('Données projet'!$A$114&gt;35,BY46+BX47-CG46,IF(A47&lt;'Données projet'!$A$114,$BV$205^A47,IF(A47='Données projet'!$A$114,'Données projet'!$B$114,BY46+BX47-CG46)))</f>
        <v>218.71794871794881</v>
      </c>
      <c r="BZ47" s="14">
        <f>BY47*VLOOKUP('Données projet'!$B$12,Paramètres!$A$1:$I$89,3,0)*VLOOKUP('Données projet'!$B$12,Paramètres!$A$1:$I$89,5,0)</f>
        <v>146.71600000000007</v>
      </c>
      <c r="CA47" s="14">
        <f t="shared" si="39"/>
        <v>37.831326067731702</v>
      </c>
      <c r="CB47" s="22">
        <f t="shared" si="10"/>
        <v>321.41992623463284</v>
      </c>
      <c r="CC47" s="60">
        <f t="shared" si="11"/>
        <v>614.7532595679661</v>
      </c>
      <c r="CD47" s="60">
        <f ca="1">AVERAGE(OFFSET($CC$3,0,0,'Données projet'!$E$12+1,1))-AVERAGE(OFFSET($H$3,0,0,'Données projet'!$E$12+1,1))</f>
        <v>362.1372269575329</v>
      </c>
      <c r="CE47" s="60">
        <f t="shared" si="40"/>
        <v>308.1559670593121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2.0766395000358866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2.0766395000358866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8.8000000000000007</v>
      </c>
      <c r="CT47" s="13">
        <f>IF('Données projet'!$A$140&gt;35,CT46+CS47-DB46,IF(A47&lt;'Données projet'!$A$140,$CQ$205^A47,IF(A47='Données projet'!$A$140,'Données projet'!$B$140,CT46+CS47-DB46)))</f>
        <v>167.20000000000005</v>
      </c>
      <c r="CU47" s="18">
        <f>CT47*VLOOKUP('Données projet'!$B$13,Paramètres!$A$1:$I$89,3,0)*VLOOKUP('Données projet'!$B$13,Paramètres!$A$1:$I$89,5,0)</f>
        <v>179.97408000000004</v>
      </c>
      <c r="CV47" s="14">
        <f t="shared" si="41"/>
        <v>45.316419395779377</v>
      </c>
      <c r="CW47" s="22">
        <f t="shared" si="13"/>
        <v>392.38095311431579</v>
      </c>
      <c r="CX47" s="60">
        <f t="shared" si="14"/>
        <v>685.7142864476491</v>
      </c>
      <c r="CY47" s="60">
        <f ca="1">AVERAGE(OFFSET($CX$3,0,0,'Données projet'!$E$13+1,1))-AVERAGE(OFFSET($H$3,0,0,'Données projet'!$E$13+1,1))</f>
        <v>488.44916315274139</v>
      </c>
      <c r="CZ47" s="60">
        <f t="shared" si="42"/>
        <v>348.17941150148209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2.696458260306418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2.696458260306418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9.3452380952380913</v>
      </c>
      <c r="N48" s="14">
        <f>IF('Données projet'!$A$36&gt;35,N47+M48-V47,IF(A48&lt;'Données projet'!$A$36,$K$205^A48,IF(A48='Données projet'!$A$36,'Données projet'!$B$36,N47+M48-V47)))</f>
        <v>156.31684981684984</v>
      </c>
      <c r="O48" s="14">
        <f>N48*VLOOKUP('Données projet'!$B$9,Paramètres!$A$1:$I$89,3,0)*VLOOKUP('Données projet'!$B$9,Paramètres!$A$1:$I$89,5,0)</f>
        <v>141.43548571428573</v>
      </c>
      <c r="P48" s="14">
        <f t="shared" si="33"/>
        <v>36.625659617511197</v>
      </c>
      <c r="Q48" s="22">
        <f t="shared" si="53"/>
        <v>310.12316145287963</v>
      </c>
      <c r="R48" s="60">
        <f t="shared" si="0"/>
        <v>603.45649478621294</v>
      </c>
      <c r="S48" s="60">
        <f ca="1">AVERAGE(OFFSET($R$3,0,0,'Données projet'!$E$9+1,1))-AVERAGE(OFFSET($H$3,0,0,'Données projet'!$E$9+1,1))</f>
        <v>319.72731970820928</v>
      </c>
      <c r="T48" s="60">
        <f t="shared" si="34"/>
        <v>279.93992813630513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196</v>
      </c>
      <c r="AG48" s="13">
        <f>VLOOKUP(A48,'Données projet'!$A$61:$I$81,9,0)</f>
        <v>9.8000000000000007</v>
      </c>
      <c r="AH48" s="13">
        <f t="array" ref="AH48">INDEX(AG:AG,MIN(IF(ISNUMBER(AG48:AG244),ROW(AG48:AG244),"")))</f>
        <v>9.8000000000000007</v>
      </c>
      <c r="AI48" s="14">
        <f>IF('Données projet'!$A$62&gt;35,AI47+AH48-AQ47,IF(A48&lt;'Données projet'!$A$62,$AF$205^A48,IF(A48='Données projet'!$A$62,'Données projet'!$B$62,AI47+AH48-AQ47)))</f>
        <v>196.00000000000009</v>
      </c>
      <c r="AJ48" s="14">
        <f>AI48*VLOOKUP('Données projet'!$B$10,Paramètres!$A$1:$I$89,3,0)*VLOOKUP('Données projet'!$B$10,Paramètres!$A$1:$I$89,5,0)</f>
        <v>198.74400000000011</v>
      </c>
      <c r="AK48" s="14">
        <f t="shared" si="35"/>
        <v>49.468035816012197</v>
      </c>
      <c r="AL48" s="22">
        <f t="shared" si="4"/>
        <v>432.3026290462214</v>
      </c>
      <c r="AM48" s="60">
        <f t="shared" si="5"/>
        <v>725.63596237955471</v>
      </c>
      <c r="AN48" s="60">
        <f ca="1">AVERAGE(OFFSET($AM$3,0,0,'Données projet'!$E$10+1,1))-AVERAGE(OFFSET($H$3,0,0,'Données projet'!$E$10+1,1))</f>
        <v>505.64100207870439</v>
      </c>
      <c r="AO48" s="60">
        <f t="shared" si="36"/>
        <v>371.76229669709249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2.9774879943660597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2.9774879943660597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242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242.00000000000006</v>
      </c>
      <c r="BE48" s="14">
        <f>BD48*VLOOKUP('Données projet'!$B$11,Paramètres!$A$1:$I$89,3,0)*VLOOKUP('Données projet'!$B$11,Paramètres!$A$1:$I$89,5,0)</f>
        <v>192.53520000000006</v>
      </c>
      <c r="BF48" s="14">
        <f t="shared" si="37"/>
        <v>48.100016456123079</v>
      </c>
      <c r="BG48" s="22">
        <f t="shared" si="7"/>
        <v>419.10633532774779</v>
      </c>
      <c r="BH48" s="60">
        <f t="shared" si="8"/>
        <v>712.4396686610811</v>
      </c>
      <c r="BI48" s="60">
        <f ca="1">AVERAGE(OFFSET($BH$3,0,0,'Données projet'!$E$11+1,1))-AVERAGE(OFFSET($H$3,0,0,'Données projet'!$E$11+1,1))</f>
        <v>353.26636241468884</v>
      </c>
      <c r="BJ48" s="60">
        <f t="shared" si="38"/>
        <v>345.4750813433123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24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4.0110113519791515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4.0110113519791515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226.28205128205127</v>
      </c>
      <c r="BW48" s="13">
        <f>VLOOKUP(A48,'Données projet'!$A$113:$I$133,9,0)</f>
        <v>7.5641025641025639</v>
      </c>
      <c r="BX48" s="13">
        <f t="array" ref="BX48">INDEX(BW:BW,MIN(IF(ISNUMBER(BW48:BW244),ROW(BW48:BW244),"")))</f>
        <v>7.5641025641025639</v>
      </c>
      <c r="BY48" s="13">
        <f>IF('Données projet'!$A$114&gt;35,BY47+BX48-CG47,IF(A48&lt;'Données projet'!$A$114,$BV$205^A48,IF(A48='Données projet'!$A$114,'Données projet'!$B$114,BY47+BX48-CG47)))</f>
        <v>226.28205128205138</v>
      </c>
      <c r="BZ48" s="14">
        <f>BY48*VLOOKUP('Données projet'!$B$12,Paramètres!$A$1:$I$89,3,0)*VLOOKUP('Données projet'!$B$12,Paramètres!$A$1:$I$89,5,0)</f>
        <v>151.79000000000005</v>
      </c>
      <c r="CA48" s="14">
        <f t="shared" si="39"/>
        <v>38.985088271202081</v>
      </c>
      <c r="CB48" s="22">
        <f t="shared" si="10"/>
        <v>332.26661207234366</v>
      </c>
      <c r="CC48" s="60">
        <f t="shared" si="11"/>
        <v>625.59994540567698</v>
      </c>
      <c r="CD48" s="60">
        <f ca="1">AVERAGE(OFFSET($CC$3,0,0,'Données projet'!$E$12+1,1))-AVERAGE(OFFSET($H$3,0,0,'Données projet'!$E$12+1,1))</f>
        <v>362.1372269575329</v>
      </c>
      <c r="CE48" s="60">
        <f t="shared" si="40"/>
        <v>308.1559670593121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2.0198536837016801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2.0198536837016801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176</v>
      </c>
      <c r="CR48" s="13">
        <f>VLOOKUP(A48,'Données projet'!$A$139:$I$159,9,0)</f>
        <v>8.8000000000000007</v>
      </c>
      <c r="CS48" s="13">
        <f t="array" ref="CS48">INDEX(CR:CR,MIN(IF(ISNUMBER(CR48:CR244),ROW(CR48:CR244),"")))</f>
        <v>8.8000000000000007</v>
      </c>
      <c r="CT48" s="13">
        <f>IF('Données projet'!$A$140&gt;35,CT47+CS48-DB47,IF(A48&lt;'Données projet'!$A$140,$CQ$205^A48,IF(A48='Données projet'!$A$140,'Données projet'!$B$140,CT47+CS48-DB47)))</f>
        <v>176.00000000000006</v>
      </c>
      <c r="CU48" s="18">
        <f>CT48*VLOOKUP('Données projet'!$B$13,Paramètres!$A$1:$I$89,3,0)*VLOOKUP('Données projet'!$B$13,Paramètres!$A$1:$I$89,5,0)</f>
        <v>189.44640000000004</v>
      </c>
      <c r="CV48" s="14">
        <f t="shared" si="41"/>
        <v>47.417538973836514</v>
      </c>
      <c r="CW48" s="22">
        <f t="shared" si="13"/>
        <v>412.5380270460987</v>
      </c>
      <c r="CX48" s="60">
        <f t="shared" si="14"/>
        <v>705.87136037943196</v>
      </c>
      <c r="CY48" s="60">
        <f ca="1">AVERAGE(OFFSET($CX$3,0,0,'Données projet'!$E$13+1,1))-AVERAGE(OFFSET($H$3,0,0,'Données projet'!$E$13+1,1))</f>
        <v>488.44916315274139</v>
      </c>
      <c r="CZ48" s="60">
        <f t="shared" si="42"/>
        <v>348.17941150148209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2.622723467377762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2.622723467377762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9.3452380952380913</v>
      </c>
      <c r="N49" s="14">
        <f>IF('Données projet'!$A$36&gt;35,N48+M49-V48,IF(A49&lt;'Données projet'!$A$36,$K$205^A49,IF(A49='Données projet'!$A$36,'Données projet'!$B$36,N48+M49-V48)))</f>
        <v>165.66208791208794</v>
      </c>
      <c r="O49" s="14">
        <f>N49*VLOOKUP('Données projet'!$B$9,Paramètres!$A$1:$I$89,3,0)*VLOOKUP('Données projet'!$B$9,Paramètres!$A$1:$I$89,5,0)</f>
        <v>149.89105714285716</v>
      </c>
      <c r="P49" s="14">
        <f t="shared" si="33"/>
        <v>38.553826918856544</v>
      </c>
      <c r="Q49" s="22">
        <f t="shared" si="53"/>
        <v>328.20817307415138</v>
      </c>
      <c r="R49" s="60">
        <f t="shared" si="0"/>
        <v>621.54150640748469</v>
      </c>
      <c r="S49" s="60">
        <f ca="1">AVERAGE(OFFSET($R$3,0,0,'Données projet'!$E$9+1,1))-AVERAGE(OFFSET($H$3,0,0,'Données projet'!$E$9+1,1))</f>
        <v>319.72731970820928</v>
      </c>
      <c r="T49" s="60">
        <f t="shared" si="34"/>
        <v>279.93992813630513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9.8000000000000007</v>
      </c>
      <c r="AI49" s="14">
        <f>IF('Données projet'!$A$62&gt;35,AI48+AH49-AQ48,IF(A49&lt;'Données projet'!$A$62,$AF$205^A49,IF(A49='Données projet'!$A$62,'Données projet'!$B$62,AI48+AH49-AQ48)))</f>
        <v>205.8000000000001</v>
      </c>
      <c r="AJ49" s="14">
        <f>AI49*VLOOKUP('Données projet'!$B$10,Paramètres!$A$1:$I$89,3,0)*VLOOKUP('Données projet'!$B$10,Paramètres!$A$1:$I$89,5,0)</f>
        <v>208.6812000000001</v>
      </c>
      <c r="AK49" s="14">
        <f t="shared" si="35"/>
        <v>51.647289138142497</v>
      </c>
      <c r="AL49" s="22">
        <f t="shared" si="4"/>
        <v>453.40545191559823</v>
      </c>
      <c r="AM49" s="60">
        <f t="shared" si="5"/>
        <v>746.73878524893155</v>
      </c>
      <c r="AN49" s="60">
        <f ca="1">AVERAGE(OFFSET($AM$3,0,0,'Données projet'!$E$10+1,1))-AVERAGE(OFFSET($H$3,0,0,'Données projet'!$E$10+1,1))</f>
        <v>505.64100207870439</v>
      </c>
      <c r="AO49" s="60">
        <f t="shared" si="36"/>
        <v>371.76229669709249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2.8960684285808314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2.8960684285808314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8.6</v>
      </c>
      <c r="BD49" s="13">
        <f>IF('Données projet'!$A$88&gt;35,BD48+BC49-BL48,IF(A49&lt;'Données projet'!$A$88,$BA$205^A49,IF(A49='Données projet'!$A$88,'Données projet'!$B$88,BD48+BC49-BL48)))</f>
        <v>226.60000000000005</v>
      </c>
      <c r="BE49" s="14">
        <f>BD49*VLOOKUP('Données projet'!$B$11,Paramètres!$A$1:$I$89,3,0)*VLOOKUP('Données projet'!$B$11,Paramètres!$A$1:$I$89,5,0)</f>
        <v>180.28296000000006</v>
      </c>
      <c r="BF49" s="14">
        <f t="shared" si="37"/>
        <v>45.385133797071397</v>
      </c>
      <c r="BG49" s="22">
        <f t="shared" si="7"/>
        <v>393.03859669656612</v>
      </c>
      <c r="BH49" s="60">
        <f t="shared" si="8"/>
        <v>686.37193002989943</v>
      </c>
      <c r="BI49" s="60">
        <f ca="1">AVERAGE(OFFSET($BH$3,0,0,'Données projet'!$E$11+1,1))-AVERAGE(OFFSET($H$3,0,0,'Données projet'!$E$11+1,1))</f>
        <v>353.26636241468884</v>
      </c>
      <c r="BJ49" s="60">
        <f t="shared" si="38"/>
        <v>345.4750813433123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3.9013300356293619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3.9013300356293619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7.0512820512820555</v>
      </c>
      <c r="BY49" s="13">
        <f>IF('Données projet'!$A$114&gt;35,BY48+BX49-CG48,IF(A49&lt;'Données projet'!$A$114,$BV$205^A49,IF(A49='Données projet'!$A$114,'Données projet'!$B$114,BY48+BX49-CG48)))</f>
        <v>233.33333333333343</v>
      </c>
      <c r="BZ49" s="14">
        <f>BY49*VLOOKUP('Données projet'!$B$12,Paramètres!$A$1:$I$89,3,0)*VLOOKUP('Données projet'!$B$12,Paramètres!$A$1:$I$89,5,0)</f>
        <v>156.52000000000007</v>
      </c>
      <c r="CA49" s="14">
        <f t="shared" si="39"/>
        <v>40.056589961286974</v>
      </c>
      <c r="CB49" s="22">
        <f t="shared" si="10"/>
        <v>342.37089418257489</v>
      </c>
      <c r="CC49" s="60">
        <f t="shared" si="11"/>
        <v>635.7042275159082</v>
      </c>
      <c r="CD49" s="60">
        <f ca="1">AVERAGE(OFFSET($CC$3,0,0,'Données projet'!$E$12+1,1))-AVERAGE(OFFSET($H$3,0,0,'Données projet'!$E$12+1,1))</f>
        <v>362.1372269575329</v>
      </c>
      <c r="CE49" s="60">
        <f t="shared" si="40"/>
        <v>308.1559670593121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1.9646206785013689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1.9646206785013689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8.8000000000000007</v>
      </c>
      <c r="CT49" s="13">
        <f>IF('Données projet'!$A$140&gt;35,CT48+CS49-DB48,IF(A49&lt;'Données projet'!$A$140,$CQ$205^A49,IF(A49='Données projet'!$A$140,'Données projet'!$B$140,CT48+CS49-DB48)))</f>
        <v>184.80000000000007</v>
      </c>
      <c r="CU49" s="18">
        <f>CT49*VLOOKUP('Données projet'!$B$13,Paramètres!$A$1:$I$89,3,0)*VLOOKUP('Données projet'!$B$13,Paramètres!$A$1:$I$89,5,0)</f>
        <v>198.91872000000006</v>
      </c>
      <c r="CV49" s="14">
        <f t="shared" si="41"/>
        <v>49.506460185916012</v>
      </c>
      <c r="CW49" s="22">
        <f t="shared" si="13"/>
        <v>432.67385549047049</v>
      </c>
      <c r="CX49" s="60">
        <f t="shared" si="14"/>
        <v>726.00718882380374</v>
      </c>
      <c r="CY49" s="60">
        <f ca="1">AVERAGE(OFFSET($CX$3,0,0,'Données projet'!$E$13+1,1))-AVERAGE(OFFSET($H$3,0,0,'Données projet'!$E$13+1,1))</f>
        <v>488.44916315274139</v>
      </c>
      <c r="CZ49" s="60">
        <f t="shared" si="42"/>
        <v>348.17941150148209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2.551004956239284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2.551004956239284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9.3452380952380913</v>
      </c>
      <c r="N50" s="14">
        <f>IF('Données projet'!$A$36&gt;35,N49+M50-V49,IF(A50&lt;'Données projet'!$A$36,$K$205^A50,IF(A50='Données projet'!$A$36,'Données projet'!$B$36,N49+M50-V49)))</f>
        <v>175.00732600732604</v>
      </c>
      <c r="O50" s="14">
        <f>N50*VLOOKUP('Données projet'!$B$9,Paramètres!$A$1:$I$89,3,0)*VLOOKUP('Données projet'!$B$9,Paramètres!$A$1:$I$89,5,0)</f>
        <v>158.3466285714286</v>
      </c>
      <c r="P50" s="14">
        <f t="shared" si="33"/>
        <v>40.469367717876509</v>
      </c>
      <c r="Q50" s="22">
        <f t="shared" si="53"/>
        <v>346.27119353720633</v>
      </c>
      <c r="R50" s="60">
        <f t="shared" si="0"/>
        <v>639.60452687053964</v>
      </c>
      <c r="S50" s="60">
        <f ca="1">AVERAGE(OFFSET($R$3,0,0,'Données projet'!$E$9+1,1))-AVERAGE(OFFSET($H$3,0,0,'Données projet'!$E$9+1,1))</f>
        <v>319.72731970820928</v>
      </c>
      <c r="T50" s="60">
        <f t="shared" si="34"/>
        <v>279.93992813630513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9.8000000000000007</v>
      </c>
      <c r="AI50" s="14">
        <f>IF('Données projet'!$A$62&gt;35,AI49+AH50-AQ49,IF(A50&lt;'Données projet'!$A$62,$AF$205^A50,IF(A50='Données projet'!$A$62,'Données projet'!$B$62,AI49+AH50-AQ49)))</f>
        <v>215.60000000000011</v>
      </c>
      <c r="AJ50" s="14">
        <f>AI50*VLOOKUP('Données projet'!$B$10,Paramètres!$A$1:$I$89,3,0)*VLOOKUP('Données projet'!$B$10,Paramètres!$A$1:$I$89,5,0)</f>
        <v>218.61840000000012</v>
      </c>
      <c r="AK50" s="14">
        <f t="shared" si="35"/>
        <v>53.814491776889589</v>
      </c>
      <c r="AL50" s="22">
        <f t="shared" si="4"/>
        <v>474.48728651141624</v>
      </c>
      <c r="AM50" s="60">
        <f t="shared" si="5"/>
        <v>767.82061984474956</v>
      </c>
      <c r="AN50" s="60">
        <f ca="1">AVERAGE(OFFSET($AM$3,0,0,'Données projet'!$E$10+1,1))-AVERAGE(OFFSET($H$3,0,0,'Données projet'!$E$10+1,1))</f>
        <v>505.64100207870439</v>
      </c>
      <c r="AO50" s="60">
        <f t="shared" si="36"/>
        <v>371.76229669709249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2.8168752851036691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2.8168752851036691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8.6</v>
      </c>
      <c r="BD50" s="13">
        <f>IF('Données projet'!$A$88&gt;35,BD49+BC50-BL49,IF(A50&lt;'Données projet'!$A$88,$BA$205^A50,IF(A50='Données projet'!$A$88,'Données projet'!$B$88,BD49+BC50-BL49)))</f>
        <v>235.20000000000005</v>
      </c>
      <c r="BE50" s="14">
        <f>BD50*VLOOKUP('Données projet'!$B$11,Paramètres!$A$1:$I$89,3,0)*VLOOKUP('Données projet'!$B$11,Paramètres!$A$1:$I$89,5,0)</f>
        <v>187.12512000000004</v>
      </c>
      <c r="BF50" s="14">
        <f t="shared" si="37"/>
        <v>46.903794805770545</v>
      </c>
      <c r="BG50" s="22">
        <f t="shared" si="7"/>
        <v>407.60035995338376</v>
      </c>
      <c r="BH50" s="60">
        <f t="shared" si="8"/>
        <v>700.93369328671702</v>
      </c>
      <c r="BI50" s="60">
        <f ca="1">AVERAGE(OFFSET($BH$3,0,0,'Données projet'!$E$11+1,1))-AVERAGE(OFFSET($H$3,0,0,'Données projet'!$E$11+1,1))</f>
        <v>353.26636241468884</v>
      </c>
      <c r="BJ50" s="60">
        <f t="shared" si="38"/>
        <v>345.4750813433123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3.7946479606430472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3.7946479606430472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7.0512820512820555</v>
      </c>
      <c r="BY50" s="13">
        <f>IF('Données projet'!$A$114&gt;35,BY49+BX50-CG49,IF(A50&lt;'Données projet'!$A$114,$BV$205^A50,IF(A50='Données projet'!$A$114,'Données projet'!$B$114,BY49+BX50-CG49)))</f>
        <v>240.38461538461547</v>
      </c>
      <c r="BZ50" s="14">
        <f>BY50*VLOOKUP('Données projet'!$B$12,Paramètres!$A$1:$I$89,3,0)*VLOOKUP('Données projet'!$B$12,Paramètres!$A$1:$I$89,5,0)</f>
        <v>161.25000000000006</v>
      </c>
      <c r="CA50" s="14">
        <f t="shared" si="39"/>
        <v>41.124328571986439</v>
      </c>
      <c r="CB50" s="22">
        <f t="shared" si="10"/>
        <v>352.46862226287652</v>
      </c>
      <c r="CC50" s="60">
        <f t="shared" si="11"/>
        <v>645.80195559620984</v>
      </c>
      <c r="CD50" s="60">
        <f ca="1">AVERAGE(OFFSET($CC$3,0,0,'Données projet'!$E$12+1,1))-AVERAGE(OFFSET($H$3,0,0,'Données projet'!$E$12+1,1))</f>
        <v>362.1372269575329</v>
      </c>
      <c r="CE50" s="60">
        <f t="shared" si="40"/>
        <v>308.1559670593121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1.9108980227328376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1.9108980227328376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8.8000000000000007</v>
      </c>
      <c r="CT50" s="13">
        <f>IF('Données projet'!$A$140&gt;35,CT49+CS50-DB49,IF(A50&lt;'Données projet'!$A$140,$CQ$205^A50,IF(A50='Données projet'!$A$140,'Données projet'!$B$140,CT49+CS50-DB49)))</f>
        <v>193.60000000000008</v>
      </c>
      <c r="CU50" s="18">
        <f>CT50*VLOOKUP('Données projet'!$B$13,Paramètres!$A$1:$I$89,3,0)*VLOOKUP('Données projet'!$B$13,Paramètres!$A$1:$I$89,5,0)</f>
        <v>208.39104000000006</v>
      </c>
      <c r="CV50" s="14">
        <f t="shared" si="41"/>
        <v>51.583830226828944</v>
      </c>
      <c r="CW50" s="22">
        <f t="shared" si="13"/>
        <v>452.78956564506052</v>
      </c>
      <c r="CX50" s="60">
        <f t="shared" si="14"/>
        <v>746.12289897839378</v>
      </c>
      <c r="CY50" s="60">
        <f ca="1">AVERAGE(OFFSET($CX$3,0,0,'Données projet'!$E$13+1,1))-AVERAGE(OFFSET($H$3,0,0,'Données projet'!$E$13+1,1))</f>
        <v>488.44916315274139</v>
      </c>
      <c r="CZ50" s="60">
        <f t="shared" si="42"/>
        <v>348.17941150148209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2.4812475915594008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2.4812475915594008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184.35256410256409</v>
      </c>
      <c r="L51" s="13">
        <f>VLOOKUP(A51,'Données projet'!$A$35:$I$55,9,0)</f>
        <v>9.3452380952380913</v>
      </c>
      <c r="M51" s="13">
        <f t="array" ref="M51">INDEX(L:L,MIN(IF(ISNUMBER(L51:L247),ROW(L51:L247),"")))</f>
        <v>9.3452380952380913</v>
      </c>
      <c r="N51" s="14">
        <f>IF('Données projet'!$A$36&gt;35,N50+M51-V50,IF(A51&lt;'Données projet'!$A$36,$K$205^A51,IF(A51='Données projet'!$A$36,'Données projet'!$B$36,N50+M51-V50)))</f>
        <v>184.35256410256414</v>
      </c>
      <c r="O51" s="14">
        <f>N51*VLOOKUP('Données projet'!$B$9,Paramètres!$A$1:$I$89,3,0)*VLOOKUP('Données projet'!$B$9,Paramètres!$A$1:$I$89,5,0)</f>
        <v>166.80220000000003</v>
      </c>
      <c r="P51" s="14">
        <f t="shared" si="33"/>
        <v>42.373033138688463</v>
      </c>
      <c r="Q51" s="22">
        <f t="shared" si="53"/>
        <v>364.31353104988244</v>
      </c>
      <c r="R51" s="60">
        <f t="shared" si="0"/>
        <v>657.64686438321576</v>
      </c>
      <c r="S51" s="60">
        <f ca="1">AVERAGE(OFFSET($R$3,0,0,'Données projet'!$E$9+1,1))-AVERAGE(OFFSET($H$3,0,0,'Données projet'!$E$9+1,1))</f>
        <v>319.72731970820928</v>
      </c>
      <c r="T51" s="60">
        <f t="shared" si="34"/>
        <v>279.93992813630513</v>
      </c>
      <c r="U51" s="16">
        <f>IF(ISNA(VLOOKUP(A51,'Données projet'!$A$35:$I$55,3,0)),0,VLOOKUP(A51,'Données projet'!$A$35:$I$55,3,0))</f>
        <v>3</v>
      </c>
      <c r="V51" s="16">
        <f>IF(ISNA(VLOOKUP(A51,'Données projet'!$A$35:$I$55,4,0)),0,VLOOKUP(A51,'Données projet'!$A$35:$I$55,4,0))</f>
        <v>48.025641025641022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9.8000000000000007</v>
      </c>
      <c r="AI51" s="14">
        <f>IF('Données projet'!$A$62&gt;35,AI50+AH51-AQ50,IF(A51&lt;'Données projet'!$A$62,$AF$205^A51,IF(A51='Données projet'!$A$62,'Données projet'!$B$62,AI50+AH51-AQ50)))</f>
        <v>225.40000000000012</v>
      </c>
      <c r="AJ51" s="14">
        <f>AI51*VLOOKUP('Données projet'!$B$10,Paramètres!$A$1:$I$89,3,0)*VLOOKUP('Données projet'!$B$10,Paramètres!$A$1:$I$89,5,0)</f>
        <v>228.55560000000014</v>
      </c>
      <c r="AK51" s="14">
        <f t="shared" si="35"/>
        <v>55.97025406423657</v>
      </c>
      <c r="AL51" s="22">
        <f t="shared" si="4"/>
        <v>495.54919582854546</v>
      </c>
      <c r="AM51" s="60">
        <f t="shared" si="5"/>
        <v>788.88252916187878</v>
      </c>
      <c r="AN51" s="60">
        <f ca="1">AVERAGE(OFFSET($AM$3,0,0,'Données projet'!$E$10+1,1))-AVERAGE(OFFSET($H$3,0,0,'Données projet'!$E$10+1,1))</f>
        <v>505.64100207870439</v>
      </c>
      <c r="AO51" s="60">
        <f t="shared" si="36"/>
        <v>371.76229669709249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2.7398476822994762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2.7398476822994762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8.6</v>
      </c>
      <c r="BD51" s="13">
        <f>IF('Données projet'!$A$88&gt;35,BD50+BC51-BL50,IF(A51&lt;'Données projet'!$A$88,$BA$205^A51,IF(A51='Données projet'!$A$88,'Données projet'!$B$88,BD50+BC51-BL50)))</f>
        <v>243.80000000000004</v>
      </c>
      <c r="BE51" s="14">
        <f>BD51*VLOOKUP('Données projet'!$B$11,Paramètres!$A$1:$I$89,3,0)*VLOOKUP('Données projet'!$B$11,Paramètres!$A$1:$I$89,5,0)</f>
        <v>193.96728000000004</v>
      </c>
      <c r="BF51" s="14">
        <f t="shared" si="37"/>
        <v>48.41600442423902</v>
      </c>
      <c r="BG51" s="22">
        <f t="shared" si="7"/>
        <v>422.15088703888301</v>
      </c>
      <c r="BH51" s="60">
        <f t="shared" si="8"/>
        <v>715.48422037221633</v>
      </c>
      <c r="BI51" s="60">
        <f ca="1">AVERAGE(OFFSET($BH$3,0,0,'Données projet'!$E$11+1,1))-AVERAGE(OFFSET($H$3,0,0,'Données projet'!$E$11+1,1))</f>
        <v>353.26636241468884</v>
      </c>
      <c r="BJ51" s="60">
        <f t="shared" si="38"/>
        <v>345.4750813433123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3.6908831126073998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3.6908831126073998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7.0512820512820555</v>
      </c>
      <c r="BY51" s="13">
        <f>IF('Données projet'!$A$114&gt;35,BY50+BX51-CG50,IF(A51&lt;'Données projet'!$A$114,$BV$205^A51,IF(A51='Données projet'!$A$114,'Données projet'!$B$114,BY50+BX51-CG50)))</f>
        <v>247.43589743589752</v>
      </c>
      <c r="BZ51" s="14">
        <f>BY51*VLOOKUP('Données projet'!$B$12,Paramètres!$A$1:$I$89,3,0)*VLOOKUP('Données projet'!$B$12,Paramètres!$A$1:$I$89,5,0)</f>
        <v>165.98000000000005</v>
      </c>
      <c r="CA51" s="14">
        <f t="shared" si="39"/>
        <v>42.188427161252903</v>
      </c>
      <c r="CB51" s="22">
        <f t="shared" si="10"/>
        <v>362.56001063918217</v>
      </c>
      <c r="CC51" s="60">
        <f t="shared" si="11"/>
        <v>655.89334397251548</v>
      </c>
      <c r="CD51" s="60">
        <f ca="1">AVERAGE(OFFSET($CC$3,0,0,'Données projet'!$E$12+1,1))-AVERAGE(OFFSET($H$3,0,0,'Données projet'!$E$12+1,1))</f>
        <v>362.1372269575329</v>
      </c>
      <c r="CE51" s="60">
        <f t="shared" si="40"/>
        <v>308.1559670593121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1.8586444158114486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1.8586444158114486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8.8000000000000007</v>
      </c>
      <c r="CT51" s="13">
        <f>IF('Données projet'!$A$140&gt;35,CT50+CS51-DB50,IF(A51&lt;'Données projet'!$A$140,$CQ$205^A51,IF(A51='Données projet'!$A$140,'Données projet'!$B$140,CT50+CS51-DB50)))</f>
        <v>202.40000000000009</v>
      </c>
      <c r="CU51" s="18">
        <f>CT51*VLOOKUP('Données projet'!$B$13,Paramètres!$A$1:$I$89,3,0)*VLOOKUP('Données projet'!$B$13,Paramètres!$A$1:$I$89,5,0)</f>
        <v>217.86336000000011</v>
      </c>
      <c r="CV51" s="14">
        <f t="shared" si="41"/>
        <v>53.650234129720815</v>
      </c>
      <c r="CW51" s="22">
        <f t="shared" si="13"/>
        <v>472.88617644259716</v>
      </c>
      <c r="CX51" s="60">
        <f t="shared" si="14"/>
        <v>766.21950977593042</v>
      </c>
      <c r="CY51" s="60">
        <f ca="1">AVERAGE(OFFSET($CX$3,0,0,'Données projet'!$E$13+1,1))-AVERAGE(OFFSET($H$3,0,0,'Données projet'!$E$13+1,1))</f>
        <v>488.44916315274139</v>
      </c>
      <c r="CZ51" s="60">
        <f t="shared" si="42"/>
        <v>348.17941150148209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2.413397745685069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2.413397745685069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8.8736263736263741</v>
      </c>
      <c r="N52" s="14">
        <f>IF('Données projet'!$A$36&gt;35,N51+M52-V51,IF(A52&lt;'Données projet'!$A$36,$K$205^A52,IF(A52='Données projet'!$A$36,'Données projet'!$B$36,N51+M52-V51)))</f>
        <v>145.20054945054949</v>
      </c>
      <c r="O52" s="14">
        <f>N52*VLOOKUP('Données projet'!$B$9,Paramètres!$A$1:$I$89,3,0)*VLOOKUP('Données projet'!$B$9,Paramètres!$A$1:$I$89,5,0)</f>
        <v>131.37745714285717</v>
      </c>
      <c r="P52" s="14">
        <f t="shared" si="33"/>
        <v>34.314453722516511</v>
      </c>
      <c r="Q52" s="22">
        <f t="shared" si="53"/>
        <v>288.58007809052577</v>
      </c>
      <c r="R52" s="60">
        <f t="shared" si="0"/>
        <v>581.91341142385909</v>
      </c>
      <c r="S52" s="60">
        <f ca="1">AVERAGE(OFFSET($R$3,0,0,'Données projet'!$E$9+1,1))-AVERAGE(OFFSET($H$3,0,0,'Données projet'!$E$9+1,1))</f>
        <v>319.72731970820928</v>
      </c>
      <c r="T52" s="60">
        <f t="shared" si="34"/>
        <v>279.93992813630513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9.8000000000000007</v>
      </c>
      <c r="AI52" s="14">
        <f>IF('Données projet'!$A$62&gt;35,AI51+AH52-AQ51,IF(A52&lt;'Données projet'!$A$62,$AF$205^A52,IF(A52='Données projet'!$A$62,'Données projet'!$B$62,AI51+AH52-AQ51)))</f>
        <v>235.20000000000013</v>
      </c>
      <c r="AJ52" s="14">
        <f>AI52*VLOOKUP('Données projet'!$B$10,Paramètres!$A$1:$I$89,3,0)*VLOOKUP('Données projet'!$B$10,Paramètres!$A$1:$I$89,5,0)</f>
        <v>238.49280000000013</v>
      </c>
      <c r="AK52" s="14">
        <f t="shared" si="35"/>
        <v>58.115130258576592</v>
      </c>
      <c r="AL52" s="22">
        <f t="shared" si="4"/>
        <v>516.59214520035437</v>
      </c>
      <c r="AM52" s="60">
        <f t="shared" si="5"/>
        <v>809.92547853368774</v>
      </c>
      <c r="AN52" s="60">
        <f ca="1">AVERAGE(OFFSET($AM$3,0,0,'Données projet'!$E$10+1,1))-AVERAGE(OFFSET($H$3,0,0,'Données projet'!$E$10+1,1))</f>
        <v>505.64100207870439</v>
      </c>
      <c r="AO52" s="60">
        <f t="shared" si="36"/>
        <v>371.76229669709249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2.6649264033446696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2.6649264033446696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8.6</v>
      </c>
      <c r="BD52" s="13">
        <f>IF('Données projet'!$A$88&gt;35,BD51+BC52-BL51,IF(A52&lt;'Données projet'!$A$88,$BA$205^A52,IF(A52='Données projet'!$A$88,'Données projet'!$B$88,BD51+BC52-BL51)))</f>
        <v>252.40000000000003</v>
      </c>
      <c r="BE52" s="14">
        <f>BD52*VLOOKUP('Données projet'!$B$11,Paramètres!$A$1:$I$89,3,0)*VLOOKUP('Données projet'!$B$11,Paramètres!$A$1:$I$89,5,0)</f>
        <v>200.80944000000002</v>
      </c>
      <c r="BF52" s="14">
        <f t="shared" si="37"/>
        <v>49.922016299484312</v>
      </c>
      <c r="BG52" s="22">
        <f t="shared" si="7"/>
        <v>436.69061972160188</v>
      </c>
      <c r="BH52" s="60">
        <f t="shared" si="8"/>
        <v>730.02395305493519</v>
      </c>
      <c r="BI52" s="60">
        <f ca="1">AVERAGE(OFFSET($BH$3,0,0,'Données projet'!$E$11+1,1))-AVERAGE(OFFSET($H$3,0,0,'Données projet'!$E$11+1,1))</f>
        <v>353.26636241468884</v>
      </c>
      <c r="BJ52" s="60">
        <f t="shared" si="38"/>
        <v>345.4750813433123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3.5899557197980432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3.5899557197980432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7.0512820512820555</v>
      </c>
      <c r="BY52" s="13">
        <f>IF('Données projet'!$A$114&gt;35,BY51+BX52-CG51,IF(A52&lt;'Données projet'!$A$114,$BV$205^A52,IF(A52='Données projet'!$A$114,'Données projet'!$B$114,BY51+BX52-CG51)))</f>
        <v>254.48717948717956</v>
      </c>
      <c r="BZ52" s="14">
        <f>BY52*VLOOKUP('Données projet'!$B$12,Paramètres!$A$1:$I$89,3,0)*VLOOKUP('Données projet'!$B$12,Paramètres!$A$1:$I$89,5,0)</f>
        <v>170.71000000000006</v>
      </c>
      <c r="CA52" s="14">
        <f t="shared" si="39"/>
        <v>43.249001374438308</v>
      </c>
      <c r="CB52" s="22">
        <f t="shared" si="10"/>
        <v>372.64526072714688</v>
      </c>
      <c r="CC52" s="60">
        <f t="shared" si="11"/>
        <v>665.97859406048019</v>
      </c>
      <c r="CD52" s="60">
        <f ca="1">AVERAGE(OFFSET($CC$3,0,0,'Données projet'!$E$12+1,1))-AVERAGE(OFFSET($H$3,0,0,'Données projet'!$E$12+1,1))</f>
        <v>362.1372269575329</v>
      </c>
      <c r="CE52" s="60">
        <f t="shared" si="40"/>
        <v>308.1559670593121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1.8078196865192226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1.8078196865192226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8.8000000000000007</v>
      </c>
      <c r="CT52" s="13">
        <f>IF('Données projet'!$A$140&gt;35,CT51+CS52-DB51,IF(A52&lt;'Données projet'!$A$140,$CQ$205^A52,IF(A52='Données projet'!$A$140,'Données projet'!$B$140,CT51+CS52-DB51)))</f>
        <v>211.2000000000001</v>
      </c>
      <c r="CU52" s="18">
        <f>CT52*VLOOKUP('Données projet'!$B$13,Paramètres!$A$1:$I$89,3,0)*VLOOKUP('Données projet'!$B$13,Paramètres!$A$1:$I$89,5,0)</f>
        <v>227.33568000000011</v>
      </c>
      <c r="CV52" s="14">
        <f t="shared" si="41"/>
        <v>55.706203178450494</v>
      </c>
      <c r="CW52" s="22">
        <f t="shared" si="13"/>
        <v>492.96461320246812</v>
      </c>
      <c r="CX52" s="60">
        <f t="shared" si="14"/>
        <v>786.29794653580143</v>
      </c>
      <c r="CY52" s="60">
        <f ca="1">AVERAGE(OFFSET($CX$3,0,0,'Données projet'!$E$13+1,1))-AVERAGE(OFFSET($H$3,0,0,'Données projet'!$E$13+1,1))</f>
        <v>488.44916315274139</v>
      </c>
      <c r="CZ52" s="60">
        <f t="shared" si="42"/>
        <v>348.17941150148209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2.3474032574142392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2.3474032574142392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8.8736263736263741</v>
      </c>
      <c r="N53" s="14">
        <f>IF('Données projet'!$A$36&gt;35,N52+M53-V52,IF(A53&lt;'Données projet'!$A$36,$K$205^A53,IF(A53='Données projet'!$A$36,'Données projet'!$B$36,N52+M53-V52)))</f>
        <v>154.07417582417585</v>
      </c>
      <c r="O53" s="14">
        <f>N53*VLOOKUP('Données projet'!$B$9,Paramètres!$A$1:$I$89,3,0)*VLOOKUP('Données projet'!$B$9,Paramètres!$A$1:$I$89,5,0)</f>
        <v>139.4063142857143</v>
      </c>
      <c r="P53" s="14">
        <f t="shared" si="33"/>
        <v>36.160966815041384</v>
      </c>
      <c r="Q53" s="22">
        <f t="shared" si="53"/>
        <v>305.77968125048278</v>
      </c>
      <c r="R53" s="60">
        <f t="shared" si="0"/>
        <v>599.11301458381604</v>
      </c>
      <c r="S53" s="60">
        <f ca="1">AVERAGE(OFFSET($R$3,0,0,'Données projet'!$E$9+1,1))-AVERAGE(OFFSET($H$3,0,0,'Données projet'!$E$9+1,1))</f>
        <v>319.72731970820928</v>
      </c>
      <c r="T53" s="60">
        <f t="shared" si="34"/>
        <v>279.93992813630513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245</v>
      </c>
      <c r="AG53" s="13">
        <f>VLOOKUP(A53,'Données projet'!$A$61:$I$81,9,0)</f>
        <v>9.8000000000000007</v>
      </c>
      <c r="AH53" s="13">
        <f t="array" ref="AH53">INDEX(AG:AG,MIN(IF(ISNUMBER(AG53:AG249),ROW(AG53:AG249),"")))</f>
        <v>9.8000000000000007</v>
      </c>
      <c r="AI53" s="14">
        <f>IF('Données projet'!$A$62&gt;35,AI52+AH53-AQ52,IF(A53&lt;'Données projet'!$A$62,$AF$205^A53,IF(A53='Données projet'!$A$62,'Données projet'!$B$62,AI52+AH53-AQ52)))</f>
        <v>245.00000000000014</v>
      </c>
      <c r="AJ53" s="14">
        <f>AI53*VLOOKUP('Données projet'!$B$10,Paramètres!$A$1:$I$89,3,0)*VLOOKUP('Données projet'!$B$10,Paramètres!$A$1:$I$89,5,0)</f>
        <v>248.43000000000015</v>
      </c>
      <c r="AK53" s="14">
        <f t="shared" si="35"/>
        <v>60.249625816963075</v>
      </c>
      <c r="AL53" s="22">
        <f t="shared" si="4"/>
        <v>537.61701496454418</v>
      </c>
      <c r="AM53" s="60">
        <f t="shared" si="5"/>
        <v>830.95034829787755</v>
      </c>
      <c r="AN53" s="60">
        <f ca="1">AVERAGE(OFFSET($AM$3,0,0,'Données projet'!$E$10+1,1))-AVERAGE(OFFSET($H$3,0,0,'Données projet'!$E$10+1,1))</f>
        <v>505.64100207870439</v>
      </c>
      <c r="AO53" s="60">
        <f t="shared" si="36"/>
        <v>371.76229669709249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61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2.592053850702821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2.592053850702821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261</v>
      </c>
      <c r="BB53" s="13">
        <f>VLOOKUP(A53,'Données projet'!$A$87:$I$107,9,0)</f>
        <v>8.6</v>
      </c>
      <c r="BC53" s="13">
        <f t="array" ref="BC53">INDEX(BB:BB,MIN(IF(ISNUMBER(BB53:BB249),ROW(BB53:BB249),"")))</f>
        <v>8.6</v>
      </c>
      <c r="BD53" s="13">
        <f>IF('Données projet'!$A$88&gt;35,BD52+BC53-BL52,IF(A53&lt;'Données projet'!$A$88,$BA$205^A53,IF(A53='Données projet'!$A$88,'Données projet'!$B$88,BD52+BC53-BL52)))</f>
        <v>261.00000000000006</v>
      </c>
      <c r="BE53" s="14">
        <f>BD53*VLOOKUP('Données projet'!$B$11,Paramètres!$A$1:$I$89,3,0)*VLOOKUP('Données projet'!$B$11,Paramètres!$A$1:$I$89,5,0)</f>
        <v>207.65160000000006</v>
      </c>
      <c r="BF53" s="14">
        <f t="shared" si="37"/>
        <v>51.422065813018108</v>
      </c>
      <c r="BG53" s="22">
        <f t="shared" si="7"/>
        <v>451.2199679576733</v>
      </c>
      <c r="BH53" s="60">
        <f t="shared" si="8"/>
        <v>744.55330129100662</v>
      </c>
      <c r="BI53" s="60">
        <f ca="1">AVERAGE(OFFSET($BH$3,0,0,'Données projet'!$E$11+1,1))-AVERAGE(OFFSET($H$3,0,0,'Données projet'!$E$11+1,1))</f>
        <v>353.26636241468884</v>
      </c>
      <c r="BJ53" s="60">
        <f t="shared" si="38"/>
        <v>345.4750813433123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19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3.4917881918525993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3.4917881918525993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261.53846153846155</v>
      </c>
      <c r="BW53" s="13">
        <f>VLOOKUP(A53,'Données projet'!$A$113:$I$133,9,0)</f>
        <v>7.0512820512820555</v>
      </c>
      <c r="BX53" s="13">
        <f t="array" ref="BX53">INDEX(BW:BW,MIN(IF(ISNUMBER(BW53:BW249),ROW(BW53:BW249),"")))</f>
        <v>7.0512820512820555</v>
      </c>
      <c r="BY53" s="13">
        <f>IF('Données projet'!$A$114&gt;35,BY52+BX53-CG52,IF(A53&lt;'Données projet'!$A$114,$BV$205^A53,IF(A53='Données projet'!$A$114,'Données projet'!$B$114,BY52+BX53-CG52)))</f>
        <v>261.5384615384616</v>
      </c>
      <c r="BZ53" s="14">
        <f>BY53*VLOOKUP('Données projet'!$B$12,Paramètres!$A$1:$I$89,3,0)*VLOOKUP('Données projet'!$B$12,Paramètres!$A$1:$I$89,5,0)</f>
        <v>175.44000000000003</v>
      </c>
      <c r="CA53" s="14">
        <f t="shared" si="39"/>
        <v>44.306160083661858</v>
      </c>
      <c r="CB53" s="22">
        <f t="shared" si="10"/>
        <v>382.72456214571116</v>
      </c>
      <c r="CC53" s="60">
        <f t="shared" si="11"/>
        <v>676.05789547904442</v>
      </c>
      <c r="CD53" s="60">
        <f ca="1">AVERAGE(OFFSET($CC$3,0,0,'Données projet'!$E$12+1,1))-AVERAGE(OFFSET($H$3,0,0,'Données projet'!$E$12+1,1))</f>
        <v>362.1372269575329</v>
      </c>
      <c r="CE53" s="60">
        <f t="shared" si="40"/>
        <v>308.1559670593121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36.53846153846154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1.758384762122249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1.758384762122249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220</v>
      </c>
      <c r="CR53" s="13">
        <f>VLOOKUP(A53,'Données projet'!$A$139:$I$159,9,0)</f>
        <v>8.8000000000000007</v>
      </c>
      <c r="CS53" s="13">
        <f t="array" ref="CS53">INDEX(CR:CR,MIN(IF(ISNUMBER(CR53:CR249),ROW(CR53:CR249),"")))</f>
        <v>8.8000000000000007</v>
      </c>
      <c r="CT53" s="13">
        <f>IF('Données projet'!$A$140&gt;35,CT52+CS53-DB52,IF(A53&lt;'Données projet'!$A$140,$CQ$205^A53,IF(A53='Données projet'!$A$140,'Données projet'!$B$140,CT52+CS53-DB52)))</f>
        <v>220.00000000000011</v>
      </c>
      <c r="CU53" s="18">
        <f>CT53*VLOOKUP('Données projet'!$B$13,Paramètres!$A$1:$I$89,3,0)*VLOOKUP('Données projet'!$B$13,Paramètres!$A$1:$I$89,5,0)</f>
        <v>236.80800000000011</v>
      </c>
      <c r="CV53" s="14">
        <f t="shared" si="41"/>
        <v>57.752221878398764</v>
      </c>
      <c r="CW53" s="22">
        <f t="shared" si="13"/>
        <v>513.02571977154469</v>
      </c>
      <c r="CX53" s="60">
        <f t="shared" si="14"/>
        <v>806.35905310487806</v>
      </c>
      <c r="CY53" s="60">
        <f ca="1">AVERAGE(OFFSET($CX$3,0,0,'Données projet'!$E$13+1,1))-AVERAGE(OFFSET($H$3,0,0,'Données projet'!$E$13+1,1))</f>
        <v>488.44916315274139</v>
      </c>
      <c r="CZ53" s="60">
        <f t="shared" si="42"/>
        <v>348.17941150148209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53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2.2832133918956745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2.2832133918956745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8.8736263736263741</v>
      </c>
      <c r="N54" s="14">
        <f>IF('Données projet'!$A$36&gt;35,N53+M54-V53,IF(A54&lt;'Données projet'!$A$36,$K$205^A54,IF(A54='Données projet'!$A$36,'Données projet'!$B$36,N53+M54-V53)))</f>
        <v>162.94780219780222</v>
      </c>
      <c r="O54" s="14">
        <f>N54*VLOOKUP('Données projet'!$B$9,Paramètres!$A$1:$I$89,3,0)*VLOOKUP('Données projet'!$B$9,Paramètres!$A$1:$I$89,5,0)</f>
        <v>147.43517142857144</v>
      </c>
      <c r="P54" s="14">
        <f t="shared" si="33"/>
        <v>37.995135358244994</v>
      </c>
      <c r="Q54" s="22">
        <f t="shared" si="53"/>
        <v>322.95778432037196</v>
      </c>
      <c r="R54" s="60">
        <f t="shared" si="0"/>
        <v>616.29111765370521</v>
      </c>
      <c r="S54" s="60">
        <f ca="1">AVERAGE(OFFSET($R$3,0,0,'Données projet'!$E$9+1,1))-AVERAGE(OFFSET($H$3,0,0,'Données projet'!$E$9+1,1))</f>
        <v>319.72731970820928</v>
      </c>
      <c r="T54" s="60">
        <f t="shared" si="34"/>
        <v>279.93992813630513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9.8000000000000007</v>
      </c>
      <c r="AI54" s="14">
        <f>IF('Données projet'!$A$62&gt;35,AI53+AH54-AQ53,IF(A54&lt;'Données projet'!$A$62,$AF$205^A54,IF(A54='Données projet'!$A$62,'Données projet'!$B$62,AI53+AH54-AQ53)))</f>
        <v>193.80000000000015</v>
      </c>
      <c r="AJ54" s="14">
        <f>AI54*VLOOKUP('Données projet'!$B$10,Paramètres!$A$1:$I$89,3,0)*VLOOKUP('Données projet'!$B$10,Paramètres!$A$1:$I$89,5,0)</f>
        <v>196.51320000000015</v>
      </c>
      <c r="AK54" s="14">
        <f t="shared" si="35"/>
        <v>48.977092002823738</v>
      </c>
      <c r="AL54" s="22">
        <f t="shared" si="4"/>
        <v>427.56225857158489</v>
      </c>
      <c r="AM54" s="60">
        <f t="shared" si="5"/>
        <v>720.89559190491821</v>
      </c>
      <c r="AN54" s="60">
        <f ca="1">AVERAGE(OFFSET($AM$3,0,0,'Données projet'!$E$10+1,1))-AVERAGE(OFFSET($H$3,0,0,'Données projet'!$E$10+1,1))</f>
        <v>505.64100207870439</v>
      </c>
      <c r="AO54" s="60">
        <f t="shared" si="36"/>
        <v>371.76229669709249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2.5211740018451647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2.5211740018451647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7.4</v>
      </c>
      <c r="BD54" s="13">
        <f>IF('Données projet'!$A$88&gt;35,BD53+BC54-BL53,IF(A54&lt;'Données projet'!$A$88,$BA$205^A54,IF(A54='Données projet'!$A$88,'Données projet'!$B$88,BD53+BC54-BL53)))</f>
        <v>249.40000000000003</v>
      </c>
      <c r="BE54" s="14">
        <f>BD54*VLOOKUP('Données projet'!$B$11,Paramètres!$A$1:$I$89,3,0)*VLOOKUP('Données projet'!$B$11,Paramètres!$A$1:$I$89,5,0)</f>
        <v>198.42264000000003</v>
      </c>
      <c r="BF54" s="14">
        <f t="shared" si="37"/>
        <v>49.397352151183256</v>
      </c>
      <c r="BG54" s="22">
        <f t="shared" si="7"/>
        <v>431.61981966331086</v>
      </c>
      <c r="BH54" s="60">
        <f t="shared" si="8"/>
        <v>724.95315299664412</v>
      </c>
      <c r="BI54" s="60">
        <f ca="1">AVERAGE(OFFSET($BH$3,0,0,'Données projet'!$E$11+1,1))-AVERAGE(OFFSET($H$3,0,0,'Données projet'!$E$11+1,1))</f>
        <v>353.26636241468884</v>
      </c>
      <c r="BJ54" s="60">
        <f t="shared" si="38"/>
        <v>345.4750813433123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3.3963050601212297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3.3963050601212297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6.6666666666666625</v>
      </c>
      <c r="BY54" s="13">
        <f>IF('Données projet'!$A$114&gt;35,BY53+BX54-CG53,IF(A54&lt;'Données projet'!$A$114,$BV$205^A54,IF(A54='Données projet'!$A$114,'Données projet'!$B$114,BY53+BX54-CG53)))</f>
        <v>231.66666666666674</v>
      </c>
      <c r="BZ54" s="14">
        <f>BY54*VLOOKUP('Données projet'!$B$12,Paramètres!$A$1:$I$89,3,0)*VLOOKUP('Données projet'!$B$12,Paramètres!$A$1:$I$89,5,0)</f>
        <v>155.40200000000007</v>
      </c>
      <c r="CA54" s="14">
        <f t="shared" si="39"/>
        <v>39.803670275990136</v>
      </c>
      <c r="CB54" s="22">
        <f t="shared" si="10"/>
        <v>339.98320906401625</v>
      </c>
      <c r="CC54" s="60">
        <f t="shared" si="11"/>
        <v>633.31654239734962</v>
      </c>
      <c r="CD54" s="60">
        <f ca="1">AVERAGE(OFFSET($CC$3,0,0,'Données projet'!$E$12+1,1))-AVERAGE(OFFSET($H$3,0,0,'Données projet'!$E$12+1,1))</f>
        <v>362.1372269575329</v>
      </c>
      <c r="CE54" s="60">
        <f t="shared" si="40"/>
        <v>308.1559670593121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1.7103016383325804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1.7103016383325804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8.6</v>
      </c>
      <c r="CT54" s="13">
        <f>IF('Données projet'!$A$140&gt;35,CT53+CS54-DB53,IF(A54&lt;'Données projet'!$A$140,$CQ$205^A54,IF(A54='Données projet'!$A$140,'Données projet'!$B$140,CT53+CS54-DB53)))</f>
        <v>175.60000000000011</v>
      </c>
      <c r="CU54" s="18">
        <f>CT54*VLOOKUP('Données projet'!$B$13,Paramètres!$A$1:$I$89,3,0)*VLOOKUP('Données projet'!$B$13,Paramètres!$A$1:$I$89,5,0)</f>
        <v>189.01584000000011</v>
      </c>
      <c r="CV54" s="14">
        <f t="shared" si="41"/>
        <v>47.322303328129706</v>
      </c>
      <c r="CW54" s="22">
        <f t="shared" si="13"/>
        <v>411.6222662964928</v>
      </c>
      <c r="CX54" s="60">
        <f t="shared" si="14"/>
        <v>704.95559962982611</v>
      </c>
      <c r="CY54" s="60">
        <f ca="1">AVERAGE(OFFSET($CX$3,0,0,'Données projet'!$E$13+1,1))-AVERAGE(OFFSET($H$3,0,0,'Données projet'!$E$13+1,1))</f>
        <v>488.44916315274139</v>
      </c>
      <c r="CZ54" s="60">
        <f t="shared" si="42"/>
        <v>348.17941150148209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2.2207788016253134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2.2207788016253134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8.8736263736263741</v>
      </c>
      <c r="N55" s="14">
        <f>IF('Données projet'!$A$36&gt;35,N54+M55-V54,IF(A55&lt;'Données projet'!$A$36,$K$205^A55,IF(A55='Données projet'!$A$36,'Données projet'!$B$36,N54+M55-V54)))</f>
        <v>171.82142857142858</v>
      </c>
      <c r="O55" s="14">
        <f>N55*VLOOKUP('Données projet'!$B$9,Paramètres!$A$1:$I$89,3,0)*VLOOKUP('Données projet'!$B$9,Paramètres!$A$1:$I$89,5,0)</f>
        <v>155.4640285714286</v>
      </c>
      <c r="P55" s="14">
        <f t="shared" si="33"/>
        <v>39.817708233223598</v>
      </c>
      <c r="Q55" s="22">
        <f t="shared" si="53"/>
        <v>340.11569160143591</v>
      </c>
      <c r="R55" s="60">
        <f t="shared" si="0"/>
        <v>633.44902493476923</v>
      </c>
      <c r="S55" s="60">
        <f ca="1">AVERAGE(OFFSET($R$3,0,0,'Données projet'!$E$9+1,1))-AVERAGE(OFFSET($H$3,0,0,'Données projet'!$E$9+1,1))</f>
        <v>319.72731970820928</v>
      </c>
      <c r="T55" s="60">
        <f t="shared" si="34"/>
        <v>279.93992813630513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9.8000000000000007</v>
      </c>
      <c r="AI55" s="14">
        <f>IF('Données projet'!$A$62&gt;35,AI54+AH55-AQ54,IF(A55&lt;'Données projet'!$A$62,$AF$205^A55,IF(A55='Données projet'!$A$62,'Données projet'!$B$62,AI54+AH55-AQ54)))</f>
        <v>203.60000000000016</v>
      </c>
      <c r="AJ55" s="14">
        <f>AI55*VLOOKUP('Données projet'!$B$10,Paramètres!$A$1:$I$89,3,0)*VLOOKUP('Données projet'!$B$10,Paramètres!$A$1:$I$89,5,0)</f>
        <v>206.4504000000002</v>
      </c>
      <c r="AK55" s="14">
        <f t="shared" si="35"/>
        <v>51.159140879212146</v>
      </c>
      <c r="AL55" s="22">
        <f t="shared" si="4"/>
        <v>448.66995036462805</v>
      </c>
      <c r="AM55" s="60">
        <f t="shared" si="5"/>
        <v>742.00328369796136</v>
      </c>
      <c r="AN55" s="60">
        <f ca="1">AVERAGE(OFFSET($AM$3,0,0,'Données projet'!$E$10+1,1))-AVERAGE(OFFSET($H$3,0,0,'Données projet'!$E$10+1,1))</f>
        <v>505.64100207870439</v>
      </c>
      <c r="AO55" s="60">
        <f t="shared" si="36"/>
        <v>371.76229669709249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2.4522323661819301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2.4522323661819301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7.4</v>
      </c>
      <c r="BD55" s="13">
        <f>IF('Données projet'!$A$88&gt;35,BD54+BC55-BL54,IF(A55&lt;'Données projet'!$A$88,$BA$205^A55,IF(A55='Données projet'!$A$88,'Données projet'!$B$88,BD54+BC55-BL54)))</f>
        <v>256.8</v>
      </c>
      <c r="BE55" s="14">
        <f>BD55*VLOOKUP('Données projet'!$B$11,Paramètres!$A$1:$I$89,3,0)*VLOOKUP('Données projet'!$B$11,Paramètres!$A$1:$I$89,5,0)</f>
        <v>204.31008000000003</v>
      </c>
      <c r="BF55" s="14">
        <f t="shared" si="37"/>
        <v>50.690214235398379</v>
      </c>
      <c r="BG55" s="22">
        <f t="shared" si="7"/>
        <v>444.12551245998549</v>
      </c>
      <c r="BH55" s="60">
        <f t="shared" si="8"/>
        <v>737.4588457933188</v>
      </c>
      <c r="BI55" s="60">
        <f ca="1">AVERAGE(OFFSET($BH$3,0,0,'Données projet'!$E$11+1,1))-AVERAGE(OFFSET($H$3,0,0,'Données projet'!$E$11+1,1))</f>
        <v>353.26636241468884</v>
      </c>
      <c r="BJ55" s="60">
        <f t="shared" si="38"/>
        <v>345.4750813433123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3.3034329196482939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3.3034329196482939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6.6666666666666625</v>
      </c>
      <c r="BY55" s="13">
        <f>IF('Données projet'!$A$114&gt;35,BY54+BX55-CG54,IF(A55&lt;'Données projet'!$A$114,$BV$205^A55,IF(A55='Données projet'!$A$114,'Données projet'!$B$114,BY54+BX55-CG54)))</f>
        <v>238.3333333333334</v>
      </c>
      <c r="BZ55" s="14">
        <f>BY55*VLOOKUP('Données projet'!$B$12,Paramètres!$A$1:$I$89,3,0)*VLOOKUP('Données projet'!$B$12,Paramètres!$A$1:$I$89,5,0)</f>
        <v>159.87400000000005</v>
      </c>
      <c r="CA55" s="14">
        <f t="shared" si="39"/>
        <v>40.81409445206225</v>
      </c>
      <c r="CB55" s="22">
        <f t="shared" si="10"/>
        <v>349.53176450400855</v>
      </c>
      <c r="CC55" s="60">
        <f t="shared" si="11"/>
        <v>642.86509783734186</v>
      </c>
      <c r="CD55" s="60">
        <f ca="1">AVERAGE(OFFSET($CC$3,0,0,'Données projet'!$E$12+1,1))-AVERAGE(OFFSET($H$3,0,0,'Données projet'!$E$12+1,1))</f>
        <v>362.1372269575329</v>
      </c>
      <c r="CE55" s="60">
        <f t="shared" si="40"/>
        <v>308.1559670593121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1.6635333500915217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1.6635333500915217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8.6</v>
      </c>
      <c r="CT55" s="13">
        <f>IF('Données projet'!$A$140&gt;35,CT54+CS55-DB54,IF(A55&lt;'Données projet'!$A$140,$CQ$205^A55,IF(A55='Données projet'!$A$140,'Données projet'!$B$140,CT54+CS55-DB54)))</f>
        <v>184.2000000000001</v>
      </c>
      <c r="CU55" s="18">
        <f>CT55*VLOOKUP('Données projet'!$B$13,Paramètres!$A$1:$I$89,3,0)*VLOOKUP('Données projet'!$B$13,Paramètres!$A$1:$I$89,5,0)</f>
        <v>198.2728800000001</v>
      </c>
      <c r="CV55" s="14">
        <f t="shared" si="41"/>
        <v>49.364407640075534</v>
      </c>
      <c r="CW55" s="22">
        <f t="shared" si="13"/>
        <v>431.30160930646508</v>
      </c>
      <c r="CX55" s="60">
        <f t="shared" si="14"/>
        <v>724.6349426397984</v>
      </c>
      <c r="CY55" s="60">
        <f ca="1">AVERAGE(OFFSET($CX$3,0,0,'Données projet'!$E$13+1,1))-AVERAGE(OFFSET($H$3,0,0,'Données projet'!$E$13+1,1))</f>
        <v>488.44916315274139</v>
      </c>
      <c r="CZ55" s="60">
        <f t="shared" si="42"/>
        <v>348.17941150148209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2.1600514885091875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2.1600514885091875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8.8736263736263741</v>
      </c>
      <c r="N56" s="14">
        <f>IF('Données projet'!$A$36&gt;35,N55+M56-V55,IF(A56&lt;'Données projet'!$A$36,$K$205^A56,IF(A56='Données projet'!$A$36,'Données projet'!$B$36,N55+M56-V55)))</f>
        <v>180.69505494505495</v>
      </c>
      <c r="O56" s="14">
        <f>N56*VLOOKUP('Données projet'!$B$9,Paramètres!$A$1:$I$89,3,0)*VLOOKUP('Données projet'!$B$9,Paramètres!$A$1:$I$89,5,0)</f>
        <v>163.49288571428571</v>
      </c>
      <c r="P56" s="14">
        <f t="shared" si="33"/>
        <v>41.629352600963429</v>
      </c>
      <c r="Q56" s="22">
        <f t="shared" si="53"/>
        <v>357.25456506572556</v>
      </c>
      <c r="R56" s="60">
        <f t="shared" si="0"/>
        <v>650.58789839905887</v>
      </c>
      <c r="S56" s="60">
        <f ca="1">AVERAGE(OFFSET($R$3,0,0,'Données projet'!$E$9+1,1))-AVERAGE(OFFSET($H$3,0,0,'Données projet'!$E$9+1,1))</f>
        <v>319.72731970820928</v>
      </c>
      <c r="T56" s="60">
        <f t="shared" si="34"/>
        <v>279.93992813630513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9.8000000000000007</v>
      </c>
      <c r="AI56" s="14">
        <f>IF('Données projet'!$A$62&gt;35,AI55+AH56-AQ55,IF(A56&lt;'Données projet'!$A$62,$AF$205^A56,IF(A56='Données projet'!$A$62,'Données projet'!$B$62,AI55+AH56-AQ55)))</f>
        <v>213.40000000000018</v>
      </c>
      <c r="AJ56" s="14">
        <f>AI56*VLOOKUP('Données projet'!$B$10,Paramètres!$A$1:$I$89,3,0)*VLOOKUP('Données projet'!$B$10,Paramètres!$A$1:$I$89,5,0)</f>
        <v>216.38760000000019</v>
      </c>
      <c r="AK56" s="14">
        <f t="shared" si="35"/>
        <v>53.328993492050401</v>
      </c>
      <c r="AL56" s="22">
        <f t="shared" si="4"/>
        <v>469.75640033198812</v>
      </c>
      <c r="AM56" s="60">
        <f t="shared" si="5"/>
        <v>763.08973366532143</v>
      </c>
      <c r="AN56" s="60">
        <f ca="1">AVERAGE(OFFSET($AM$3,0,0,'Données projet'!$E$10+1,1))-AVERAGE(OFFSET($H$3,0,0,'Données projet'!$E$10+1,1))</f>
        <v>505.64100207870439</v>
      </c>
      <c r="AO56" s="60">
        <f t="shared" si="36"/>
        <v>371.76229669709249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2.3851759431713897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2.3851759431713897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7.4</v>
      </c>
      <c r="BD56" s="13">
        <f>IF('Données projet'!$A$88&gt;35,BD55+BC56-BL55,IF(A56&lt;'Données projet'!$A$88,$BA$205^A56,IF(A56='Données projet'!$A$88,'Données projet'!$B$88,BD55+BC56-BL55)))</f>
        <v>264.2</v>
      </c>
      <c r="BE56" s="14">
        <f>BD56*VLOOKUP('Données projet'!$B$11,Paramètres!$A$1:$I$89,3,0)*VLOOKUP('Données projet'!$B$11,Paramètres!$A$1:$I$89,5,0)</f>
        <v>210.19752</v>
      </c>
      <c r="BF56" s="14">
        <f t="shared" si="37"/>
        <v>51.978746425856599</v>
      </c>
      <c r="BG56" s="22">
        <f t="shared" si="7"/>
        <v>456.62366402503358</v>
      </c>
      <c r="BH56" s="60">
        <f t="shared" si="8"/>
        <v>749.95699735836683</v>
      </c>
      <c r="BI56" s="60">
        <f ca="1">AVERAGE(OFFSET($BH$3,0,0,'Données projet'!$E$11+1,1))-AVERAGE(OFFSET($H$3,0,0,'Données projet'!$E$11+1,1))</f>
        <v>353.26636241468884</v>
      </c>
      <c r="BJ56" s="60">
        <f t="shared" si="38"/>
        <v>345.4750813433123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3.2131003727405241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3.2131003727405241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6.6666666666666625</v>
      </c>
      <c r="BY56" s="13">
        <f>IF('Données projet'!$A$114&gt;35,BY55+BX56-CG55,IF(A56&lt;'Données projet'!$A$114,$BV$205^A56,IF(A56='Données projet'!$A$114,'Données projet'!$B$114,BY55+BX56-CG55)))</f>
        <v>245.00000000000006</v>
      </c>
      <c r="BZ56" s="14">
        <f>BY56*VLOOKUP('Données projet'!$B$12,Paramètres!$A$1:$I$89,3,0)*VLOOKUP('Données projet'!$B$12,Paramètres!$A$1:$I$89,5,0)</f>
        <v>164.34600000000003</v>
      </c>
      <c r="CA56" s="14">
        <f t="shared" si="39"/>
        <v>41.821233640915146</v>
      </c>
      <c r="CB56" s="22">
        <f t="shared" si="10"/>
        <v>359.07459859126061</v>
      </c>
      <c r="CC56" s="60">
        <f t="shared" si="11"/>
        <v>652.40793192459387</v>
      </c>
      <c r="CD56" s="60">
        <f ca="1">AVERAGE(OFFSET($CC$3,0,0,'Données projet'!$E$12+1,1))-AVERAGE(OFFSET($H$3,0,0,'Données projet'!$E$12+1,1))</f>
        <v>362.1372269575329</v>
      </c>
      <c r="CE56" s="60">
        <f t="shared" si="40"/>
        <v>308.1559670593121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1.6180439431518523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1.6180439431518523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8.6</v>
      </c>
      <c r="CT56" s="13">
        <f>IF('Données projet'!$A$140&gt;35,CT55+CS56-DB55,IF(A56&lt;'Données projet'!$A$140,$CQ$205^A56,IF(A56='Données projet'!$A$140,'Données projet'!$B$140,CT55+CS56-DB55)))</f>
        <v>192.8000000000001</v>
      </c>
      <c r="CU56" s="18">
        <f>CT56*VLOOKUP('Données projet'!$B$13,Paramètres!$A$1:$I$89,3,0)*VLOOKUP('Données projet'!$B$13,Paramètres!$A$1:$I$89,5,0)</f>
        <v>207.52992000000012</v>
      </c>
      <c r="CV56" s="14">
        <f t="shared" si="41"/>
        <v>51.395439933620843</v>
      </c>
      <c r="CW56" s="22">
        <f t="shared" si="13"/>
        <v>450.96166855105645</v>
      </c>
      <c r="CX56" s="60">
        <f t="shared" si="14"/>
        <v>744.29500188438976</v>
      </c>
      <c r="CY56" s="60">
        <f ca="1">AVERAGE(OFFSET($CX$3,0,0,'Données projet'!$E$13+1,1))-AVERAGE(OFFSET($H$3,0,0,'Données projet'!$E$13+1,1))</f>
        <v>488.44916315274139</v>
      </c>
      <c r="CZ56" s="60">
        <f t="shared" si="42"/>
        <v>348.17941150148209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2.1009847669637329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2.1009847669637329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8.8736263736263741</v>
      </c>
      <c r="N57" s="14">
        <f>IF('Données projet'!$A$36&gt;35,N56+M57-V56,IF(A57&lt;'Données projet'!$A$36,$K$205^A57,IF(A57='Données projet'!$A$36,'Données projet'!$B$36,N56+M57-V56)))</f>
        <v>189.56868131868131</v>
      </c>
      <c r="O57" s="14">
        <f>N57*VLOOKUP('Données projet'!$B$9,Paramètres!$A$1:$I$89,3,0)*VLOOKUP('Données projet'!$B$9,Paramètres!$A$1:$I$89,5,0)</f>
        <v>171.52174285714284</v>
      </c>
      <c r="P57" s="14">
        <f t="shared" si="33"/>
        <v>43.430666394282092</v>
      </c>
      <c r="Q57" s="22">
        <f t="shared" si="53"/>
        <v>374.37544611289837</v>
      </c>
      <c r="R57" s="60">
        <f t="shared" si="0"/>
        <v>667.70877944623169</v>
      </c>
      <c r="S57" s="60">
        <f ca="1">AVERAGE(OFFSET($R$3,0,0,'Données projet'!$E$9+1,1))-AVERAGE(OFFSET($H$3,0,0,'Données projet'!$E$9+1,1))</f>
        <v>319.72731970820928</v>
      </c>
      <c r="T57" s="60">
        <f t="shared" si="34"/>
        <v>279.93992813630513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9.8000000000000007</v>
      </c>
      <c r="AI57" s="14">
        <f>IF('Données projet'!$A$62&gt;35,AI56+AH57-AQ56,IF(A57&lt;'Données projet'!$A$62,$AF$205^A57,IF(A57='Données projet'!$A$62,'Données projet'!$B$62,AI56+AH57-AQ56)))</f>
        <v>223.20000000000019</v>
      </c>
      <c r="AJ57" s="14">
        <f>AI57*VLOOKUP('Données projet'!$B$10,Paramètres!$A$1:$I$89,3,0)*VLOOKUP('Données projet'!$B$10,Paramètres!$A$1:$I$89,5,0)</f>
        <v>226.32480000000021</v>
      </c>
      <c r="AK57" s="14">
        <f t="shared" si="35"/>
        <v>55.487273906836769</v>
      </c>
      <c r="AL57" s="22">
        <f t="shared" si="4"/>
        <v>490.82269538774102</v>
      </c>
      <c r="AM57" s="60">
        <f t="shared" si="5"/>
        <v>784.15602872107434</v>
      </c>
      <c r="AN57" s="60">
        <f ca="1">AVERAGE(OFFSET($AM$3,0,0,'Données projet'!$E$10+1,1))-AVERAGE(OFFSET($H$3,0,0,'Données projet'!$E$10+1,1))</f>
        <v>505.64100207870439</v>
      </c>
      <c r="AO57" s="60">
        <f t="shared" si="36"/>
        <v>371.76229669709249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2.3199531815744168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2.3199531815744168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7.4</v>
      </c>
      <c r="BD57" s="13">
        <f>IF('Données projet'!$A$88&gt;35,BD56+BC57-BL56,IF(A57&lt;'Données projet'!$A$88,$BA$205^A57,IF(A57='Données projet'!$A$88,'Données projet'!$B$88,BD56+BC57-BL56)))</f>
        <v>271.59999999999997</v>
      </c>
      <c r="BE57" s="14">
        <f>BD57*VLOOKUP('Données projet'!$B$11,Paramètres!$A$1:$I$89,3,0)*VLOOKUP('Données projet'!$B$11,Paramètres!$A$1:$I$89,5,0)</f>
        <v>216.08496</v>
      </c>
      <c r="BF57" s="14">
        <f t="shared" si="37"/>
        <v>53.26308393083157</v>
      </c>
      <c r="BG57" s="22">
        <f t="shared" si="7"/>
        <v>469.11450984619825</v>
      </c>
      <c r="BH57" s="60">
        <f t="shared" si="8"/>
        <v>762.44784317953156</v>
      </c>
      <c r="BI57" s="60">
        <f ca="1">AVERAGE(OFFSET($BH$3,0,0,'Données projet'!$E$11+1,1))-AVERAGE(OFFSET($H$3,0,0,'Données projet'!$E$11+1,1))</f>
        <v>353.26636241468884</v>
      </c>
      <c r="BJ57" s="60">
        <f t="shared" si="38"/>
        <v>345.4750813433123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3.1252379740783294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3.1252379740783294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6.6666666666666625</v>
      </c>
      <c r="BY57" s="13">
        <f>IF('Données projet'!$A$114&gt;35,BY56+BX57-CG56,IF(A57&lt;'Données projet'!$A$114,$BV$205^A57,IF(A57='Données projet'!$A$114,'Données projet'!$B$114,BY56+BX57-CG56)))</f>
        <v>251.66666666666671</v>
      </c>
      <c r="BZ57" s="14">
        <f>BY57*VLOOKUP('Données projet'!$B$12,Paramètres!$A$1:$I$89,3,0)*VLOOKUP('Données projet'!$B$12,Paramètres!$A$1:$I$89,5,0)</f>
        <v>168.81800000000004</v>
      </c>
      <c r="CA57" s="14">
        <f t="shared" si="39"/>
        <v>42.825187501685285</v>
      </c>
      <c r="CB57" s="22">
        <f t="shared" si="10"/>
        <v>368.61188489876866</v>
      </c>
      <c r="CC57" s="60">
        <f t="shared" si="11"/>
        <v>661.94521823210198</v>
      </c>
      <c r="CD57" s="60">
        <f ca="1">AVERAGE(OFFSET($CC$3,0,0,'Données projet'!$E$12+1,1))-AVERAGE(OFFSET($H$3,0,0,'Données projet'!$E$12+1,1))</f>
        <v>362.1372269575329</v>
      </c>
      <c r="CE57" s="60">
        <f t="shared" si="40"/>
        <v>308.1559670593121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1.573798446437132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1.573798446437132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8.6</v>
      </c>
      <c r="CT57" s="13">
        <f>IF('Données projet'!$A$140&gt;35,CT56+CS57-DB56,IF(A57&lt;'Données projet'!$A$140,$CQ$205^A57,IF(A57='Données projet'!$A$140,'Données projet'!$B$140,CT56+CS57-DB56)))</f>
        <v>201.40000000000009</v>
      </c>
      <c r="CU57" s="18">
        <f>CT57*VLOOKUP('Données projet'!$B$13,Paramètres!$A$1:$I$89,3,0)*VLOOKUP('Données projet'!$B$13,Paramètres!$A$1:$I$89,5,0)</f>
        <v>216.78696000000011</v>
      </c>
      <c r="CV57" s="14">
        <f t="shared" si="41"/>
        <v>53.415950516159398</v>
      </c>
      <c r="CW57" s="22">
        <f t="shared" si="13"/>
        <v>470.60340248231097</v>
      </c>
      <c r="CX57" s="60">
        <f t="shared" si="14"/>
        <v>763.93673581564428</v>
      </c>
      <c r="CY57" s="60">
        <f ca="1">AVERAGE(OFFSET($CX$3,0,0,'Données projet'!$E$13+1,1))-AVERAGE(OFFSET($H$3,0,0,'Données projet'!$E$13+1,1))</f>
        <v>488.44916315274139</v>
      </c>
      <c r="CZ57" s="60">
        <f t="shared" si="42"/>
        <v>348.17941150148209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2.0435332280251228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2.0435332280251228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198.44230769230768</v>
      </c>
      <c r="L58" s="13">
        <f>VLOOKUP(A58,'Données projet'!$A$35:$I$55,9,0)</f>
        <v>8.8736263736263741</v>
      </c>
      <c r="M58" s="13">
        <f t="array" ref="M58">INDEX(L:L,MIN(IF(ISNUMBER(L58:L254),ROW(L58:L254),"")))</f>
        <v>8.8736263736263741</v>
      </c>
      <c r="N58" s="14">
        <f>IF('Données projet'!$A$36&gt;35,N57+M58-V57,IF(A58&lt;'Données projet'!$A$36,$K$205^A58,IF(A58='Données projet'!$A$36,'Données projet'!$B$36,N57+M58-V57)))</f>
        <v>198.44230769230768</v>
      </c>
      <c r="O58" s="14">
        <f>N58*VLOOKUP('Données projet'!$B$9,Paramètres!$A$1:$I$89,3,0)*VLOOKUP('Données projet'!$B$9,Paramètres!$A$1:$I$89,5,0)</f>
        <v>179.55059999999997</v>
      </c>
      <c r="P58" s="14">
        <f t="shared" si="33"/>
        <v>45.22218840459005</v>
      </c>
      <c r="Q58" s="22">
        <f t="shared" si="53"/>
        <v>391.47927313799431</v>
      </c>
      <c r="R58" s="60">
        <f t="shared" si="0"/>
        <v>684.81260647132763</v>
      </c>
      <c r="S58" s="60">
        <f ca="1">AVERAGE(OFFSET($R$3,0,0,'Données projet'!$E$9+1,1))-AVERAGE(OFFSET($H$3,0,0,'Données projet'!$E$9+1,1))</f>
        <v>319.72731970820928</v>
      </c>
      <c r="T58" s="60">
        <f t="shared" si="34"/>
        <v>279.93992813630513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45.147435897435898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233</v>
      </c>
      <c r="AG58" s="13">
        <f>VLOOKUP(A58,'Données projet'!$A$61:$I$81,9,0)</f>
        <v>9.8000000000000007</v>
      </c>
      <c r="AH58" s="13">
        <f t="array" ref="AH58">INDEX(AG:AG,MIN(IF(ISNUMBER(AG58:AG254),ROW(AG58:AG254),"")))</f>
        <v>9.8000000000000007</v>
      </c>
      <c r="AI58" s="14">
        <f>IF('Données projet'!$A$62&gt;35,AI57+AH58-AQ57,IF(A58&lt;'Données projet'!$A$62,$AF$205^A58,IF(A58='Données projet'!$A$62,'Données projet'!$B$62,AI57+AH58-AQ57)))</f>
        <v>233.0000000000002</v>
      </c>
      <c r="AJ58" s="14">
        <f>AI58*VLOOKUP('Données projet'!$B$10,Paramètres!$A$1:$I$89,3,0)*VLOOKUP('Données projet'!$B$10,Paramètres!$A$1:$I$89,5,0)</f>
        <v>236.2620000000002</v>
      </c>
      <c r="AK58" s="14">
        <f t="shared" si="35"/>
        <v>57.634548288898444</v>
      </c>
      <c r="AL58" s="22">
        <f t="shared" si="4"/>
        <v>511.86982160316512</v>
      </c>
      <c r="AM58" s="60">
        <f t="shared" si="5"/>
        <v>805.20315493649844</v>
      </c>
      <c r="AN58" s="60">
        <f ca="1">AVERAGE(OFFSET($AM$3,0,0,'Données projet'!$E$10+1,1))-AVERAGE(OFFSET($H$3,0,0,'Données projet'!$E$10+1,1))</f>
        <v>505.64100207870439</v>
      </c>
      <c r="AO58" s="60">
        <f t="shared" si="36"/>
        <v>371.76229669709249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2.256513939823229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2.256513939823229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279</v>
      </c>
      <c r="BB58" s="13">
        <f>VLOOKUP(A58,'Données projet'!$A$87:$I$107,9,0)</f>
        <v>7.4</v>
      </c>
      <c r="BC58" s="13">
        <f t="array" ref="BC58">INDEX(BB:BB,MIN(IF(ISNUMBER(BB58:BB254),ROW(BB58:BB254),"")))</f>
        <v>7.4</v>
      </c>
      <c r="BD58" s="13">
        <f>IF('Données projet'!$A$88&gt;35,BD57+BC58-BL57,IF(A58&lt;'Données projet'!$A$88,$BA$205^A58,IF(A58='Données projet'!$A$88,'Données projet'!$B$88,BD57+BC58-BL57)))</f>
        <v>278.99999999999994</v>
      </c>
      <c r="BE58" s="14">
        <f>BD58*VLOOKUP('Données projet'!$B$11,Paramètres!$A$1:$I$89,3,0)*VLOOKUP('Données projet'!$B$11,Paramètres!$A$1:$I$89,5,0)</f>
        <v>221.97239999999996</v>
      </c>
      <c r="BF58" s="14">
        <f t="shared" si="37"/>
        <v>54.543354171476821</v>
      </c>
      <c r="BG58" s="22">
        <f t="shared" si="7"/>
        <v>481.59827184865543</v>
      </c>
      <c r="BH58" s="60">
        <f t="shared" si="8"/>
        <v>774.93160518198874</v>
      </c>
      <c r="BI58" s="60">
        <f ca="1">AVERAGE(OFFSET($BH$3,0,0,'Données projet'!$E$11+1,1))-AVERAGE(OFFSET($H$3,0,0,'Données projet'!$E$11+1,1))</f>
        <v>353.26636241468884</v>
      </c>
      <c r="BJ58" s="60">
        <f t="shared" si="38"/>
        <v>345.4750813433123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16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3.039778177328035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3.039778177328035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258.33333333333331</v>
      </c>
      <c r="BW58" s="13">
        <f>VLOOKUP(A58,'Données projet'!$A$113:$I$133,9,0)</f>
        <v>6.6666666666666625</v>
      </c>
      <c r="BX58" s="13">
        <f t="array" ref="BX58">INDEX(BW:BW,MIN(IF(ISNUMBER(BW58:BW254),ROW(BW58:BW254),"")))</f>
        <v>6.6666666666666625</v>
      </c>
      <c r="BY58" s="13">
        <f>IF('Données projet'!$A$114&gt;35,BY57+BX58-CG57,IF(A58&lt;'Données projet'!$A$114,$BV$205^A58,IF(A58='Données projet'!$A$114,'Données projet'!$B$114,BY57+BX58-CG57)))</f>
        <v>258.33333333333337</v>
      </c>
      <c r="BZ58" s="14">
        <f>BY58*VLOOKUP('Données projet'!$B$12,Paramètres!$A$1:$I$89,3,0)*VLOOKUP('Données projet'!$B$12,Paramètres!$A$1:$I$89,5,0)</f>
        <v>173.29000000000002</v>
      </c>
      <c r="CA58" s="14">
        <f t="shared" si="39"/>
        <v>43.826050112896048</v>
      </c>
      <c r="CB58" s="22">
        <f t="shared" si="10"/>
        <v>378.14378727996063</v>
      </c>
      <c r="CC58" s="60">
        <f t="shared" si="11"/>
        <v>671.47712061329389</v>
      </c>
      <c r="CD58" s="60">
        <f ca="1">AVERAGE(OFFSET($CC$3,0,0,'Données projet'!$E$12+1,1))-AVERAGE(OFFSET($H$3,0,0,'Données projet'!$E$12+1,1))</f>
        <v>362.1372269575329</v>
      </c>
      <c r="CE58" s="60">
        <f t="shared" si="40"/>
        <v>308.1559670593121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1.5307628451568454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1.5307628451568454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210</v>
      </c>
      <c r="CR58" s="13">
        <f>VLOOKUP(A58,'Données projet'!$A$139:$I$159,9,0)</f>
        <v>8.6</v>
      </c>
      <c r="CS58" s="13">
        <f t="array" ref="CS58">INDEX(CR:CR,MIN(IF(ISNUMBER(CR58:CR254),ROW(CR58:CR254),"")))</f>
        <v>8.6</v>
      </c>
      <c r="CT58" s="13">
        <f>IF('Données projet'!$A$140&gt;35,CT57+CS58-DB57,IF(A58&lt;'Données projet'!$A$140,$CQ$205^A58,IF(A58='Données projet'!$A$140,'Données projet'!$B$140,CT57+CS58-DB57)))</f>
        <v>210.00000000000009</v>
      </c>
      <c r="CU58" s="18">
        <f>CT58*VLOOKUP('Données projet'!$B$13,Paramètres!$A$1:$I$89,3,0)*VLOOKUP('Données projet'!$B$13,Paramètres!$A$1:$I$89,5,0)</f>
        <v>226.04400000000007</v>
      </c>
      <c r="CV58" s="14">
        <f t="shared" si="41"/>
        <v>55.426440039423504</v>
      </c>
      <c r="CW58" s="22">
        <f t="shared" si="13"/>
        <v>490.22768306866277</v>
      </c>
      <c r="CX58" s="60">
        <f t="shared" si="14"/>
        <v>783.56101640199608</v>
      </c>
      <c r="CY58" s="60">
        <f ca="1">AVERAGE(OFFSET($CX$3,0,0,'Données projet'!$E$13+1,1))-AVERAGE(OFFSET($H$3,0,0,'Données projet'!$E$13+1,1))</f>
        <v>488.44916315274139</v>
      </c>
      <c r="CZ58" s="60">
        <f t="shared" si="42"/>
        <v>348.17941150148209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1.9876527044400338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1.9876527044400338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8.374198717948719</v>
      </c>
      <c r="N59" s="14">
        <f>IF('Données projet'!$A$36&gt;35,N58+M59-V58,IF(A59&lt;'Données projet'!$A$36,$K$205^A59,IF(A59='Données projet'!$A$36,'Données projet'!$B$36,N58+M59-V58)))</f>
        <v>161.6690705128205</v>
      </c>
      <c r="O59" s="14">
        <f>N59*VLOOKUP('Données projet'!$B$9,Paramètres!$A$1:$I$89,3,0)*VLOOKUP('Données projet'!$B$9,Paramètres!$A$1:$I$89,5,0)</f>
        <v>146.27817499999998</v>
      </c>
      <c r="P59" s="14">
        <f t="shared" si="33"/>
        <v>37.731554716297467</v>
      </c>
      <c r="Q59" s="22">
        <f t="shared" si="53"/>
        <v>320.48361258921801</v>
      </c>
      <c r="R59" s="60">
        <f t="shared" si="0"/>
        <v>613.81694592255133</v>
      </c>
      <c r="S59" s="60">
        <f ca="1">AVERAGE(OFFSET($R$3,0,0,'Données projet'!$E$9+1,1))-AVERAGE(OFFSET($H$3,0,0,'Données projet'!$E$9+1,1))</f>
        <v>319.72731970820928</v>
      </c>
      <c r="T59" s="60">
        <f t="shared" si="34"/>
        <v>279.93992813630513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9.6</v>
      </c>
      <c r="AI59" s="14">
        <f>IF('Données projet'!$A$62&gt;35,AI58+AH59-AQ58,IF(A59&lt;'Données projet'!$A$62,$AF$205^A59,IF(A59='Données projet'!$A$62,'Données projet'!$B$62,AI58+AH59-AQ58)))</f>
        <v>242.60000000000019</v>
      </c>
      <c r="AJ59" s="14">
        <f>AI59*VLOOKUP('Données projet'!$B$10,Paramètres!$A$1:$I$89,3,0)*VLOOKUP('Données projet'!$B$10,Paramètres!$A$1:$I$89,5,0)</f>
        <v>245.99640000000022</v>
      </c>
      <c r="AK59" s="14">
        <f t="shared" si="35"/>
        <v>59.727826320264469</v>
      </c>
      <c r="AL59" s="22">
        <f t="shared" si="4"/>
        <v>532.46969417446098</v>
      </c>
      <c r="AM59" s="60">
        <f t="shared" si="5"/>
        <v>825.80302750779424</v>
      </c>
      <c r="AN59" s="60">
        <f ca="1">AVERAGE(OFFSET($AM$3,0,0,'Données projet'!$E$10+1,1))-AVERAGE(OFFSET($H$3,0,0,'Données projet'!$E$10+1,1))</f>
        <v>505.64100207870439</v>
      </c>
      <c r="AO59" s="60">
        <f t="shared" si="36"/>
        <v>371.76229669709249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2.194809447473852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2.194809447473852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6.2</v>
      </c>
      <c r="BD59" s="13">
        <f>IF('Données projet'!$A$88&gt;35,BD58+BC59-BL58,IF(A59&lt;'Données projet'!$A$88,$BA$205^A59,IF(A59='Données projet'!$A$88,'Données projet'!$B$88,BD58+BC59-BL58)))</f>
        <v>269.19999999999993</v>
      </c>
      <c r="BE59" s="14">
        <f>BD59*VLOOKUP('Données projet'!$B$11,Paramètres!$A$1:$I$89,3,0)*VLOOKUP('Données projet'!$B$11,Paramètres!$A$1:$I$89,5,0)</f>
        <v>214.17551999999998</v>
      </c>
      <c r="BF59" s="14">
        <f t="shared" si="37"/>
        <v>52.846993696165399</v>
      </c>
      <c r="BG59" s="22">
        <f t="shared" si="7"/>
        <v>465.06421135415468</v>
      </c>
      <c r="BH59" s="60">
        <f t="shared" si="8"/>
        <v>758.39754468748799</v>
      </c>
      <c r="BI59" s="60">
        <f ca="1">AVERAGE(OFFSET($BH$3,0,0,'Données projet'!$E$11+1,1))-AVERAGE(OFFSET($H$3,0,0,'Données projet'!$E$11+1,1))</f>
        <v>353.26636241468884</v>
      </c>
      <c r="BJ59" s="60">
        <f t="shared" si="38"/>
        <v>345.4750813433123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2.9566552832140132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2.9566552832140132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6.1538461538461551</v>
      </c>
      <c r="BY59" s="13">
        <f>IF('Données projet'!$A$114&gt;35,BY58+BX59-CG58,IF(A59&lt;'Données projet'!$A$114,$BV$205^A59,IF(A59='Données projet'!$A$114,'Données projet'!$B$114,BY58+BX59-CG58)))</f>
        <v>264.4871794871795</v>
      </c>
      <c r="BZ59" s="14">
        <f>BY59*VLOOKUP('Données projet'!$B$12,Paramètres!$A$1:$I$89,3,0)*VLOOKUP('Données projet'!$B$12,Paramètres!$A$1:$I$89,5,0)</f>
        <v>177.41800000000001</v>
      </c>
      <c r="CA59" s="14">
        <f t="shared" si="39"/>
        <v>44.747256581968642</v>
      </c>
      <c r="CB59" s="22">
        <f t="shared" si="10"/>
        <v>386.93782188026211</v>
      </c>
      <c r="CC59" s="60">
        <f t="shared" si="11"/>
        <v>680.27115521359542</v>
      </c>
      <c r="CD59" s="60">
        <f ca="1">AVERAGE(OFFSET($CC$3,0,0,'Données projet'!$E$12+1,1))-AVERAGE(OFFSET($H$3,0,0,'Données projet'!$E$12+1,1))</f>
        <v>362.1372269575329</v>
      </c>
      <c r="CE59" s="60">
        <f t="shared" si="40"/>
        <v>308.1559670593121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1.4889040546567121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1.4889040546567121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8.1999999999999993</v>
      </c>
      <c r="CT59" s="13">
        <f>IF('Données projet'!$A$140&gt;35,CT58+CS59-DB58,IF(A59&lt;'Données projet'!$A$140,$CQ$205^A59,IF(A59='Données projet'!$A$140,'Données projet'!$B$140,CT58+CS59-DB58)))</f>
        <v>218.20000000000007</v>
      </c>
      <c r="CU59" s="18">
        <f>CT59*VLOOKUP('Données projet'!$B$13,Paramètres!$A$1:$I$89,3,0)*VLOOKUP('Données projet'!$B$13,Paramètres!$A$1:$I$89,5,0)</f>
        <v>234.87048000000007</v>
      </c>
      <c r="CV59" s="14">
        <f t="shared" si="41"/>
        <v>57.334505393427243</v>
      </c>
      <c r="CW59" s="22">
        <f t="shared" si="13"/>
        <v>508.9236828935525</v>
      </c>
      <c r="CX59" s="60">
        <f t="shared" si="14"/>
        <v>802.25701622688575</v>
      </c>
      <c r="CY59" s="60">
        <f ca="1">AVERAGE(OFFSET($CX$3,0,0,'Données projet'!$E$13+1,1))-AVERAGE(OFFSET($H$3,0,0,'Données projet'!$E$13+1,1))</f>
        <v>488.44916315274139</v>
      </c>
      <c r="CZ59" s="60">
        <f t="shared" si="42"/>
        <v>348.17941150148209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1.9333002367110081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1.9333002367110081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8.374198717948719</v>
      </c>
      <c r="N60" s="14">
        <f>IF('Données projet'!$A$36&gt;35,N59+M60-V59,IF(A60&lt;'Données projet'!$A$36,$K$205^A60,IF(A60='Données projet'!$A$36,'Données projet'!$B$36,N59+M60-V59)))</f>
        <v>170.04326923076923</v>
      </c>
      <c r="O60" s="14">
        <f>N60*VLOOKUP('Données projet'!$B$9,Paramètres!$A$1:$I$89,3,0)*VLOOKUP('Données projet'!$B$9,Paramètres!$A$1:$I$89,5,0)</f>
        <v>153.85514999999998</v>
      </c>
      <c r="P60" s="14">
        <f t="shared" si="33"/>
        <v>39.453384193994481</v>
      </c>
      <c r="Q60" s="22">
        <f t="shared" si="53"/>
        <v>336.67903038787364</v>
      </c>
      <c r="R60" s="60">
        <f t="shared" si="0"/>
        <v>630.01236372120695</v>
      </c>
      <c r="S60" s="60">
        <f ca="1">AVERAGE(OFFSET($R$3,0,0,'Données projet'!$E$9+1,1))-AVERAGE(OFFSET($H$3,0,0,'Données projet'!$E$9+1,1))</f>
        <v>319.72731970820928</v>
      </c>
      <c r="T60" s="60">
        <f t="shared" si="34"/>
        <v>279.93992813630513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9.6</v>
      </c>
      <c r="AI60" s="14">
        <f>IF('Données projet'!$A$62&gt;35,AI59+AH60-AQ59,IF(A60&lt;'Données projet'!$A$62,$AF$205^A60,IF(A60='Données projet'!$A$62,'Données projet'!$B$62,AI59+AH60-AQ59)))</f>
        <v>252.20000000000019</v>
      </c>
      <c r="AJ60" s="14">
        <f>AI60*VLOOKUP('Données projet'!$B$10,Paramètres!$A$1:$I$89,3,0)*VLOOKUP('Données projet'!$B$10,Paramètres!$A$1:$I$89,5,0)</f>
        <v>255.73080000000019</v>
      </c>
      <c r="AK60" s="14">
        <f t="shared" si="35"/>
        <v>61.811482021795285</v>
      </c>
      <c r="AL60" s="22">
        <f t="shared" si="4"/>
        <v>553.05280785462708</v>
      </c>
      <c r="AM60" s="60">
        <f t="shared" si="5"/>
        <v>846.38614118796045</v>
      </c>
      <c r="AN60" s="60">
        <f ca="1">AVERAGE(OFFSET($AM$3,0,0,'Données projet'!$E$10+1,1))-AVERAGE(OFFSET($H$3,0,0,'Données projet'!$E$10+1,1))</f>
        <v>505.64100207870439</v>
      </c>
      <c r="AO60" s="60">
        <f t="shared" si="36"/>
        <v>371.76229669709249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2.1347922677126672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2.1347922677126672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6.2</v>
      </c>
      <c r="BD60" s="13">
        <f>IF('Données projet'!$A$88&gt;35,BD59+BC60-BL59,IF(A60&lt;'Données projet'!$A$88,$BA$205^A60,IF(A60='Données projet'!$A$88,'Données projet'!$B$88,BD59+BC60-BL59)))</f>
        <v>275.39999999999992</v>
      </c>
      <c r="BE60" s="14">
        <f>BD60*VLOOKUP('Données projet'!$B$11,Paramètres!$A$1:$I$89,3,0)*VLOOKUP('Données projet'!$B$11,Paramètres!$A$1:$I$89,5,0)</f>
        <v>219.10823999999994</v>
      </c>
      <c r="BF60" s="14">
        <f t="shared" si="37"/>
        <v>53.921020297295854</v>
      </c>
      <c r="BG60" s="22">
        <f t="shared" si="7"/>
        <v>475.52596168445672</v>
      </c>
      <c r="BH60" s="60">
        <f t="shared" si="8"/>
        <v>768.85929501779003</v>
      </c>
      <c r="BI60" s="60">
        <f ca="1">AVERAGE(OFFSET($BH$3,0,0,'Données projet'!$E$11+1,1))-AVERAGE(OFFSET($H$3,0,0,'Données projet'!$E$11+1,1))</f>
        <v>353.26636241468884</v>
      </c>
      <c r="BJ60" s="60">
        <f t="shared" si="38"/>
        <v>345.4750813433123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2.875805389010782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2.875805389010782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6.1538461538461551</v>
      </c>
      <c r="BY60" s="13">
        <f>IF('Données projet'!$A$114&gt;35,BY59+BX60-CG59,IF(A60&lt;'Données projet'!$A$114,$BV$205^A60,IF(A60='Données projet'!$A$114,'Données projet'!$B$114,BY59+BX60-CG59)))</f>
        <v>270.64102564102564</v>
      </c>
      <c r="BZ60" s="14">
        <f>BY60*VLOOKUP('Données projet'!$B$12,Paramètres!$A$1:$I$89,3,0)*VLOOKUP('Données projet'!$B$12,Paramètres!$A$1:$I$89,5,0)</f>
        <v>181.54599999999999</v>
      </c>
      <c r="CA60" s="14">
        <f t="shared" si="39"/>
        <v>45.665971295569292</v>
      </c>
      <c r="CB60" s="22">
        <f t="shared" si="10"/>
        <v>395.7275166731165</v>
      </c>
      <c r="CC60" s="60">
        <f t="shared" si="11"/>
        <v>689.06085000644975</v>
      </c>
      <c r="CD60" s="60">
        <f ca="1">AVERAGE(OFFSET($CC$3,0,0,'Données projet'!$E$12+1,1))-AVERAGE(OFFSET($H$3,0,0,'Données projet'!$E$12+1,1))</f>
        <v>362.1372269575329</v>
      </c>
      <c r="CE60" s="60">
        <f t="shared" si="40"/>
        <v>308.1559670593121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1.448189894984063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1.448189894984063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8.1999999999999993</v>
      </c>
      <c r="CT60" s="13">
        <f>IF('Données projet'!$A$140&gt;35,CT59+CS60-DB59,IF(A60&lt;'Données projet'!$A$140,$CQ$205^A60,IF(A60='Données projet'!$A$140,'Données projet'!$B$140,CT59+CS60-DB59)))</f>
        <v>226.40000000000006</v>
      </c>
      <c r="CU60" s="18">
        <f>CT60*VLOOKUP('Données projet'!$B$13,Paramètres!$A$1:$I$89,3,0)*VLOOKUP('Données projet'!$B$13,Paramètres!$A$1:$I$89,5,0)</f>
        <v>243.69696000000008</v>
      </c>
      <c r="CV60" s="14">
        <f t="shared" si="41"/>
        <v>59.234240387035008</v>
      </c>
      <c r="CW60" s="22">
        <f t="shared" si="13"/>
        <v>527.60517400741946</v>
      </c>
      <c r="CX60" s="60">
        <f t="shared" si="14"/>
        <v>820.93850734075272</v>
      </c>
      <c r="CY60" s="60">
        <f ca="1">AVERAGE(OFFSET($CX$3,0,0,'Données projet'!$E$13+1,1))-AVERAGE(OFFSET($H$3,0,0,'Données projet'!$E$13+1,1))</f>
        <v>488.44916315274139</v>
      </c>
      <c r="CZ60" s="60">
        <f t="shared" si="42"/>
        <v>348.17941150148209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1.8804340400703048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1.8804340400703048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8.374198717948719</v>
      </c>
      <c r="N61" s="14">
        <f>IF('Données projet'!$A$36&gt;35,N60+M61-V60,IF(A61&lt;'Données projet'!$A$36,$K$205^A61,IF(A61='Données projet'!$A$36,'Données projet'!$B$36,N60+M61-V60)))</f>
        <v>178.41746794871796</v>
      </c>
      <c r="O61" s="14">
        <f>N61*VLOOKUP('Données projet'!$B$9,Paramètres!$A$1:$I$89,3,0)*VLOOKUP('Données projet'!$B$9,Paramètres!$A$1:$I$89,5,0)</f>
        <v>161.43212499999998</v>
      </c>
      <c r="P61" s="14">
        <f t="shared" si="33"/>
        <v>41.165367483374254</v>
      </c>
      <c r="Q61" s="22">
        <f t="shared" si="53"/>
        <v>352.85729940854344</v>
      </c>
      <c r="R61" s="60">
        <f t="shared" si="0"/>
        <v>646.1906327418767</v>
      </c>
      <c r="S61" s="60">
        <f ca="1">AVERAGE(OFFSET($R$3,0,0,'Données projet'!$E$9+1,1))-AVERAGE(OFFSET($H$3,0,0,'Données projet'!$E$9+1,1))</f>
        <v>319.72731970820928</v>
      </c>
      <c r="T61" s="60">
        <f t="shared" si="34"/>
        <v>279.93992813630513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9.6</v>
      </c>
      <c r="AI61" s="14">
        <f>IF('Données projet'!$A$62&gt;35,AI60+AH61-AQ60,IF(A61&lt;'Données projet'!$A$62,$AF$205^A61,IF(A61='Données projet'!$A$62,'Données projet'!$B$62,AI60+AH61-AQ60)))</f>
        <v>261.80000000000018</v>
      </c>
      <c r="AJ61" s="14">
        <f>AI61*VLOOKUP('Données projet'!$B$10,Paramètres!$A$1:$I$89,3,0)*VLOOKUP('Données projet'!$B$10,Paramètres!$A$1:$I$89,5,0)</f>
        <v>265.46520000000021</v>
      </c>
      <c r="AK61" s="14">
        <f t="shared" si="35"/>
        <v>63.885923598206411</v>
      </c>
      <c r="AL61" s="22">
        <f t="shared" si="4"/>
        <v>573.61987360020987</v>
      </c>
      <c r="AM61" s="60">
        <f t="shared" si="5"/>
        <v>866.95320693354324</v>
      </c>
      <c r="AN61" s="60">
        <f ca="1">AVERAGE(OFFSET($AM$3,0,0,'Données projet'!$E$10+1,1))-AVERAGE(OFFSET($H$3,0,0,'Données projet'!$E$10+1,1))</f>
        <v>505.64100207870439</v>
      </c>
      <c r="AO61" s="60">
        <f t="shared" si="36"/>
        <v>371.76229669709249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2.0764162608882182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2.0764162608882182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6.2</v>
      </c>
      <c r="BD61" s="13">
        <f>IF('Données projet'!$A$88&gt;35,BD60+BC61-BL60,IF(A61&lt;'Données projet'!$A$88,$BA$205^A61,IF(A61='Données projet'!$A$88,'Données projet'!$B$88,BD60+BC61-BL60)))</f>
        <v>281.59999999999991</v>
      </c>
      <c r="BE61" s="14">
        <f>BD61*VLOOKUP('Données projet'!$B$11,Paramètres!$A$1:$I$89,3,0)*VLOOKUP('Données projet'!$B$11,Paramètres!$A$1:$I$89,5,0)</f>
        <v>224.04095999999993</v>
      </c>
      <c r="BF61" s="14">
        <f t="shared" si="37"/>
        <v>54.992235867381233</v>
      </c>
      <c r="BG61" s="22">
        <f t="shared" si="7"/>
        <v>485.98281613568884</v>
      </c>
      <c r="BH61" s="60">
        <f t="shared" si="8"/>
        <v>779.31614946902209</v>
      </c>
      <c r="BI61" s="60">
        <f ca="1">AVERAGE(OFFSET($BH$3,0,0,'Données projet'!$E$11+1,1))-AVERAGE(OFFSET($H$3,0,0,'Données projet'!$E$11+1,1))</f>
        <v>353.26636241468884</v>
      </c>
      <c r="BJ61" s="60">
        <f t="shared" si="38"/>
        <v>345.4750813433123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2.7971663394162496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2.7971663394162496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6.1538461538461551</v>
      </c>
      <c r="BY61" s="13">
        <f>IF('Données projet'!$A$114&gt;35,BY60+BX61-CG60,IF(A61&lt;'Données projet'!$A$114,$BV$205^A61,IF(A61='Données projet'!$A$114,'Données projet'!$B$114,BY60+BX61-CG60)))</f>
        <v>276.79487179487177</v>
      </c>
      <c r="BZ61" s="14">
        <f>BY61*VLOOKUP('Données projet'!$B$12,Paramètres!$A$1:$I$89,3,0)*VLOOKUP('Données projet'!$B$12,Paramètres!$A$1:$I$89,5,0)</f>
        <v>185.67399999999998</v>
      </c>
      <c r="CA61" s="14">
        <f t="shared" si="39"/>
        <v>46.582257433649239</v>
      </c>
      <c r="CB61" s="22">
        <f t="shared" si="10"/>
        <v>404.51298169693899</v>
      </c>
      <c r="CC61" s="60">
        <f t="shared" si="11"/>
        <v>697.84631503027231</v>
      </c>
      <c r="CD61" s="60">
        <f ca="1">AVERAGE(OFFSET($CC$3,0,0,'Données projet'!$E$12+1,1))-AVERAGE(OFFSET($H$3,0,0,'Données projet'!$E$12+1,1))</f>
        <v>362.1372269575329</v>
      </c>
      <c r="CE61" s="60">
        <f t="shared" si="40"/>
        <v>308.1559670593121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1.408589066148727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1.408589066148727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8.1999999999999993</v>
      </c>
      <c r="CT61" s="13">
        <f>IF('Données projet'!$A$140&gt;35,CT60+CS61-DB60,IF(A61&lt;'Données projet'!$A$140,$CQ$205^A61,IF(A61='Données projet'!$A$140,'Données projet'!$B$140,CT60+CS61-DB60)))</f>
        <v>234.60000000000005</v>
      </c>
      <c r="CU61" s="18">
        <f>CT61*VLOOKUP('Données projet'!$B$13,Paramètres!$A$1:$I$89,3,0)*VLOOKUP('Données projet'!$B$13,Paramètres!$A$1:$I$89,5,0)</f>
        <v>252.52344000000005</v>
      </c>
      <c r="CV61" s="14">
        <f t="shared" si="41"/>
        <v>61.125981298729336</v>
      </c>
      <c r="CW61" s="22">
        <f t="shared" si="13"/>
        <v>546.27274209528707</v>
      </c>
      <c r="CX61" s="60">
        <f t="shared" si="14"/>
        <v>839.60607542862044</v>
      </c>
      <c r="CY61" s="60">
        <f ca="1">AVERAGE(OFFSET($CX$3,0,0,'Données projet'!$E$13+1,1))-AVERAGE(OFFSET($H$3,0,0,'Données projet'!$E$13+1,1))</f>
        <v>488.44916315274139</v>
      </c>
      <c r="CZ61" s="60">
        <f t="shared" si="42"/>
        <v>348.17941150148209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1.8290134723568539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1.8290134723568539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8.374198717948719</v>
      </c>
      <c r="N62" s="14">
        <f>IF('Données projet'!$A$36&gt;35,N61+M62-V61,IF(A62&lt;'Données projet'!$A$36,$K$205^A62,IF(A62='Données projet'!$A$36,'Données projet'!$B$36,N61+M62-V61)))</f>
        <v>186.79166666666669</v>
      </c>
      <c r="O62" s="14">
        <f>N62*VLOOKUP('Données projet'!$B$9,Paramètres!$A$1:$I$89,3,0)*VLOOKUP('Données projet'!$B$9,Paramètres!$A$1:$I$89,5,0)</f>
        <v>169.00910000000002</v>
      </c>
      <c r="P62" s="14">
        <f t="shared" si="33"/>
        <v>42.868019497909927</v>
      </c>
      <c r="Q62" s="22">
        <f t="shared" si="53"/>
        <v>369.01931645885975</v>
      </c>
      <c r="R62" s="60">
        <f t="shared" si="0"/>
        <v>662.35264979219301</v>
      </c>
      <c r="S62" s="60">
        <f ca="1">AVERAGE(OFFSET($R$3,0,0,'Données projet'!$E$9+1,1))-AVERAGE(OFFSET($H$3,0,0,'Données projet'!$E$9+1,1))</f>
        <v>319.72731970820928</v>
      </c>
      <c r="T62" s="60">
        <f t="shared" si="34"/>
        <v>279.93992813630513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9.6</v>
      </c>
      <c r="AI62" s="14">
        <f>IF('Données projet'!$A$62&gt;35,AI61+AH62-AQ61,IF(A62&lt;'Données projet'!$A$62,$AF$205^A62,IF(A62='Données projet'!$A$62,'Données projet'!$B$62,AI61+AH62-AQ61)))</f>
        <v>271.4000000000002</v>
      </c>
      <c r="AJ62" s="14">
        <f>AI62*VLOOKUP('Données projet'!$B$10,Paramètres!$A$1:$I$89,3,0)*VLOOKUP('Données projet'!$B$10,Paramètres!$A$1:$I$89,5,0)</f>
        <v>275.1996000000002</v>
      </c>
      <c r="AK62" s="14">
        <f t="shared" si="35"/>
        <v>65.951527620662674</v>
      </c>
      <c r="AL62" s="22">
        <f t="shared" si="4"/>
        <v>594.17154727265449</v>
      </c>
      <c r="AM62" s="60">
        <f t="shared" si="5"/>
        <v>887.50488060598786</v>
      </c>
      <c r="AN62" s="60">
        <f ca="1">AVERAGE(OFFSET($AM$3,0,0,'Données projet'!$E$10+1,1))-AVERAGE(OFFSET($H$3,0,0,'Données projet'!$E$10+1,1))</f>
        <v>505.64100207870439</v>
      </c>
      <c r="AO62" s="60">
        <f t="shared" si="36"/>
        <v>371.76229669709249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2.0196365490402446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2.0196365490402446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6.2</v>
      </c>
      <c r="BD62" s="13">
        <f>IF('Données projet'!$A$88&gt;35,BD61+BC62-BL61,IF(A62&lt;'Données projet'!$A$88,$BA$205^A62,IF(A62='Données projet'!$A$88,'Données projet'!$B$88,BD61+BC62-BL61)))</f>
        <v>287.7999999999999</v>
      </c>
      <c r="BE62" s="14">
        <f>BD62*VLOOKUP('Données projet'!$B$11,Paramètres!$A$1:$I$89,3,0)*VLOOKUP('Données projet'!$B$11,Paramètres!$A$1:$I$89,5,0)</f>
        <v>228.97367999999994</v>
      </c>
      <c r="BF62" s="14">
        <f t="shared" si="37"/>
        <v>56.060709423888284</v>
      </c>
      <c r="BG62" s="22">
        <f t="shared" si="7"/>
        <v>496.43489491327199</v>
      </c>
      <c r="BH62" s="60">
        <f t="shared" si="8"/>
        <v>789.7682282466053</v>
      </c>
      <c r="BI62" s="60">
        <f ca="1">AVERAGE(OFFSET($BH$3,0,0,'Données projet'!$E$11+1,1))-AVERAGE(OFFSET($H$3,0,0,'Données projet'!$E$11+1,1))</f>
        <v>353.26636241468884</v>
      </c>
      <c r="BJ62" s="60">
        <f t="shared" si="38"/>
        <v>345.4750813433123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2.7206776787683276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2.7206776787683276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6.1538461538461551</v>
      </c>
      <c r="BY62" s="13">
        <f>IF('Données projet'!$A$114&gt;35,BY61+BX62-CG61,IF(A62&lt;'Données projet'!$A$114,$BV$205^A62,IF(A62='Données projet'!$A$114,'Données projet'!$B$114,BY61+BX62-CG61)))</f>
        <v>282.9487179487179</v>
      </c>
      <c r="BZ62" s="14">
        <f>BY62*VLOOKUP('Données projet'!$B$12,Paramètres!$A$1:$I$89,3,0)*VLOOKUP('Données projet'!$B$12,Paramètres!$A$1:$I$89,5,0)</f>
        <v>189.80199999999996</v>
      </c>
      <c r="CA62" s="14">
        <f t="shared" si="39"/>
        <v>47.496175206468138</v>
      </c>
      <c r="CB62" s="22">
        <f t="shared" si="10"/>
        <v>413.29432181793192</v>
      </c>
      <c r="CC62" s="60">
        <f t="shared" si="11"/>
        <v>706.62765515126523</v>
      </c>
      <c r="CD62" s="60">
        <f ca="1">AVERAGE(OFFSET($CC$3,0,0,'Données projet'!$E$12+1,1))-AVERAGE(OFFSET($H$3,0,0,'Données projet'!$E$12+1,1))</f>
        <v>362.1372269575329</v>
      </c>
      <c r="CE62" s="60">
        <f t="shared" si="40"/>
        <v>308.1559670593121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1.3700711240604104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1.3700711240604104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8.1999999999999993</v>
      </c>
      <c r="CT62" s="13">
        <f>IF('Données projet'!$A$140&gt;35,CT61+CS62-DB61,IF(A62&lt;'Données projet'!$A$140,$CQ$205^A62,IF(A62='Données projet'!$A$140,'Données projet'!$B$140,CT61+CS62-DB61)))</f>
        <v>242.80000000000004</v>
      </c>
      <c r="CU62" s="18">
        <f>CT62*VLOOKUP('Données projet'!$B$13,Paramètres!$A$1:$I$89,3,0)*VLOOKUP('Données projet'!$B$13,Paramètres!$A$1:$I$89,5,0)</f>
        <v>261.34992</v>
      </c>
      <c r="CV62" s="14">
        <f t="shared" si="41"/>
        <v>63.010039566000174</v>
      </c>
      <c r="CW62" s="22">
        <f t="shared" si="13"/>
        <v>564.92692957745021</v>
      </c>
      <c r="CX62" s="60">
        <f t="shared" si="14"/>
        <v>858.26026291078347</v>
      </c>
      <c r="CY62" s="60">
        <f ca="1">AVERAGE(OFFSET($CX$3,0,0,'Données projet'!$E$13+1,1))-AVERAGE(OFFSET($H$3,0,0,'Données projet'!$E$13+1,1))</f>
        <v>488.44916315274139</v>
      </c>
      <c r="CZ62" s="60">
        <f t="shared" si="42"/>
        <v>348.17941150148209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1.7789990027716174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1.7789990027716174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8.374198717948719</v>
      </c>
      <c r="N63" s="14">
        <f>IF('Données projet'!$A$36&gt;35,N62+M63-V62,IF(A63&lt;'Données projet'!$A$36,$K$205^A63,IF(A63='Données projet'!$A$36,'Données projet'!$B$36,N62+M63-V62)))</f>
        <v>195.16586538461542</v>
      </c>
      <c r="O63" s="14">
        <f>N63*VLOOKUP('Données projet'!$B$9,Paramètres!$A$1:$I$89,3,0)*VLOOKUP('Données projet'!$B$9,Paramètres!$A$1:$I$89,5,0)</f>
        <v>176.58607500000002</v>
      </c>
      <c r="P63" s="14">
        <f t="shared" si="33"/>
        <v>44.561806372041332</v>
      </c>
      <c r="Q63" s="22">
        <f t="shared" si="53"/>
        <v>385.16589338963871</v>
      </c>
      <c r="R63" s="60">
        <f t="shared" si="0"/>
        <v>678.49922672297203</v>
      </c>
      <c r="S63" s="60">
        <f ca="1">AVERAGE(OFFSET($R$3,0,0,'Données projet'!$E$9+1,1))-AVERAGE(OFFSET($H$3,0,0,'Données projet'!$E$9+1,1))</f>
        <v>319.72731970820928</v>
      </c>
      <c r="T63" s="60">
        <f t="shared" si="34"/>
        <v>279.93992813630513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281</v>
      </c>
      <c r="AG63" s="13">
        <f>VLOOKUP(A63,'Données projet'!$A$61:$I$81,9,0)</f>
        <v>9.6</v>
      </c>
      <c r="AH63" s="13">
        <f t="array" ref="AH63">INDEX(AG:AG,MIN(IF(ISNUMBER(AG63:AG259),ROW(AG63:AG259),"")))</f>
        <v>9.6</v>
      </c>
      <c r="AI63" s="14">
        <f>IF('Données projet'!$A$62&gt;35,AI62+AH63-AQ62,IF(A63&lt;'Données projet'!$A$62,$AF$205^A63,IF(A63='Données projet'!$A$62,'Données projet'!$B$62,AI62+AH63-AQ62)))</f>
        <v>281.00000000000023</v>
      </c>
      <c r="AJ63" s="14">
        <f>AI63*VLOOKUP('Données projet'!$B$10,Paramètres!$A$1:$I$89,3,0)*VLOOKUP('Données projet'!$B$10,Paramètres!$A$1:$I$89,5,0)</f>
        <v>284.93400000000025</v>
      </c>
      <c r="AK63" s="14">
        <f t="shared" si="35"/>
        <v>68.008642509673408</v>
      </c>
      <c r="AL63" s="22">
        <f t="shared" si="4"/>
        <v>614.70843570434818</v>
      </c>
      <c r="AM63" s="60">
        <f t="shared" si="5"/>
        <v>908.04176903768143</v>
      </c>
      <c r="AN63" s="60">
        <f ca="1">AVERAGE(OFFSET($AM$3,0,0,'Données projet'!$E$10+1,1))-AVERAGE(OFFSET($H$3,0,0,'Données projet'!$E$10+1,1))</f>
        <v>505.64100207870439</v>
      </c>
      <c r="AO63" s="60">
        <f t="shared" si="36"/>
        <v>371.76229669709249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64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1.964409481398669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1.964409481398669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294</v>
      </c>
      <c r="BB63" s="13">
        <f>VLOOKUP(A63,'Données projet'!$A$87:$I$107,9,0)</f>
        <v>6.2</v>
      </c>
      <c r="BC63" s="13">
        <f t="array" ref="BC63">INDEX(BB:BB,MIN(IF(ISNUMBER(BB63:BB259),ROW(BB63:BB259),"")))</f>
        <v>6.2</v>
      </c>
      <c r="BD63" s="13">
        <f>IF('Données projet'!$A$88&gt;35,BD62+BC63-BL62,IF(A63&lt;'Données projet'!$A$88,$BA$205^A63,IF(A63='Données projet'!$A$88,'Données projet'!$B$88,BD62+BC63-BL62)))</f>
        <v>293.99999999999989</v>
      </c>
      <c r="BE63" s="14">
        <f>BD63*VLOOKUP('Données projet'!$B$11,Paramètres!$A$1:$I$89,3,0)*VLOOKUP('Données projet'!$B$11,Paramètres!$A$1:$I$89,5,0)</f>
        <v>233.90639999999991</v>
      </c>
      <c r="BF63" s="14">
        <f t="shared" si="37"/>
        <v>57.126506840778347</v>
      </c>
      <c r="BG63" s="22">
        <f t="shared" si="7"/>
        <v>506.88231274768879</v>
      </c>
      <c r="BH63" s="60">
        <f t="shared" si="8"/>
        <v>800.2156460810221</v>
      </c>
      <c r="BI63" s="60">
        <f ca="1">AVERAGE(OFFSET($BH$3,0,0,'Données projet'!$E$11+1,1))-AVERAGE(OFFSET($H$3,0,0,'Données projet'!$E$11+1,1))</f>
        <v>353.26636241468884</v>
      </c>
      <c r="BJ63" s="60">
        <f t="shared" si="38"/>
        <v>345.4750813433123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2.6462806045681866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2.6462806045681866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289.10256410256409</v>
      </c>
      <c r="BW63" s="13">
        <f>VLOOKUP(A63,'Données projet'!$A$113:$I$133,9,0)</f>
        <v>6.1538461538461551</v>
      </c>
      <c r="BX63" s="13">
        <f t="array" ref="BX63">INDEX(BW:BW,MIN(IF(ISNUMBER(BW63:BW259),ROW(BW63:BW259),"")))</f>
        <v>6.1538461538461551</v>
      </c>
      <c r="BY63" s="13">
        <f>IF('Données projet'!$A$114&gt;35,BY62+BX63-CG62,IF(A63&lt;'Données projet'!$A$114,$BV$205^A63,IF(A63='Données projet'!$A$114,'Données projet'!$B$114,BY62+BX63-CG62)))</f>
        <v>289.10256410256403</v>
      </c>
      <c r="BZ63" s="14">
        <f>BY63*VLOOKUP('Données projet'!$B$12,Paramètres!$A$1:$I$89,3,0)*VLOOKUP('Données projet'!$B$12,Paramètres!$A$1:$I$89,5,0)</f>
        <v>193.92999999999995</v>
      </c>
      <c r="CA63" s="14">
        <f t="shared" si="39"/>
        <v>48.407782055683938</v>
      </c>
      <c r="CB63" s="22">
        <f t="shared" si="10"/>
        <v>422.07163708031607</v>
      </c>
      <c r="CC63" s="60">
        <f t="shared" si="11"/>
        <v>715.40497041364938</v>
      </c>
      <c r="CD63" s="60">
        <f ca="1">AVERAGE(OFFSET($CC$3,0,0,'Données projet'!$E$12+1,1))-AVERAGE(OFFSET($H$3,0,0,'Données projet'!$E$12+1,1))</f>
        <v>362.1372269575329</v>
      </c>
      <c r="CE63" s="60">
        <f t="shared" si="40"/>
        <v>308.1559670593121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35.256410256410255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1.3326064571240694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1.3326064571240694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251</v>
      </c>
      <c r="CR63" s="13">
        <f>VLOOKUP(A63,'Données projet'!$A$139:$I$159,9,0)</f>
        <v>8.1999999999999993</v>
      </c>
      <c r="CS63" s="13">
        <f t="array" ref="CS63">INDEX(CR:CR,MIN(IF(ISNUMBER(CR63:CR259),ROW(CR63:CR259),"")))</f>
        <v>8.1999999999999993</v>
      </c>
      <c r="CT63" s="13">
        <f>IF('Données projet'!$A$140&gt;35,CT62+CS63-DB62,IF(A63&lt;'Données projet'!$A$140,$CQ$205^A63,IF(A63='Données projet'!$A$140,'Données projet'!$B$140,CT62+CS63-DB62)))</f>
        <v>251.00000000000003</v>
      </c>
      <c r="CU63" s="18">
        <f>CT63*VLOOKUP('Données projet'!$B$13,Paramètres!$A$1:$I$89,3,0)*VLOOKUP('Données projet'!$B$13,Paramètres!$A$1:$I$89,5,0)</f>
        <v>270.1764</v>
      </c>
      <c r="CV63" s="14">
        <f t="shared" si="41"/>
        <v>64.886704396735254</v>
      </c>
      <c r="CW63" s="22">
        <f t="shared" si="13"/>
        <v>583.56824015764721</v>
      </c>
      <c r="CX63" s="60">
        <f t="shared" si="14"/>
        <v>876.90157349098058</v>
      </c>
      <c r="CY63" s="60">
        <f ca="1">AVERAGE(OFFSET($CX$3,0,0,'Données projet'!$E$13+1,1))-AVERAGE(OFFSET($H$3,0,0,'Données projet'!$E$13+1,1))</f>
        <v>488.44916315274139</v>
      </c>
      <c r="CZ63" s="60">
        <f t="shared" si="42"/>
        <v>348.17941150148209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54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1.7303521814873359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1.7303521814873359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8.374198717948719</v>
      </c>
      <c r="N64" s="14">
        <f>IF('Données projet'!$A$36&gt;35,N63+M64-V63,IF(A64&lt;'Données projet'!$A$36,$K$205^A64,IF(A64='Données projet'!$A$36,'Données projet'!$B$36,N63+M64-V63)))</f>
        <v>203.54006410256414</v>
      </c>
      <c r="O64" s="14">
        <f>N64*VLOOKUP('Données projet'!$B$9,Paramètres!$A$1:$I$89,3,0)*VLOOKUP('Données projet'!$B$9,Paramètres!$A$1:$I$89,5,0)</f>
        <v>184.16305000000003</v>
      </c>
      <c r="P64" s="14">
        <f t="shared" si="33"/>
        <v>46.247151975893182</v>
      </c>
      <c r="Q64" s="22">
        <f t="shared" si="53"/>
        <v>401.29776844134739</v>
      </c>
      <c r="R64" s="60">
        <f t="shared" si="0"/>
        <v>694.6311017746807</v>
      </c>
      <c r="S64" s="60">
        <f ca="1">AVERAGE(OFFSET($R$3,0,0,'Données projet'!$E$9+1,1))-AVERAGE(OFFSET($H$3,0,0,'Données projet'!$E$9+1,1))</f>
        <v>319.72731970820928</v>
      </c>
      <c r="T64" s="60">
        <f t="shared" si="34"/>
        <v>279.93992813630513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</v>
      </c>
      <c r="AI64" s="14">
        <f>IF('Données projet'!$A$62&gt;35,AI63+AH64-AQ63,IF(A64&lt;'Données projet'!$A$62,$AF$205^A64,IF(A64='Données projet'!$A$62,'Données projet'!$B$62,AI63+AH64-AQ63)))</f>
        <v>226.00000000000023</v>
      </c>
      <c r="AJ64" s="14">
        <f>AI64*VLOOKUP('Données projet'!$B$10,Paramètres!$A$1:$I$89,3,0)*VLOOKUP('Données projet'!$B$10,Paramètres!$A$1:$I$89,5,0)</f>
        <v>229.16400000000024</v>
      </c>
      <c r="AK64" s="14">
        <f t="shared" si="35"/>
        <v>56.101880494297447</v>
      </c>
      <c r="AL64" s="22">
        <f t="shared" si="4"/>
        <v>496.83807519423505</v>
      </c>
      <c r="AM64" s="60">
        <f t="shared" si="5"/>
        <v>790.17140852756836</v>
      </c>
      <c r="AN64" s="60">
        <f ca="1">AVERAGE(OFFSET($AM$3,0,0,'Données projet'!$E$10+1,1))-AVERAGE(OFFSET($H$3,0,0,'Données projet'!$E$10+1,1))</f>
        <v>505.64100207870439</v>
      </c>
      <c r="AO64" s="60">
        <f t="shared" si="36"/>
        <v>371.76229669709249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1.9106926008260174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1.9106926008260174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285.19999999999987</v>
      </c>
      <c r="BE64" s="14">
        <f>BD64*VLOOKUP('Données projet'!$B$11,Paramètres!$A$1:$I$89,3,0)*VLOOKUP('Données projet'!$B$11,Paramètres!$A$1:$I$89,5,0)</f>
        <v>226.90511999999993</v>
      </c>
      <c r="BF64" s="14">
        <f t="shared" si="37"/>
        <v>55.612969408444364</v>
      </c>
      <c r="BG64" s="22">
        <f t="shared" si="7"/>
        <v>492.05233905304044</v>
      </c>
      <c r="BH64" s="60">
        <f t="shared" si="8"/>
        <v>785.3856723863737</v>
      </c>
      <c r="BI64" s="60">
        <f ca="1">AVERAGE(OFFSET($BH$3,0,0,'Données projet'!$E$11+1,1))-AVERAGE(OFFSET($H$3,0,0,'Données projet'!$E$11+1,1))</f>
        <v>353.26636241468884</v>
      </c>
      <c r="BJ64" s="60">
        <f t="shared" si="38"/>
        <v>345.4750813433123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2.5739179222744206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2.5739179222744206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5.7692307692307683</v>
      </c>
      <c r="BY64" s="13">
        <f>IF('Données projet'!$A$114&gt;35,BY63+BX64-CG63,IF(A64&lt;'Données projet'!$A$114,$BV$205^A64,IF(A64='Données projet'!$A$114,'Données projet'!$B$114,BY63+BX64-CG63)))</f>
        <v>259.61538461538453</v>
      </c>
      <c r="BZ64" s="14">
        <f>BY64*VLOOKUP('Données projet'!$B$12,Paramètres!$A$1:$I$89,3,0)*VLOOKUP('Données projet'!$B$12,Paramètres!$A$1:$I$89,5,0)</f>
        <v>174.14999999999995</v>
      </c>
      <c r="CA64" s="14">
        <f t="shared" si="39"/>
        <v>44.018176829931868</v>
      </c>
      <c r="CB64" s="22">
        <f t="shared" si="10"/>
        <v>379.97624131213121</v>
      </c>
      <c r="CC64" s="60">
        <f t="shared" si="11"/>
        <v>673.30957464546452</v>
      </c>
      <c r="CD64" s="60">
        <f ca="1">AVERAGE(OFFSET($CC$3,0,0,'Données projet'!$E$12+1,1))-AVERAGE(OFFSET($H$3,0,0,'Données projet'!$E$12+1,1))</f>
        <v>362.1372269575329</v>
      </c>
      <c r="CE64" s="60">
        <f t="shared" si="40"/>
        <v>308.1559670593121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1.296166263475284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1.296166263475284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8.1999999999999993</v>
      </c>
      <c r="CT64" s="13">
        <f>IF('Données projet'!$A$140&gt;35,CT63+CS64-DB63,IF(A64&lt;'Données projet'!$A$140,$CQ$205^A64,IF(A64='Données projet'!$A$140,'Données projet'!$B$140,CT63+CS64-DB63)))</f>
        <v>205.20000000000005</v>
      </c>
      <c r="CU64" s="18">
        <f>CT64*VLOOKUP('Données projet'!$B$13,Paramètres!$A$1:$I$89,3,0)*VLOOKUP('Données projet'!$B$13,Paramètres!$A$1:$I$89,5,0)</f>
        <v>220.87728000000004</v>
      </c>
      <c r="CV64" s="14">
        <f t="shared" si="41"/>
        <v>54.305514008302801</v>
      </c>
      <c r="CW64" s="22">
        <f t="shared" si="13"/>
        <v>479.27669956446067</v>
      </c>
      <c r="CX64" s="60">
        <f t="shared" si="14"/>
        <v>772.61003289779399</v>
      </c>
      <c r="CY64" s="60">
        <f ca="1">AVERAGE(OFFSET($CX$3,0,0,'Données projet'!$E$13+1,1))-AVERAGE(OFFSET($H$3,0,0,'Données projet'!$E$13+1,1))</f>
        <v>488.44916315274139</v>
      </c>
      <c r="CZ64" s="60">
        <f t="shared" si="42"/>
        <v>348.17941150148209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1.6830356100892983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1.6830356100892983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8.374198717948719</v>
      </c>
      <c r="N65" s="14">
        <f>IF('Données projet'!$A$36&gt;35,N64+M65-V64,IF(A65&lt;'Données projet'!$A$36,$K$205^A65,IF(A65='Données projet'!$A$36,'Données projet'!$B$36,N64+M65-V64)))</f>
        <v>211.91426282051287</v>
      </c>
      <c r="O65" s="14">
        <f>N65*VLOOKUP('Données projet'!$B$9,Paramètres!$A$1:$I$89,3,0)*VLOOKUP('Données projet'!$B$9,Paramètres!$A$1:$I$89,5,0)</f>
        <v>191.74002500000003</v>
      </c>
      <c r="P65" s="14">
        <f t="shared" si="33"/>
        <v>47.924443327659169</v>
      </c>
      <c r="Q65" s="22">
        <f t="shared" si="53"/>
        <v>417.41561567067311</v>
      </c>
      <c r="R65" s="60">
        <f t="shared" si="0"/>
        <v>710.74894900400636</v>
      </c>
      <c r="S65" s="60">
        <f ca="1">AVERAGE(OFFSET($R$3,0,0,'Données projet'!$E$9+1,1))-AVERAGE(OFFSET($H$3,0,0,'Données projet'!$E$9+1,1))</f>
        <v>319.72731970820928</v>
      </c>
      <c r="T65" s="60">
        <f t="shared" si="34"/>
        <v>279.93992813630513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</v>
      </c>
      <c r="AI65" s="14">
        <f>IF('Données projet'!$A$62&gt;35,AI64+AH65-AQ64,IF(A65&lt;'Données projet'!$A$62,$AF$205^A65,IF(A65='Données projet'!$A$62,'Données projet'!$B$62,AI64+AH65-AQ64)))</f>
        <v>235.00000000000023</v>
      </c>
      <c r="AJ65" s="14">
        <f>AI65*VLOOKUP('Données projet'!$B$10,Paramètres!$A$1:$I$89,3,0)*VLOOKUP('Données projet'!$B$10,Paramètres!$A$1:$I$89,5,0)</f>
        <v>238.29000000000022</v>
      </c>
      <c r="AK65" s="14">
        <f t="shared" si="35"/>
        <v>58.071462681001563</v>
      </c>
      <c r="AL65" s="22">
        <f t="shared" si="4"/>
        <v>516.1628808360781</v>
      </c>
      <c r="AM65" s="60">
        <f t="shared" si="5"/>
        <v>809.49621416941136</v>
      </c>
      <c r="AN65" s="60">
        <f ca="1">AVERAGE(OFFSET($AM$3,0,0,'Données projet'!$E$10+1,1))-AVERAGE(OFFSET($H$3,0,0,'Données projet'!$E$10+1,1))</f>
        <v>505.64100207870439</v>
      </c>
      <c r="AO65" s="60">
        <f t="shared" si="36"/>
        <v>371.76229669709249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1.8584446111774731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1.8584446111774731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290.39999999999986</v>
      </c>
      <c r="BE65" s="14">
        <f>BD65*VLOOKUP('Données projet'!$B$11,Paramètres!$A$1:$I$89,3,0)*VLOOKUP('Données projet'!$B$11,Paramètres!$A$1:$I$89,5,0)</f>
        <v>231.04223999999991</v>
      </c>
      <c r="BF65" s="14">
        <f t="shared" si="37"/>
        <v>56.507978852931409</v>
      </c>
      <c r="BG65" s="22">
        <f t="shared" si="7"/>
        <v>500.81663116885539</v>
      </c>
      <c r="BH65" s="60">
        <f t="shared" si="8"/>
        <v>794.14996450218871</v>
      </c>
      <c r="BI65" s="60">
        <f ca="1">AVERAGE(OFFSET($BH$3,0,0,'Données projet'!$E$11+1,1))-AVERAGE(OFFSET($H$3,0,0,'Données projet'!$E$11+1,1))</f>
        <v>353.26636241468884</v>
      </c>
      <c r="BJ65" s="60">
        <f t="shared" si="38"/>
        <v>345.4750813433123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2.503534001333366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2.503534001333366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5.7692307692307683</v>
      </c>
      <c r="BY65" s="13">
        <f>IF('Données projet'!$A$114&gt;35,BY64+BX65-CG64,IF(A65&lt;'Données projet'!$A$114,$BV$205^A65,IF(A65='Données projet'!$A$114,'Données projet'!$B$114,BY64+BX65-CG64)))</f>
        <v>265.3846153846153</v>
      </c>
      <c r="BZ65" s="14">
        <f>BY65*VLOOKUP('Données projet'!$B$12,Paramètres!$A$1:$I$89,3,0)*VLOOKUP('Données projet'!$B$12,Paramètres!$A$1:$I$89,5,0)</f>
        <v>178.01999999999995</v>
      </c>
      <c r="CA65" s="14">
        <f t="shared" si="39"/>
        <v>44.881389467952083</v>
      </c>
      <c r="CB65" s="22">
        <f t="shared" si="10"/>
        <v>388.21991999001648</v>
      </c>
      <c r="CC65" s="60">
        <f t="shared" si="11"/>
        <v>681.55325332334974</v>
      </c>
      <c r="CD65" s="60">
        <f ca="1">AVERAGE(OFFSET($CC$3,0,0,'Données projet'!$E$12+1,1))-AVERAGE(OFFSET($H$3,0,0,'Données projet'!$E$12+1,1))</f>
        <v>362.1372269575329</v>
      </c>
      <c r="CE65" s="60">
        <f t="shared" si="40"/>
        <v>308.1559670593121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1.260722528838131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1.260722528838131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8.1999999999999993</v>
      </c>
      <c r="CT65" s="13">
        <f>IF('Données projet'!$A$140&gt;35,CT64+CS65-DB64,IF(A65&lt;'Données projet'!$A$140,$CQ$205^A65,IF(A65='Données projet'!$A$140,'Données projet'!$B$140,CT64+CS65-DB64)))</f>
        <v>213.40000000000003</v>
      </c>
      <c r="CU65" s="18">
        <f>CT65*VLOOKUP('Données projet'!$B$13,Paramètres!$A$1:$I$89,3,0)*VLOOKUP('Données projet'!$B$13,Paramètres!$A$1:$I$89,5,0)</f>
        <v>229.70376000000002</v>
      </c>
      <c r="CV65" s="14">
        <f t="shared" si="41"/>
        <v>56.218622713154247</v>
      </c>
      <c r="CW65" s="22">
        <f t="shared" si="13"/>
        <v>497.98148322541033</v>
      </c>
      <c r="CX65" s="60">
        <f t="shared" si="14"/>
        <v>791.31481655874359</v>
      </c>
      <c r="CY65" s="60">
        <f ca="1">AVERAGE(OFFSET($CX$3,0,0,'Données projet'!$E$13+1,1))-AVERAGE(OFFSET($H$3,0,0,'Données projet'!$E$13+1,1))</f>
        <v>488.44916315274139</v>
      </c>
      <c r="CZ65" s="60">
        <f t="shared" si="42"/>
        <v>348.17941150148209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1.6370129128244102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1.6370129128244102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220.28846153846152</v>
      </c>
      <c r="L66" s="13">
        <f>VLOOKUP(A66,'Données projet'!$A$35:$I$55,9,0)</f>
        <v>8.374198717948719</v>
      </c>
      <c r="M66" s="13">
        <f t="array" ref="M66">INDEX(L:L,MIN(IF(ISNUMBER(L66:L262),ROW(L66:L262),"")))</f>
        <v>8.374198717948719</v>
      </c>
      <c r="N66" s="14">
        <f>IF('Données projet'!$A$36&gt;35,N65+M66-V65,IF(A66&lt;'Données projet'!$A$36,$K$205^A66,IF(A66='Données projet'!$A$36,'Données projet'!$B$36,N65+M66-V65)))</f>
        <v>220.2884615384616</v>
      </c>
      <c r="O66" s="14">
        <f>N66*VLOOKUP('Données projet'!$B$9,Paramètres!$A$1:$I$89,3,0)*VLOOKUP('Données projet'!$B$9,Paramètres!$A$1:$I$89,5,0)</f>
        <v>199.31700000000006</v>
      </c>
      <c r="P66" s="14">
        <f t="shared" si="33"/>
        <v>49.59403512638746</v>
      </c>
      <c r="Q66" s="22">
        <f t="shared" si="53"/>
        <v>433.52005284512489</v>
      </c>
      <c r="R66" s="60">
        <f t="shared" si="0"/>
        <v>726.85338617845821</v>
      </c>
      <c r="S66" s="60">
        <f ca="1">AVERAGE(OFFSET($R$3,0,0,'Données projet'!$E$9+1,1))-AVERAGE(OFFSET($H$3,0,0,'Données projet'!$E$9+1,1))</f>
        <v>319.72731970820928</v>
      </c>
      <c r="T66" s="60">
        <f t="shared" si="34"/>
        <v>279.93992813630513</v>
      </c>
      <c r="U66" s="16">
        <f>IF(ISNA(VLOOKUP(A66,'Données projet'!$A$35:$I$55,3,0)),0,VLOOKUP(A66,'Données projet'!$A$35:$I$55,3,0))</f>
        <v>5</v>
      </c>
      <c r="V66" s="16">
        <f>IF(ISNA(VLOOKUP(A66,'Données projet'!$A$35:$I$55,4,0)),0,VLOOKUP(A66,'Données projet'!$A$35:$I$55,4,0))</f>
        <v>41.724358974358978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</v>
      </c>
      <c r="AI66" s="14">
        <f>IF('Données projet'!$A$62&gt;35,AI65+AH66-AQ65,IF(A66&lt;'Données projet'!$A$62,$AF$205^A66,IF(A66='Données projet'!$A$62,'Données projet'!$B$62,AI65+AH66-AQ65)))</f>
        <v>244.00000000000023</v>
      </c>
      <c r="AJ66" s="14">
        <f>AI66*VLOOKUP('Données projet'!$B$10,Paramètres!$A$1:$I$89,3,0)*VLOOKUP('Données projet'!$B$10,Paramètres!$A$1:$I$89,5,0)</f>
        <v>247.41600000000025</v>
      </c>
      <c r="AK66" s="14">
        <f t="shared" si="35"/>
        <v>60.032282000540242</v>
      </c>
      <c r="AL66" s="22">
        <f t="shared" si="4"/>
        <v>535.47242448427471</v>
      </c>
      <c r="AM66" s="60">
        <f t="shared" si="5"/>
        <v>828.80575781760808</v>
      </c>
      <c r="AN66" s="60">
        <f ca="1">AVERAGE(OFFSET($AM$3,0,0,'Données projet'!$E$10+1,1))-AVERAGE(OFFSET($H$3,0,0,'Données projet'!$E$10+1,1))</f>
        <v>505.64100207870439</v>
      </c>
      <c r="AO66" s="60">
        <f t="shared" si="36"/>
        <v>371.76229669709249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1.8076253455534705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1.8076253455534705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295.59999999999985</v>
      </c>
      <c r="BE66" s="14">
        <f>BD66*VLOOKUP('Données projet'!$B$11,Paramètres!$A$1:$I$89,3,0)*VLOOKUP('Données projet'!$B$11,Paramètres!$A$1:$I$89,5,0)</f>
        <v>235.17935999999989</v>
      </c>
      <c r="BF66" s="14">
        <f t="shared" si="37"/>
        <v>57.401124668909425</v>
      </c>
      <c r="BG66" s="22">
        <f t="shared" si="7"/>
        <v>509.57767746501708</v>
      </c>
      <c r="BH66" s="60">
        <f t="shared" si="8"/>
        <v>802.91101079835039</v>
      </c>
      <c r="BI66" s="60">
        <f ca="1">AVERAGE(OFFSET($BH$3,0,0,'Données projet'!$E$11+1,1))-AVERAGE(OFFSET($H$3,0,0,'Données projet'!$E$11+1,1))</f>
        <v>353.26636241468884</v>
      </c>
      <c r="BJ66" s="60">
        <f t="shared" si="38"/>
        <v>345.4750813433123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2.4350747324117741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2.4350747324117741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5.7692307692307683</v>
      </c>
      <c r="BY66" s="13">
        <f>IF('Données projet'!$A$114&gt;35,BY65+BX66-CG65,IF(A66&lt;'Données projet'!$A$114,$BV$205^A66,IF(A66='Données projet'!$A$114,'Données projet'!$B$114,BY65+BX66-CG65)))</f>
        <v>271.15384615384608</v>
      </c>
      <c r="BZ66" s="14">
        <f>BY66*VLOOKUP('Données projet'!$B$12,Paramètres!$A$1:$I$89,3,0)*VLOOKUP('Données projet'!$B$12,Paramètres!$A$1:$I$89,5,0)</f>
        <v>181.88999999999996</v>
      </c>
      <c r="CA66" s="14">
        <f t="shared" si="39"/>
        <v>45.742420382341599</v>
      </c>
      <c r="CB66" s="22">
        <f t="shared" si="10"/>
        <v>396.4597988325782</v>
      </c>
      <c r="CC66" s="60">
        <f t="shared" si="11"/>
        <v>689.79313216591152</v>
      </c>
      <c r="CD66" s="60">
        <f ca="1">AVERAGE(OFFSET($CC$3,0,0,'Données projet'!$E$12+1,1))-AVERAGE(OFFSET($H$3,0,0,'Données projet'!$E$12+1,1))</f>
        <v>362.1372269575329</v>
      </c>
      <c r="CE66" s="60">
        <f t="shared" si="40"/>
        <v>308.1559670593121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1.2262480049885358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1.2262480049885358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8.1999999999999993</v>
      </c>
      <c r="CT66" s="13">
        <f>IF('Données projet'!$A$140&gt;35,CT65+CS66-DB65,IF(A66&lt;'Données projet'!$A$140,$CQ$205^A66,IF(A66='Données projet'!$A$140,'Données projet'!$B$140,CT65+CS66-DB65)))</f>
        <v>221.60000000000002</v>
      </c>
      <c r="CU66" s="18">
        <f>CT66*VLOOKUP('Données projet'!$B$13,Paramètres!$A$1:$I$89,3,0)*VLOOKUP('Données projet'!$B$13,Paramètres!$A$1:$I$89,5,0)</f>
        <v>238.53023999999999</v>
      </c>
      <c r="CV66" s="14">
        <f t="shared" si="41"/>
        <v>58.123191492478547</v>
      </c>
      <c r="CW66" s="22">
        <f t="shared" si="13"/>
        <v>516.67139318273348</v>
      </c>
      <c r="CX66" s="60">
        <f t="shared" si="14"/>
        <v>810.00472651606674</v>
      </c>
      <c r="CY66" s="60">
        <f ca="1">AVERAGE(OFFSET($CX$3,0,0,'Données projet'!$E$13+1,1))-AVERAGE(OFFSET($H$3,0,0,'Données projet'!$E$13+1,1))</f>
        <v>488.44916315274139</v>
      </c>
      <c r="CZ66" s="60">
        <f t="shared" si="42"/>
        <v>348.17941150148209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1.592248708636459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1.592248708636459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8.1001602564102555</v>
      </c>
      <c r="N67" s="14">
        <f>IF('Données projet'!$A$36&gt;35,N66+M67-V66,IF(A67&lt;'Données projet'!$A$36,$K$205^A67,IF(A67='Données projet'!$A$36,'Données projet'!$B$36,N66+M67-V66)))</f>
        <v>186.66426282051287</v>
      </c>
      <c r="O67" s="14">
        <f>N67*VLOOKUP('Données projet'!$B$9,Paramètres!$A$1:$I$89,3,0)*VLOOKUP('Données projet'!$B$9,Paramètres!$A$1:$I$89,5,0)</f>
        <v>168.89382500000005</v>
      </c>
      <c r="P67" s="14">
        <f t="shared" si="33"/>
        <v>42.842183132845896</v>
      </c>
      <c r="Q67" s="22">
        <f t="shared" ref="Q67:Q98" si="54">(O67+P67)*0.475*44/12</f>
        <v>368.77354749803999</v>
      </c>
      <c r="R67" s="60">
        <f t="shared" ref="R67:R130" si="55">Q67+(I67+J67)*44/12</f>
        <v>662.10688083137325</v>
      </c>
      <c r="S67" s="60">
        <f ca="1">AVERAGE(OFFSET($R$3,0,0,'Données projet'!$E$9+1,1))-AVERAGE(OFFSET($H$3,0,0,'Données projet'!$E$9+1,1))</f>
        <v>319.72731970820928</v>
      </c>
      <c r="T67" s="60">
        <f t="shared" si="34"/>
        <v>279.93992813630513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</v>
      </c>
      <c r="AI67" s="14">
        <f>IF('Données projet'!$A$62&gt;35,AI66+AH67-AQ66,IF(A67&lt;'Données projet'!$A$62,$AF$205^A67,IF(A67='Données projet'!$A$62,'Données projet'!$B$62,AI66+AH67-AQ66)))</f>
        <v>253.00000000000023</v>
      </c>
      <c r="AJ67" s="14">
        <f>AI67*VLOOKUP('Données projet'!$B$10,Paramètres!$A$1:$I$89,3,0)*VLOOKUP('Données projet'!$B$10,Paramètres!$A$1:$I$89,5,0)</f>
        <v>256.54200000000026</v>
      </c>
      <c r="AK67" s="14">
        <f t="shared" si="35"/>
        <v>61.984698688972557</v>
      </c>
      <c r="AL67" s="22">
        <f t="shared" si="4"/>
        <v>554.76733354996088</v>
      </c>
      <c r="AM67" s="60">
        <f t="shared" si="5"/>
        <v>848.10066688329425</v>
      </c>
      <c r="AN67" s="60">
        <f ca="1">AVERAGE(OFFSET($AM$3,0,0,'Données projet'!$E$10+1,1))-AVERAGE(OFFSET($H$3,0,0,'Données projet'!$E$10+1,1))</f>
        <v>505.64100207870439</v>
      </c>
      <c r="AO67" s="60">
        <f t="shared" si="36"/>
        <v>371.76229669709249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1.7581957354204254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1.7581957354204254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300.79999999999984</v>
      </c>
      <c r="BE67" s="14">
        <f>BD67*VLOOKUP('Données projet'!$B$11,Paramètres!$A$1:$I$89,3,0)*VLOOKUP('Données projet'!$B$11,Paramètres!$A$1:$I$89,5,0)</f>
        <v>239.3164799999999</v>
      </c>
      <c r="BF67" s="14">
        <f t="shared" si="37"/>
        <v>58.292443422481945</v>
      </c>
      <c r="BG67" s="22">
        <f t="shared" si="7"/>
        <v>518.33554162748919</v>
      </c>
      <c r="BH67" s="60">
        <f t="shared" si="8"/>
        <v>811.66887496082245</v>
      </c>
      <c r="BI67" s="60">
        <f ca="1">AVERAGE(OFFSET($BH$3,0,0,'Données projet'!$E$11+1,1))-AVERAGE(OFFSET($H$3,0,0,'Données projet'!$E$11+1,1))</f>
        <v>353.26636241468884</v>
      </c>
      <c r="BJ67" s="60">
        <f t="shared" si="38"/>
        <v>345.4750813433123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2.3684874857989593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2.3684874857989593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5.7692307692307683</v>
      </c>
      <c r="BY67" s="13">
        <f>IF('Données projet'!$A$114&gt;35,BY66+BX67-CG66,IF(A67&lt;'Données projet'!$A$114,$BV$205^A67,IF(A67='Données projet'!$A$114,'Données projet'!$B$114,BY66+BX67-CG66)))</f>
        <v>276.92307692307685</v>
      </c>
      <c r="BZ67" s="14">
        <f>BY67*VLOOKUP('Données projet'!$B$12,Paramètres!$A$1:$I$89,3,0)*VLOOKUP('Données projet'!$B$12,Paramètres!$A$1:$I$89,5,0)</f>
        <v>185.75999999999993</v>
      </c>
      <c r="CA67" s="14">
        <f t="shared" si="39"/>
        <v>46.601321339767978</v>
      </c>
      <c r="CB67" s="22">
        <f t="shared" si="10"/>
        <v>404.69596800009577</v>
      </c>
      <c r="CC67" s="60">
        <f t="shared" si="11"/>
        <v>698.02930133342909</v>
      </c>
      <c r="CD67" s="60">
        <f ca="1">AVERAGE(OFFSET($CC$3,0,0,'Données projet'!$E$12+1,1))-AVERAGE(OFFSET($H$3,0,0,'Données projet'!$E$12+1,1))</f>
        <v>362.1372269575329</v>
      </c>
      <c r="CE67" s="60">
        <f t="shared" si="40"/>
        <v>308.1559670593121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1.1927161888065443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1.1927161888065443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8.1999999999999993</v>
      </c>
      <c r="CT67" s="13">
        <f>IF('Données projet'!$A$140&gt;35,CT66+CS67-DB66,IF(A67&lt;'Données projet'!$A$140,$CQ$205^A67,IF(A67='Données projet'!$A$140,'Données projet'!$B$140,CT66+CS67-DB66)))</f>
        <v>229.8</v>
      </c>
      <c r="CU67" s="18">
        <f>CT67*VLOOKUP('Données projet'!$B$13,Paramètres!$A$1:$I$89,3,0)*VLOOKUP('Données projet'!$B$13,Paramètres!$A$1:$I$89,5,0)</f>
        <v>247.35672</v>
      </c>
      <c r="CV67" s="14">
        <f t="shared" si="41"/>
        <v>60.019572542553881</v>
      </c>
      <c r="CW67" s="22">
        <f t="shared" si="13"/>
        <v>535.34704284494785</v>
      </c>
      <c r="CX67" s="60">
        <f t="shared" si="14"/>
        <v>828.68037617828122</v>
      </c>
      <c r="CY67" s="60">
        <f ca="1">AVERAGE(OFFSET($CX$3,0,0,'Données projet'!$E$13+1,1))-AVERAGE(OFFSET($H$3,0,0,'Données projet'!$E$13+1,1))</f>
        <v>488.44916315274139</v>
      </c>
      <c r="CZ67" s="60">
        <f t="shared" si="42"/>
        <v>348.17941150148209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1.5487085839660746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1.5487085839660746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8.1001602564102555</v>
      </c>
      <c r="N68" s="14">
        <f>IF('Données projet'!$A$36&gt;35,N67+M68-V67,IF(A68&lt;'Données projet'!$A$36,$K$205^A68,IF(A68='Données projet'!$A$36,'Données projet'!$B$36,N67+M68-V67)))</f>
        <v>194.76442307692312</v>
      </c>
      <c r="O68" s="14">
        <f>N68*VLOOKUP('Données projet'!$B$9,Paramètres!$A$1:$I$89,3,0)*VLOOKUP('Données projet'!$B$9,Paramètres!$A$1:$I$89,5,0)</f>
        <v>176.22285000000002</v>
      </c>
      <c r="P68" s="14">
        <f t="shared" si="33"/>
        <v>44.480805480154558</v>
      </c>
      <c r="Q68" s="22">
        <f t="shared" si="54"/>
        <v>384.39219996126917</v>
      </c>
      <c r="R68" s="60">
        <f t="shared" si="55"/>
        <v>677.72553329460243</v>
      </c>
      <c r="S68" s="60">
        <f ca="1">AVERAGE(OFFSET($R$3,0,0,'Données projet'!$E$9+1,1))-AVERAGE(OFFSET($H$3,0,0,'Données projet'!$E$9+1,1))</f>
        <v>319.72731970820928</v>
      </c>
      <c r="T68" s="60">
        <f t="shared" si="34"/>
        <v>279.93992813630513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262</v>
      </c>
      <c r="AG68" s="13">
        <f>VLOOKUP(A68,'Données projet'!$A$61:$I$81,9,0)</f>
        <v>9</v>
      </c>
      <c r="AH68" s="13">
        <f t="array" ref="AH68">INDEX(AG:AG,MIN(IF(ISNUMBER(AG68:AG264),ROW(AG68:AG264),"")))</f>
        <v>9</v>
      </c>
      <c r="AI68" s="14">
        <f>IF('Données projet'!$A$62&gt;35,AI67+AH68-AQ67,IF(A68&lt;'Données projet'!$A$62,$AF$205^A68,IF(A68='Données projet'!$A$62,'Données projet'!$B$62,AI67+AH68-AQ67)))</f>
        <v>262.00000000000023</v>
      </c>
      <c r="AJ68" s="14">
        <f>AI68*VLOOKUP('Données projet'!$B$10,Paramètres!$A$1:$I$89,3,0)*VLOOKUP('Données projet'!$B$10,Paramètres!$A$1:$I$89,5,0)</f>
        <v>265.66800000000023</v>
      </c>
      <c r="AK68" s="14">
        <f t="shared" si="35"/>
        <v>63.929045899944462</v>
      </c>
      <c r="AL68" s="22">
        <f t="shared" ref="AL68:AL131" si="58">(AJ68+AK68)*0.475*44/12</f>
        <v>574.04818827573695</v>
      </c>
      <c r="AM68" s="60">
        <f t="shared" ref="AM68:AM131" si="59">AL68+(AD68+AE68)*44/12</f>
        <v>867.38152160907021</v>
      </c>
      <c r="AN68" s="60">
        <f ca="1">AVERAGE(OFFSET($AM$3,0,0,'Données projet'!$E$10+1,1))-AVERAGE(OFFSET($H$3,0,0,'Données projet'!$E$10+1,1))</f>
        <v>505.64100207870439</v>
      </c>
      <c r="AO68" s="60">
        <f t="shared" si="36"/>
        <v>371.76229669709249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1.7101177805758585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1.7101177805758585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306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305.99999999999983</v>
      </c>
      <c r="BE68" s="14">
        <f>BD68*VLOOKUP('Données projet'!$B$11,Paramètres!$A$1:$I$89,3,0)*VLOOKUP('Données projet'!$B$11,Paramètres!$A$1:$I$89,5,0)</f>
        <v>243.45359999999988</v>
      </c>
      <c r="BF68" s="14">
        <f t="shared" si="37"/>
        <v>59.181970343065267</v>
      </c>
      <c r="BG68" s="22">
        <f t="shared" ref="BG68:BG131" si="61">(BE68+BF68)*0.475*44/12</f>
        <v>527.09028501417163</v>
      </c>
      <c r="BH68" s="60">
        <f t="shared" ref="BH68:BH131" si="62">BG68+(AY68+AZ68)*44/12</f>
        <v>820.423618347505</v>
      </c>
      <c r="BI68" s="60">
        <f ca="1">AVERAGE(OFFSET($BH$3,0,0,'Données projet'!$E$11+1,1))-AVERAGE(OFFSET($H$3,0,0,'Données projet'!$E$11+1,1))</f>
        <v>353.26636241468884</v>
      </c>
      <c r="BJ68" s="60">
        <f t="shared" si="38"/>
        <v>345.4750813433123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13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2.3037210709464433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2.3037210709464433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282.69230769230768</v>
      </c>
      <c r="BW68" s="13">
        <f>VLOOKUP(A68,'Données projet'!$A$113:$I$133,9,0)</f>
        <v>5.7692307692307683</v>
      </c>
      <c r="BX68" s="13">
        <f t="array" ref="BX68">INDEX(BW:BW,MIN(IF(ISNUMBER(BW68:BW264),ROW(BW68:BW264),"")))</f>
        <v>5.7692307692307683</v>
      </c>
      <c r="BY68" s="13">
        <f>IF('Données projet'!$A$114&gt;35,BY67+BX68-CG67,IF(A68&lt;'Données projet'!$A$114,$BV$205^A68,IF(A68='Données projet'!$A$114,'Données projet'!$B$114,BY67+BX68-CG67)))</f>
        <v>282.69230769230762</v>
      </c>
      <c r="BZ68" s="14">
        <f>BY68*VLOOKUP('Données projet'!$B$12,Paramètres!$A$1:$I$89,3,0)*VLOOKUP('Données projet'!$B$12,Paramètres!$A$1:$I$89,5,0)</f>
        <v>189.62999999999997</v>
      </c>
      <c r="CA68" s="14">
        <f t="shared" si="39"/>
        <v>47.458141826690017</v>
      </c>
      <c r="CB68" s="22">
        <f t="shared" ref="CB68:CB131" si="64">(BZ68+CA68)*0.475*44/12</f>
        <v>412.92851368148507</v>
      </c>
      <c r="CC68" s="60">
        <f t="shared" ref="CC68:CC131" si="65">CB68+(BT68+BU68)*44/12</f>
        <v>706.26184701481839</v>
      </c>
      <c r="CD68" s="60">
        <f ca="1">AVERAGE(OFFSET($CC$3,0,0,'Données projet'!$E$12+1,1))-AVERAGE(OFFSET($H$3,0,0,'Données projet'!$E$12+1,1))</f>
        <v>362.1372269575329</v>
      </c>
      <c r="CE68" s="60">
        <f t="shared" si="40"/>
        <v>308.1559670593121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1.160101301901411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1.160101301901411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238</v>
      </c>
      <c r="CR68" s="13">
        <f>VLOOKUP(A68,'Données projet'!$A$139:$I$159,9,0)</f>
        <v>8.1999999999999993</v>
      </c>
      <c r="CS68" s="13">
        <f t="array" ref="CS68">INDEX(CR:CR,MIN(IF(ISNUMBER(CR68:CR264),ROW(CR68:CR264),"")))</f>
        <v>8.1999999999999993</v>
      </c>
      <c r="CT68" s="13">
        <f>IF('Données projet'!$A$140&gt;35,CT67+CS68-DB67,IF(A68&lt;'Données projet'!$A$140,$CQ$205^A68,IF(A68='Données projet'!$A$140,'Données projet'!$B$140,CT67+CS68-DB67)))</f>
        <v>238</v>
      </c>
      <c r="CU68" s="18">
        <f>CT68*VLOOKUP('Données projet'!$B$13,Paramètres!$A$1:$I$89,3,0)*VLOOKUP('Données projet'!$B$13,Paramètres!$A$1:$I$89,5,0)</f>
        <v>256.1832</v>
      </c>
      <c r="CV68" s="14">
        <f t="shared" si="41"/>
        <v>61.908091499799177</v>
      </c>
      <c r="CW68" s="22">
        <f t="shared" ref="CW68:CW131" si="67">(CU68+CV68)*0.475*44/12</f>
        <v>554.00899936215012</v>
      </c>
      <c r="CX68" s="60">
        <f t="shared" ref="CX68:CX131" si="68">CW68+(CO68+CP68)*44/12</f>
        <v>847.34233269548349</v>
      </c>
      <c r="CY68" s="60">
        <f ca="1">AVERAGE(OFFSET($CX$3,0,0,'Données projet'!$E$13+1,1))-AVERAGE(OFFSET($H$3,0,0,'Données projet'!$E$13+1,1))</f>
        <v>488.44916315274139</v>
      </c>
      <c r="CZ68" s="60">
        <f t="shared" si="42"/>
        <v>348.17941150148209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1.5063590662944775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1.5063590662944775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8.1001602564102555</v>
      </c>
      <c r="N69" s="14">
        <f>IF('Données projet'!$A$36&gt;35,N68+M69-V68,IF(A69&lt;'Données projet'!$A$36,$K$205^A69,IF(A69='Données projet'!$A$36,'Données projet'!$B$36,N68+M69-V68)))</f>
        <v>202.86458333333337</v>
      </c>
      <c r="O69" s="14">
        <f>N69*VLOOKUP('Données projet'!$B$9,Paramètres!$A$1:$I$89,3,0)*VLOOKUP('Données projet'!$B$9,Paramètres!$A$1:$I$89,5,0)</f>
        <v>183.55187500000002</v>
      </c>
      <c r="P69" s="14">
        <f t="shared" ref="P69:P132" si="87">EXP(-1.0587+0.8836*LN(O69)+0.284)</f>
        <v>46.111511982372384</v>
      </c>
      <c r="Q69" s="22">
        <f t="shared" si="54"/>
        <v>399.99706566096523</v>
      </c>
      <c r="R69" s="60">
        <f t="shared" si="55"/>
        <v>693.33039899429855</v>
      </c>
      <c r="S69" s="60">
        <f ca="1">AVERAGE(OFFSET($R$3,0,0,'Données projet'!$E$9+1,1))-AVERAGE(OFFSET($H$3,0,0,'Données projet'!$E$9+1,1))</f>
        <v>319.72731970820928</v>
      </c>
      <c r="T69" s="60">
        <f t="shared" ref="T69:T132" si="88">$T$3</f>
        <v>279.93992813630513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9</v>
      </c>
      <c r="AI69" s="14">
        <f>IF('Données projet'!$A$62&gt;35,AI68+AH69-AQ68,IF(A69&lt;'Données projet'!$A$62,$AF$205^A69,IF(A69='Données projet'!$A$62,'Données projet'!$B$62,AI68+AH69-AQ68)))</f>
        <v>271.00000000000023</v>
      </c>
      <c r="AJ69" s="14">
        <f>AI69*VLOOKUP('Données projet'!$B$10,Paramètres!$A$1:$I$89,3,0)*VLOOKUP('Données projet'!$B$10,Paramètres!$A$1:$I$89,5,0)</f>
        <v>274.79400000000027</v>
      </c>
      <c r="AK69" s="14">
        <f t="shared" ref="AK69:AK132" si="89">EXP(-1.0587+0.8836*LN(AJ69)+0.284)</f>
        <v>65.865632600455584</v>
      </c>
      <c r="AL69" s="22">
        <f t="shared" si="58"/>
        <v>593.31552677912725</v>
      </c>
      <c r="AM69" s="60">
        <f t="shared" si="59"/>
        <v>886.64886011246062</v>
      </c>
      <c r="AN69" s="60">
        <f ca="1">AVERAGE(OFFSET($AM$3,0,0,'Données projet'!$E$10+1,1))-AVERAGE(OFFSET($H$3,0,0,'Données projet'!$E$10+1,1))</f>
        <v>505.64100207870439</v>
      </c>
      <c r="AO69" s="60">
        <f t="shared" ref="AO69:AO132" si="90">$AO$3</f>
        <v>371.76229669709249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1.6633545199348261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1.6633545199348261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4.4000000000000004</v>
      </c>
      <c r="BD69" s="13">
        <f>IF('Données projet'!$A$88&gt;35,BD68+BC69-BL68,IF(A69&lt;'Données projet'!$A$88,$BA$205^A69,IF(A69='Données projet'!$A$88,'Données projet'!$B$88,BD68+BC69-BL68)))</f>
        <v>297.39999999999981</v>
      </c>
      <c r="BE69" s="14">
        <f>BD69*VLOOKUP('Données projet'!$B$11,Paramètres!$A$1:$I$89,3,0)*VLOOKUP('Données projet'!$B$11,Paramètres!$A$1:$I$89,5,0)</f>
        <v>236.61143999999985</v>
      </c>
      <c r="BF69" s="14">
        <f t="shared" ref="BF69:BF132" si="91">EXP(-1.0587+0.8836*LN(BE69)+0.284)</f>
        <v>57.70986302809164</v>
      </c>
      <c r="BG69" s="22">
        <f t="shared" si="61"/>
        <v>512.60960277392599</v>
      </c>
      <c r="BH69" s="60">
        <f t="shared" si="62"/>
        <v>805.94293610725936</v>
      </c>
      <c r="BI69" s="60">
        <f ca="1">AVERAGE(OFFSET($BH$3,0,0,'Données projet'!$E$11+1,1))-AVERAGE(OFFSET($H$3,0,0,'Données projet'!$E$11+1,1))</f>
        <v>353.26636241468884</v>
      </c>
      <c r="BJ69" s="60">
        <f t="shared" ref="BJ69:BJ132" si="92">$BJ$3</f>
        <v>345.4750813433123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2.2407256971139868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2.2407256971139868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5.2564102564102537</v>
      </c>
      <c r="BY69" s="13">
        <f>IF('Données projet'!$A$114&gt;35,BY68+BX69-CG68,IF(A69&lt;'Données projet'!$A$114,$BV$205^A69,IF(A69='Données projet'!$A$114,'Données projet'!$B$114,BY68+BX69-CG68)))</f>
        <v>287.9487179487179</v>
      </c>
      <c r="BZ69" s="14">
        <f>BY69*VLOOKUP('Données projet'!$B$12,Paramètres!$A$1:$I$89,3,0)*VLOOKUP('Données projet'!$B$12,Paramètres!$A$1:$I$89,5,0)</f>
        <v>193.15599999999998</v>
      </c>
      <c r="CA69" s="14">
        <f t="shared" ref="CA69:CA132" si="93">EXP(-1.0587+0.8836*LN(BZ69)+0.284)</f>
        <v>48.237029240325811</v>
      </c>
      <c r="CB69" s="22">
        <f t="shared" si="64"/>
        <v>420.42619259356735</v>
      </c>
      <c r="CC69" s="60">
        <f t="shared" si="65"/>
        <v>713.75952592690066</v>
      </c>
      <c r="CD69" s="60">
        <f ca="1">AVERAGE(OFFSET($CC$3,0,0,'Données projet'!$E$12+1,1))-AVERAGE(OFFSET($H$3,0,0,'Données projet'!$E$12+1,1))</f>
        <v>362.1372269575329</v>
      </c>
      <c r="CE69" s="60">
        <f t="shared" ref="CE69:CE132" si="94">$CE$3</f>
        <v>308.1559670593121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1.128378270793841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1.128378270793841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7.6</v>
      </c>
      <c r="CT69" s="13">
        <f>IF('Données projet'!$A$140&gt;35,CT68+CS69-DB68,IF(A69&lt;'Données projet'!$A$140,$CQ$205^A69,IF(A69='Données projet'!$A$140,'Données projet'!$B$140,CT68+CS69-DB68)))</f>
        <v>245.6</v>
      </c>
      <c r="CU69" s="18">
        <f>CT69*VLOOKUP('Données projet'!$B$13,Paramètres!$A$1:$I$89,3,0)*VLOOKUP('Données projet'!$B$13,Paramètres!$A$1:$I$89,5,0)</f>
        <v>264.36383999999998</v>
      </c>
      <c r="CV69" s="14">
        <f t="shared" ref="CV69:CV132" si="95">EXP(-1.0587+0.8836*LN(CU69)+0.284)</f>
        <v>63.651669282160817</v>
      </c>
      <c r="CW69" s="22">
        <f t="shared" si="67"/>
        <v>571.29367866643008</v>
      </c>
      <c r="CX69" s="60">
        <f t="shared" si="68"/>
        <v>864.62701199976345</v>
      </c>
      <c r="CY69" s="60">
        <f ca="1">AVERAGE(OFFSET($CX$3,0,0,'Données projet'!$E$13+1,1))-AVERAGE(OFFSET($H$3,0,0,'Données projet'!$E$13+1,1))</f>
        <v>488.44916315274139</v>
      </c>
      <c r="CZ69" s="60">
        <f t="shared" ref="CZ69:CZ132" si="96">$CZ$3</f>
        <v>348.17941150148209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1.4651675984106745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1.4651675984106745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8.1001602564102555</v>
      </c>
      <c r="N70" s="14">
        <f>IF('Données projet'!$A$36&gt;35,N69+M70-V69,IF(A70&lt;'Données projet'!$A$36,$K$205^A70,IF(A70='Données projet'!$A$36,'Données projet'!$B$36,N69+M70-V69)))</f>
        <v>210.96474358974362</v>
      </c>
      <c r="O70" s="14">
        <f>N70*VLOOKUP('Données projet'!$B$9,Paramètres!$A$1:$I$89,3,0)*VLOOKUP('Données projet'!$B$9,Paramètres!$A$1:$I$89,5,0)</f>
        <v>190.88090000000003</v>
      </c>
      <c r="P70" s="14">
        <f t="shared" si="87"/>
        <v>47.734654873168694</v>
      </c>
      <c r="Q70" s="22">
        <f t="shared" si="54"/>
        <v>415.58875807076885</v>
      </c>
      <c r="R70" s="60">
        <f t="shared" si="55"/>
        <v>708.92209140410216</v>
      </c>
      <c r="S70" s="60">
        <f ca="1">AVERAGE(OFFSET($R$3,0,0,'Données projet'!$E$9+1,1))-AVERAGE(OFFSET($H$3,0,0,'Données projet'!$E$9+1,1))</f>
        <v>319.72731970820928</v>
      </c>
      <c r="T70" s="60">
        <f t="shared" si="88"/>
        <v>279.93992813630513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9</v>
      </c>
      <c r="AI70" s="14">
        <f>IF('Données projet'!$A$62&gt;35,AI69+AH70-AQ69,IF(A70&lt;'Données projet'!$A$62,$AF$205^A70,IF(A70='Données projet'!$A$62,'Données projet'!$B$62,AI69+AH70-AQ69)))</f>
        <v>280.00000000000023</v>
      </c>
      <c r="AJ70" s="14">
        <f>AI70*VLOOKUP('Données projet'!$B$10,Paramètres!$A$1:$I$89,3,0)*VLOOKUP('Données projet'!$B$10,Paramètres!$A$1:$I$89,5,0)</f>
        <v>283.92000000000024</v>
      </c>
      <c r="AK70" s="14">
        <f t="shared" si="89"/>
        <v>67.794746071143692</v>
      </c>
      <c r="AL70" s="22">
        <f t="shared" si="58"/>
        <v>612.56984940724237</v>
      </c>
      <c r="AM70" s="60">
        <f t="shared" si="59"/>
        <v>905.90318274057563</v>
      </c>
      <c r="AN70" s="60">
        <f ca="1">AVERAGE(OFFSET($AM$3,0,0,'Données projet'!$E$10+1,1))-AVERAGE(OFFSET($H$3,0,0,'Données projet'!$E$10+1,1))</f>
        <v>505.64100207870439</v>
      </c>
      <c r="AO70" s="60">
        <f t="shared" si="90"/>
        <v>371.76229669709249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1.6178700031151958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1.6178700031151958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4.4000000000000004</v>
      </c>
      <c r="BD70" s="13">
        <f>IF('Données projet'!$A$88&gt;35,BD69+BC70-BL69,IF(A70&lt;'Données projet'!$A$88,$BA$205^A70,IF(A70='Données projet'!$A$88,'Données projet'!$B$88,BD69+BC70-BL69)))</f>
        <v>301.79999999999978</v>
      </c>
      <c r="BE70" s="14">
        <f>BD70*VLOOKUP('Données projet'!$B$11,Paramètres!$A$1:$I$89,3,0)*VLOOKUP('Données projet'!$B$11,Paramètres!$A$1:$I$89,5,0)</f>
        <v>240.11207999999985</v>
      </c>
      <c r="BF70" s="14">
        <f t="shared" si="91"/>
        <v>58.463644384894785</v>
      </c>
      <c r="BG70" s="22">
        <f t="shared" si="61"/>
        <v>520.01938663702481</v>
      </c>
      <c r="BH70" s="60">
        <f t="shared" si="62"/>
        <v>813.35271997035807</v>
      </c>
      <c r="BI70" s="60">
        <f ca="1">AVERAGE(OFFSET($BH$3,0,0,'Données projet'!$E$11+1,1))-AVERAGE(OFFSET($H$3,0,0,'Données projet'!$E$11+1,1))</f>
        <v>353.26636241468884</v>
      </c>
      <c r="BJ70" s="60">
        <f t="shared" si="92"/>
        <v>345.4750813433123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2.1794529350917617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2.1794529350917617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5.2564102564102537</v>
      </c>
      <c r="BY70" s="13">
        <f>IF('Données projet'!$A$114&gt;35,BY69+BX70-CG69,IF(A70&lt;'Données projet'!$A$114,$BV$205^A70,IF(A70='Données projet'!$A$114,'Données projet'!$B$114,BY69+BX70-CG69)))</f>
        <v>293.20512820512818</v>
      </c>
      <c r="BZ70" s="14">
        <f>BY70*VLOOKUP('Données projet'!$B$12,Paramètres!$A$1:$I$89,3,0)*VLOOKUP('Données projet'!$B$12,Paramètres!$A$1:$I$89,5,0)</f>
        <v>196.68199999999999</v>
      </c>
      <c r="CA70" s="14">
        <f t="shared" si="93"/>
        <v>49.014263299588542</v>
      </c>
      <c r="CB70" s="22">
        <f t="shared" si="64"/>
        <v>427.92099191345005</v>
      </c>
      <c r="CC70" s="60">
        <f t="shared" si="65"/>
        <v>721.25432524678331</v>
      </c>
      <c r="CD70" s="60">
        <f ca="1">AVERAGE(OFFSET($CC$3,0,0,'Données projet'!$E$12+1,1))-AVERAGE(OFFSET($H$3,0,0,'Données projet'!$E$12+1,1))</f>
        <v>362.1372269575329</v>
      </c>
      <c r="CE70" s="60">
        <f t="shared" si="94"/>
        <v>308.1559670593121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1.097522707640149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1.097522707640149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7.6</v>
      </c>
      <c r="CT70" s="13">
        <f>IF('Données projet'!$A$140&gt;35,CT69+CS70-DB69,IF(A70&lt;'Données projet'!$A$140,$CQ$205^A70,IF(A70='Données projet'!$A$140,'Données projet'!$B$140,CT69+CS70-DB69)))</f>
        <v>253.2</v>
      </c>
      <c r="CU70" s="18">
        <f>CT70*VLOOKUP('Données projet'!$B$13,Paramètres!$A$1:$I$89,3,0)*VLOOKUP('Données projet'!$B$13,Paramètres!$A$1:$I$89,5,0)</f>
        <v>272.54447999999996</v>
      </c>
      <c r="CV70" s="14">
        <f t="shared" si="95"/>
        <v>65.388977016702498</v>
      </c>
      <c r="CW70" s="22">
        <f t="shared" si="67"/>
        <v>588.56743763742338</v>
      </c>
      <c r="CX70" s="60">
        <f t="shared" si="68"/>
        <v>881.90077097075664</v>
      </c>
      <c r="CY70" s="60">
        <f ca="1">AVERAGE(OFFSET($CX$3,0,0,'Données projet'!$E$13+1,1))-AVERAGE(OFFSET($H$3,0,0,'Données projet'!$E$13+1,1))</f>
        <v>488.44916315274139</v>
      </c>
      <c r="CZ70" s="60">
        <f t="shared" si="96"/>
        <v>348.17941150148209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1.4251025133823192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1.4251025133823192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8.1001602564102555</v>
      </c>
      <c r="N71" s="14">
        <f>IF('Données projet'!$A$36&gt;35,N70+M71-V70,IF(A71&lt;'Données projet'!$A$36,$K$205^A71,IF(A71='Données projet'!$A$36,'Données projet'!$B$36,N70+M71-V70)))</f>
        <v>219.06490384615387</v>
      </c>
      <c r="O71" s="14">
        <f>N71*VLOOKUP('Données projet'!$B$9,Paramètres!$A$1:$I$89,3,0)*VLOOKUP('Données projet'!$B$9,Paramètres!$A$1:$I$89,5,0)</f>
        <v>198.20992500000003</v>
      </c>
      <c r="P71" s="14">
        <f t="shared" si="87"/>
        <v>49.350557805795454</v>
      </c>
      <c r="Q71" s="22">
        <f t="shared" si="54"/>
        <v>431.16784088676042</v>
      </c>
      <c r="R71" s="60">
        <f t="shared" si="55"/>
        <v>724.50117422009373</v>
      </c>
      <c r="S71" s="60">
        <f ca="1">AVERAGE(OFFSET($R$3,0,0,'Données projet'!$E$9+1,1))-AVERAGE(OFFSET($H$3,0,0,'Données projet'!$E$9+1,1))</f>
        <v>319.72731970820928</v>
      </c>
      <c r="T71" s="60">
        <f t="shared" si="88"/>
        <v>279.93992813630513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9</v>
      </c>
      <c r="AI71" s="14">
        <f>IF('Données projet'!$A$62&gt;35,AI70+AH71-AQ70,IF(A71&lt;'Données projet'!$A$62,$AF$205^A71,IF(A71='Données projet'!$A$62,'Données projet'!$B$62,AI70+AH71-AQ70)))</f>
        <v>289.00000000000023</v>
      </c>
      <c r="AJ71" s="14">
        <f>AI71*VLOOKUP('Données projet'!$B$10,Paramètres!$A$1:$I$89,3,0)*VLOOKUP('Données projet'!$B$10,Paramètres!$A$1:$I$89,5,0)</f>
        <v>293.04600000000028</v>
      </c>
      <c r="AK71" s="14">
        <f t="shared" si="89"/>
        <v>69.716654076072672</v>
      </c>
      <c r="AL71" s="22">
        <f t="shared" si="58"/>
        <v>631.81162251582703</v>
      </c>
      <c r="AM71" s="60">
        <f t="shared" si="59"/>
        <v>925.1449558491604</v>
      </c>
      <c r="AN71" s="60">
        <f ca="1">AVERAGE(OFFSET($AM$3,0,0,'Données projet'!$E$10+1,1))-AVERAGE(OFFSET($H$3,0,0,'Données projet'!$E$10+1,1))</f>
        <v>505.64100207870439</v>
      </c>
      <c r="AO71" s="60">
        <f t="shared" si="90"/>
        <v>371.76229669709249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1.5736292627999251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1.5736292627999251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4.4000000000000004</v>
      </c>
      <c r="BD71" s="13">
        <f>IF('Données projet'!$A$88&gt;35,BD70+BC71-BL70,IF(A71&lt;'Données projet'!$A$88,$BA$205^A71,IF(A71='Données projet'!$A$88,'Données projet'!$B$88,BD70+BC71-BL70)))</f>
        <v>306.19999999999976</v>
      </c>
      <c r="BE71" s="14">
        <f>BD71*VLOOKUP('Données projet'!$B$11,Paramètres!$A$1:$I$89,3,0)*VLOOKUP('Données projet'!$B$11,Paramètres!$A$1:$I$89,5,0)</f>
        <v>243.61271999999985</v>
      </c>
      <c r="BF71" s="14">
        <f t="shared" si="91"/>
        <v>59.216147598154748</v>
      </c>
      <c r="BG71" s="22">
        <f t="shared" si="61"/>
        <v>527.42694440011928</v>
      </c>
      <c r="BH71" s="60">
        <f t="shared" si="62"/>
        <v>820.76027773345254</v>
      </c>
      <c r="BI71" s="60">
        <f ca="1">AVERAGE(OFFSET($BH$3,0,0,'Données projet'!$E$11+1,1))-AVERAGE(OFFSET($H$3,0,0,'Données projet'!$E$11+1,1))</f>
        <v>353.26636241468884</v>
      </c>
      <c r="BJ71" s="60">
        <f t="shared" si="92"/>
        <v>345.4750813433123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2.1198556799692287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2.1198556799692287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5.2564102564102537</v>
      </c>
      <c r="BY71" s="13">
        <f>IF('Données projet'!$A$114&gt;35,BY70+BX71-CG70,IF(A71&lt;'Données projet'!$A$114,$BV$205^A71,IF(A71='Données projet'!$A$114,'Données projet'!$B$114,BY70+BX71-CG70)))</f>
        <v>298.46153846153845</v>
      </c>
      <c r="BZ71" s="14">
        <f>BY71*VLOOKUP('Données projet'!$B$12,Paramètres!$A$1:$I$89,3,0)*VLOOKUP('Données projet'!$B$12,Paramètres!$A$1:$I$89,5,0)</f>
        <v>200.208</v>
      </c>
      <c r="CA71" s="14">
        <f t="shared" si="93"/>
        <v>49.789877064057393</v>
      </c>
      <c r="CB71" s="22">
        <f t="shared" si="64"/>
        <v>435.41296921989988</v>
      </c>
      <c r="CC71" s="60">
        <f t="shared" si="65"/>
        <v>728.74630255323314</v>
      </c>
      <c r="CD71" s="60">
        <f ca="1">AVERAGE(OFFSET($CC$3,0,0,'Données projet'!$E$12+1,1))-AVERAGE(OFFSET($H$3,0,0,'Données projet'!$E$12+1,1))</f>
        <v>362.1372269575329</v>
      </c>
      <c r="CE71" s="60">
        <f t="shared" si="94"/>
        <v>308.1559670593121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1.0675108914835183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1.0675108914835183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7.6</v>
      </c>
      <c r="CT71" s="13">
        <f>IF('Données projet'!$A$140&gt;35,CT70+CS71-DB70,IF(A71&lt;'Données projet'!$A$140,$CQ$205^A71,IF(A71='Données projet'!$A$140,'Données projet'!$B$140,CT70+CS71-DB70)))</f>
        <v>260.8</v>
      </c>
      <c r="CU71" s="18">
        <f>CT71*VLOOKUP('Données projet'!$B$13,Paramètres!$A$1:$I$89,3,0)*VLOOKUP('Données projet'!$B$13,Paramètres!$A$1:$I$89,5,0)</f>
        <v>280.72512</v>
      </c>
      <c r="CV71" s="14">
        <f t="shared" si="95"/>
        <v>67.120224507721701</v>
      </c>
      <c r="CW71" s="22">
        <f t="shared" si="67"/>
        <v>605.830641684282</v>
      </c>
      <c r="CX71" s="60">
        <f t="shared" si="68"/>
        <v>899.16397501761526</v>
      </c>
      <c r="CY71" s="60">
        <f ca="1">AVERAGE(OFFSET($CX$3,0,0,'Données projet'!$E$13+1,1))-AVERAGE(OFFSET($H$3,0,0,'Données projet'!$E$13+1,1))</f>
        <v>488.44916315274139</v>
      </c>
      <c r="CZ71" s="60">
        <f t="shared" si="96"/>
        <v>348.17941150148209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1.3861330102109957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1.3861330102109957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8.1001602564102555</v>
      </c>
      <c r="N72" s="14">
        <f>IF('Données projet'!$A$36&gt;35,N71+M72-V71,IF(A72&lt;'Données projet'!$A$36,$K$205^A72,IF(A72='Données projet'!$A$36,'Données projet'!$B$36,N71+M72-V71)))</f>
        <v>227.16506410256412</v>
      </c>
      <c r="O72" s="14">
        <f>N72*VLOOKUP('Données projet'!$B$9,Paramètres!$A$1:$I$89,3,0)*VLOOKUP('Données projet'!$B$9,Paramètres!$A$1:$I$89,5,0)</f>
        <v>205.53895</v>
      </c>
      <c r="P72" s="14">
        <f t="shared" si="87"/>
        <v>50.95951914247815</v>
      </c>
      <c r="Q72" s="22">
        <f t="shared" si="54"/>
        <v>446.73483375648271</v>
      </c>
      <c r="R72" s="60">
        <f t="shared" si="55"/>
        <v>740.06816708981603</v>
      </c>
      <c r="S72" s="60">
        <f ca="1">AVERAGE(OFFSET($R$3,0,0,'Données projet'!$E$9+1,1))-AVERAGE(OFFSET($H$3,0,0,'Données projet'!$E$9+1,1))</f>
        <v>319.72731970820928</v>
      </c>
      <c r="T72" s="60">
        <f t="shared" si="88"/>
        <v>279.93992813630513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9</v>
      </c>
      <c r="AI72" s="14">
        <f>IF('Données projet'!$A$62&gt;35,AI71+AH72-AQ71,IF(A72&lt;'Données projet'!$A$62,$AF$205^A72,IF(A72='Données projet'!$A$62,'Données projet'!$B$62,AI71+AH72-AQ71)))</f>
        <v>298.00000000000023</v>
      </c>
      <c r="AJ72" s="14">
        <f>AI72*VLOOKUP('Données projet'!$B$10,Paramètres!$A$1:$I$89,3,0)*VLOOKUP('Données projet'!$B$10,Paramètres!$A$1:$I$89,5,0)</f>
        <v>302.17200000000025</v>
      </c>
      <c r="AK72" s="14">
        <f t="shared" si="89"/>
        <v>71.631606754643286</v>
      </c>
      <c r="AL72" s="22">
        <f t="shared" si="58"/>
        <v>651.04128176433744</v>
      </c>
      <c r="AM72" s="60">
        <f t="shared" si="59"/>
        <v>944.37461509767081</v>
      </c>
      <c r="AN72" s="60">
        <f ca="1">AVERAGE(OFFSET($AM$3,0,0,'Données projet'!$E$10+1,1))-AVERAGE(OFFSET($H$3,0,0,'Données projet'!$E$10+1,1))</f>
        <v>505.64100207870439</v>
      </c>
      <c r="AO72" s="60">
        <f t="shared" si="90"/>
        <v>371.76229669709249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1.5305982878550948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1.5305982878550948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4.4000000000000004</v>
      </c>
      <c r="BD72" s="13">
        <f>IF('Données projet'!$A$88&gt;35,BD71+BC72-BL71,IF(A72&lt;'Données projet'!$A$88,$BA$205^A72,IF(A72='Données projet'!$A$88,'Données projet'!$B$88,BD71+BC72-BL71)))</f>
        <v>310.59999999999974</v>
      </c>
      <c r="BE72" s="14">
        <f>BD72*VLOOKUP('Données projet'!$B$11,Paramètres!$A$1:$I$89,3,0)*VLOOKUP('Données projet'!$B$11,Paramètres!$A$1:$I$89,5,0)</f>
        <v>247.1133599999998</v>
      </c>
      <c r="BF72" s="14">
        <f t="shared" si="91"/>
        <v>59.967393156546734</v>
      </c>
      <c r="BG72" s="22">
        <f t="shared" si="61"/>
        <v>534.83231174765172</v>
      </c>
      <c r="BH72" s="60">
        <f t="shared" si="62"/>
        <v>828.16564508098509</v>
      </c>
      <c r="BI72" s="60">
        <f ca="1">AVERAGE(OFFSET($BH$3,0,0,'Données projet'!$E$11+1,1))-AVERAGE(OFFSET($H$3,0,0,'Données projet'!$E$11+1,1))</f>
        <v>353.26636241468884</v>
      </c>
      <c r="BJ72" s="60">
        <f t="shared" si="92"/>
        <v>345.4750813433123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2.0618881149221049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2.0618881149221049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5.2564102564102537</v>
      </c>
      <c r="BY72" s="13">
        <f>IF('Données projet'!$A$114&gt;35,BY71+BX72-CG71,IF(A72&lt;'Données projet'!$A$114,$BV$205^A72,IF(A72='Données projet'!$A$114,'Données projet'!$B$114,BY71+BX72-CG71)))</f>
        <v>303.71794871794873</v>
      </c>
      <c r="BZ72" s="14">
        <f>BY72*VLOOKUP('Données projet'!$B$12,Paramètres!$A$1:$I$89,3,0)*VLOOKUP('Données projet'!$B$12,Paramètres!$A$1:$I$89,5,0)</f>
        <v>203.73400000000004</v>
      </c>
      <c r="CA72" s="14">
        <f t="shared" si="93"/>
        <v>50.563902362141633</v>
      </c>
      <c r="CB72" s="22">
        <f t="shared" si="64"/>
        <v>442.90217994739669</v>
      </c>
      <c r="CC72" s="60">
        <f t="shared" si="65"/>
        <v>736.23551328072995</v>
      </c>
      <c r="CD72" s="60">
        <f ca="1">AVERAGE(OFFSET($CC$3,0,0,'Données projet'!$E$12+1,1))-AVERAGE(OFFSET($H$3,0,0,'Données projet'!$E$12+1,1))</f>
        <v>362.1372269575329</v>
      </c>
      <c r="CE72" s="60">
        <f t="shared" si="94"/>
        <v>308.1559670593121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1.0383197500179435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1.0383197500179435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7.6</v>
      </c>
      <c r="CT72" s="13">
        <f>IF('Données projet'!$A$140&gt;35,CT71+CS72-DB71,IF(A72&lt;'Données projet'!$A$140,$CQ$205^A72,IF(A72='Données projet'!$A$140,'Données projet'!$B$140,CT71+CS72-DB71)))</f>
        <v>268.40000000000003</v>
      </c>
      <c r="CU72" s="18">
        <f>CT72*VLOOKUP('Données projet'!$B$13,Paramètres!$A$1:$I$89,3,0)*VLOOKUP('Données projet'!$B$13,Paramètres!$A$1:$I$89,5,0)</f>
        <v>288.90575999999999</v>
      </c>
      <c r="CV72" s="14">
        <f t="shared" si="95"/>
        <v>68.84560863637995</v>
      </c>
      <c r="CW72" s="22">
        <f t="shared" si="67"/>
        <v>623.08363370836162</v>
      </c>
      <c r="CX72" s="60">
        <f t="shared" si="68"/>
        <v>916.41696704169499</v>
      </c>
      <c r="CY72" s="60">
        <f ca="1">AVERAGE(OFFSET($CX$3,0,0,'Données projet'!$E$13+1,1))-AVERAGE(OFFSET($H$3,0,0,'Données projet'!$E$13+1,1))</f>
        <v>488.44916315274139</v>
      </c>
      <c r="CZ72" s="60">
        <f t="shared" si="96"/>
        <v>348.17941150148209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1.348229130153209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1.348229130153209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8.1001602564102555</v>
      </c>
      <c r="N73" s="14">
        <f>IF('Données projet'!$A$36&gt;35,N72+M73-V72,IF(A73&lt;'Données projet'!$A$36,$K$205^A73,IF(A73='Données projet'!$A$36,'Données projet'!$B$36,N72+M73-V72)))</f>
        <v>235.26522435897436</v>
      </c>
      <c r="O73" s="14">
        <f>N73*VLOOKUP('Données projet'!$B$9,Paramètres!$A$1:$I$89,3,0)*VLOOKUP('Données projet'!$B$9,Paramètres!$A$1:$I$89,5,0)</f>
        <v>212.86797499999997</v>
      </c>
      <c r="P73" s="14">
        <f t="shared" si="87"/>
        <v>52.561814761455558</v>
      </c>
      <c r="Q73" s="22">
        <f t="shared" si="54"/>
        <v>462.29021716786838</v>
      </c>
      <c r="R73" s="60">
        <f t="shared" si="55"/>
        <v>755.62355050120163</v>
      </c>
      <c r="S73" s="60">
        <f ca="1">AVERAGE(OFFSET($R$3,0,0,'Données projet'!$E$9+1,1))-AVERAGE(OFFSET($H$3,0,0,'Données projet'!$E$9+1,1))</f>
        <v>319.72731970820928</v>
      </c>
      <c r="T73" s="60">
        <f t="shared" si="88"/>
        <v>279.93992813630513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307</v>
      </c>
      <c r="AG73" s="13">
        <f>VLOOKUP(A73,'Données projet'!$A$61:$I$81,9,0)</f>
        <v>9</v>
      </c>
      <c r="AH73" s="13">
        <f t="array" ref="AH73">INDEX(AG:AG,MIN(IF(ISNUMBER(AG73:AG269),ROW(AG73:AG269),"")))</f>
        <v>9</v>
      </c>
      <c r="AI73" s="14">
        <f>IF('Données projet'!$A$62&gt;35,AI72+AH73-AQ72,IF(A73&lt;'Données projet'!$A$62,$AF$205^A73,IF(A73='Données projet'!$A$62,'Données projet'!$B$62,AI72+AH73-AQ72)))</f>
        <v>307.00000000000023</v>
      </c>
      <c r="AJ73" s="14">
        <f>AI73*VLOOKUP('Données projet'!$B$10,Paramètres!$A$1:$I$89,3,0)*VLOOKUP('Données projet'!$B$10,Paramètres!$A$1:$I$89,5,0)</f>
        <v>311.29800000000023</v>
      </c>
      <c r="AK73" s="14">
        <f t="shared" si="89"/>
        <v>73.539838278528748</v>
      </c>
      <c r="AL73" s="22">
        <f t="shared" si="58"/>
        <v>670.25923500177134</v>
      </c>
      <c r="AM73" s="60">
        <f t="shared" si="59"/>
        <v>963.59256833510472</v>
      </c>
      <c r="AN73" s="60">
        <f ca="1">AVERAGE(OFFSET($AM$3,0,0,'Données projet'!$E$10+1,1))-AVERAGE(OFFSET($H$3,0,0,'Données projet'!$E$10+1,1))</f>
        <v>505.64100207870439</v>
      </c>
      <c r="AO73" s="60">
        <f t="shared" si="90"/>
        <v>371.76229669709249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62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1.4887439971830314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1.4887439971830314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315</v>
      </c>
      <c r="BB73" s="13">
        <f>VLOOKUP(A73,'Données projet'!$A$87:$I$107,9,0)</f>
        <v>4.4000000000000004</v>
      </c>
      <c r="BC73" s="13">
        <f t="array" ref="BC73">INDEX(BB:BB,MIN(IF(ISNUMBER(BB73:BB269),ROW(BB73:BB269),"")))</f>
        <v>4.4000000000000004</v>
      </c>
      <c r="BD73" s="13">
        <f>IF('Données projet'!$A$88&gt;35,BD72+BC73-BL72,IF(A73&lt;'Données projet'!$A$88,$BA$205^A73,IF(A73='Données projet'!$A$88,'Données projet'!$B$88,BD72+BC73-BL72)))</f>
        <v>314.99999999999972</v>
      </c>
      <c r="BE73" s="14">
        <f>BD73*VLOOKUP('Données projet'!$B$11,Paramètres!$A$1:$I$89,3,0)*VLOOKUP('Données projet'!$B$11,Paramètres!$A$1:$I$89,5,0)</f>
        <v>250.61399999999981</v>
      </c>
      <c r="BF73" s="14">
        <f t="shared" si="91"/>
        <v>60.717400934916043</v>
      </c>
      <c r="BG73" s="22">
        <f t="shared" si="61"/>
        <v>542.23552329497841</v>
      </c>
      <c r="BH73" s="60">
        <f t="shared" si="62"/>
        <v>835.56885662831178</v>
      </c>
      <c r="BI73" s="60">
        <f ca="1">AVERAGE(OFFSET($BH$3,0,0,'Données projet'!$E$11+1,1))-AVERAGE(OFFSET($H$3,0,0,'Données projet'!$E$11+1,1))</f>
        <v>353.26636241468884</v>
      </c>
      <c r="BJ73" s="60">
        <f t="shared" si="92"/>
        <v>345.4750813433123</v>
      </c>
      <c r="BK73" s="16">
        <f>IF(ISNA(VLOOKUP(A73,'Données projet'!$A$87:$I$107,3,0)),0,VLOOKUP(A73,'Données projet'!$A$87:$I$107,3,0))</f>
        <v>12</v>
      </c>
      <c r="BL73" s="16">
        <f>IF(ISNA(VLOOKUP(A73,'Données projet'!$A$87:$I$107,4,0)),0,VLOOKUP(A73,'Données projet'!$A$87:$I$107,4,0))</f>
        <v>13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2.0055056759895766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2.0055056759895766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308.97435897435895</v>
      </c>
      <c r="BW73" s="13">
        <f>VLOOKUP(A73,'Données projet'!$A$113:$I$133,9,0)</f>
        <v>5.2564102564102537</v>
      </c>
      <c r="BX73" s="13">
        <f t="array" ref="BX73">INDEX(BW:BW,MIN(IF(ISNUMBER(BW73:BW269),ROW(BW73:BW269),"")))</f>
        <v>5.2564102564102537</v>
      </c>
      <c r="BY73" s="13">
        <f>IF('Données projet'!$A$114&gt;35,BY72+BX73-CG72,IF(A73&lt;'Données projet'!$A$114,$BV$205^A73,IF(A73='Données projet'!$A$114,'Données projet'!$B$114,BY72+BX73-CG72)))</f>
        <v>308.97435897435901</v>
      </c>
      <c r="BZ73" s="14">
        <f>BY73*VLOOKUP('Données projet'!$B$12,Paramètres!$A$1:$I$89,3,0)*VLOOKUP('Données projet'!$B$12,Paramètres!$A$1:$I$89,5,0)</f>
        <v>207.26000000000002</v>
      </c>
      <c r="CA73" s="14">
        <f t="shared" si="93"/>
        <v>51.336369857430014</v>
      </c>
      <c r="CB73" s="22">
        <f t="shared" si="64"/>
        <v>450.38867750169061</v>
      </c>
      <c r="CC73" s="60">
        <f t="shared" si="65"/>
        <v>743.72201083502387</v>
      </c>
      <c r="CD73" s="60">
        <f ca="1">AVERAGE(OFFSET($CC$3,0,0,'Données projet'!$E$12+1,1))-AVERAGE(OFFSET($H$3,0,0,'Données projet'!$E$12+1,1))</f>
        <v>362.1372269575329</v>
      </c>
      <c r="CE73" s="60">
        <f t="shared" si="94"/>
        <v>308.1559670593121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31.410256410256409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1.0099268418508403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1.0099268418508403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276</v>
      </c>
      <c r="CR73" s="13">
        <f>VLOOKUP(A73,'Données projet'!$A$139:$I$159,9,0)</f>
        <v>7.6</v>
      </c>
      <c r="CS73" s="13">
        <f t="array" ref="CS73">INDEX(CR:CR,MIN(IF(ISNUMBER(CR73:CR269),ROW(CR73:CR269),"")))</f>
        <v>7.6</v>
      </c>
      <c r="CT73" s="13">
        <f>IF('Données projet'!$A$140&gt;35,CT72+CS73-DB72,IF(A73&lt;'Données projet'!$A$140,$CQ$205^A73,IF(A73='Données projet'!$A$140,'Données projet'!$B$140,CT72+CS73-DB72)))</f>
        <v>276.00000000000006</v>
      </c>
      <c r="CU73" s="18">
        <f>CT73*VLOOKUP('Données projet'!$B$13,Paramètres!$A$1:$I$89,3,0)*VLOOKUP('Données projet'!$B$13,Paramètres!$A$1:$I$89,5,0)</f>
        <v>297.08640000000003</v>
      </c>
      <c r="CV73" s="14">
        <f t="shared" si="95"/>
        <v>70.565314499829583</v>
      </c>
      <c r="CW73" s="22">
        <f t="shared" si="67"/>
        <v>640.32673608720324</v>
      </c>
      <c r="CX73" s="60">
        <f t="shared" si="68"/>
        <v>933.6600694205365</v>
      </c>
      <c r="CY73" s="60">
        <f ca="1">AVERAGE(OFFSET($CX$3,0,0,'Données projet'!$E$13+1,1))-AVERAGE(OFFSET($H$3,0,0,'Données projet'!$E$13+1,1))</f>
        <v>488.44916315274139</v>
      </c>
      <c r="CZ73" s="60">
        <f t="shared" si="96"/>
        <v>348.17941150148209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53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1.311361733688881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1.311361733688881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>
        <f>VLOOKUP(A74,'Données projet'!$A$35:$I$55,2,0)</f>
        <v>243.36538461538458</v>
      </c>
      <c r="L74" s="13">
        <f>VLOOKUP(A74,'Données projet'!$A$35:$I$55,9,0)</f>
        <v>8.1001602564102555</v>
      </c>
      <c r="M74" s="13">
        <f t="array" ref="M74">INDEX(L:L,MIN(IF(ISNUMBER(L74:L270),ROW(L74:L270),"")))</f>
        <v>8.1001602564102555</v>
      </c>
      <c r="N74" s="14">
        <f>IF('Données projet'!$A$36&gt;35,N73+M74-V73,IF(A74&lt;'Données projet'!$A$36,$K$205^A74,IF(A74='Données projet'!$A$36,'Données projet'!$B$36,N73+M74-V73)))</f>
        <v>243.36538461538461</v>
      </c>
      <c r="O74" s="14">
        <f>N74*VLOOKUP('Données projet'!$B$9,Paramètres!$A$1:$I$89,3,0)*VLOOKUP('Données projet'!$B$9,Paramètres!$A$1:$I$89,5,0)</f>
        <v>220.19699999999997</v>
      </c>
      <c r="P74" s="14">
        <f t="shared" si="87"/>
        <v>54.157700466574305</v>
      </c>
      <c r="Q74" s="22">
        <f t="shared" si="54"/>
        <v>477.83443664595023</v>
      </c>
      <c r="R74" s="60">
        <f t="shared" si="55"/>
        <v>771.16776997928355</v>
      </c>
      <c r="S74" s="60">
        <f ca="1">AVERAGE(OFFSET($R$3,0,0,'Données projet'!$E$9+1,1))-AVERAGE(OFFSET($H$3,0,0,'Données projet'!$E$9+1,1))</f>
        <v>319.72731970820928</v>
      </c>
      <c r="T74" s="60">
        <f t="shared" si="88"/>
        <v>279.93992813630513</v>
      </c>
      <c r="U74" s="16">
        <f>IF(ISNA(VLOOKUP(A74,'Données projet'!$A$35:$I$55,3,0)),0,VLOOKUP(A74,'Données projet'!$A$35:$I$55,3,0))</f>
        <v>6</v>
      </c>
      <c r="V74" s="16">
        <f>IF(ISNA(VLOOKUP(A74,'Données projet'!$A$35:$I$55,4,0)),0,VLOOKUP(A74,'Données projet'!$A$35:$I$55,4,0))</f>
        <v>39.935897435897431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8.4</v>
      </c>
      <c r="AI74" s="14">
        <f>IF('Données projet'!$A$62&gt;35,AI73+AH74-AQ73,IF(A74&lt;'Données projet'!$A$62,$AF$205^A74,IF(A74='Données projet'!$A$62,'Données projet'!$B$62,AI73+AH74-AQ73)))</f>
        <v>253.4000000000002</v>
      </c>
      <c r="AJ74" s="14">
        <f>AI74*VLOOKUP('Données projet'!$B$10,Paramètres!$A$1:$I$89,3,0)*VLOOKUP('Données projet'!$B$10,Paramètres!$A$1:$I$89,5,0)</f>
        <v>256.94760000000025</v>
      </c>
      <c r="AK74" s="14">
        <f t="shared" si="89"/>
        <v>62.071283104858352</v>
      </c>
      <c r="AL74" s="22">
        <f t="shared" si="58"/>
        <v>555.62455474096203</v>
      </c>
      <c r="AM74" s="60">
        <f t="shared" si="59"/>
        <v>848.9578880742954</v>
      </c>
      <c r="AN74" s="60">
        <f ca="1">AVERAGE(OFFSET($AM$3,0,0,'Données projet'!$E$10+1,1))-AVERAGE(OFFSET($H$3,0,0,'Données projet'!$E$10+1,1))</f>
        <v>505.64100207870439</v>
      </c>
      <c r="AO74" s="60">
        <f t="shared" si="90"/>
        <v>371.76229669709249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1.4480342142904172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1.4480342142904172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4.4000000000000004</v>
      </c>
      <c r="BD74" s="13">
        <f>IF('Données projet'!$A$88&gt;35,BD73+BC74-BL73,IF(A74&lt;'Données projet'!$A$88,$BA$205^A74,IF(A74='Données projet'!$A$88,'Données projet'!$B$88,BD73+BC74-BL73)))</f>
        <v>306.39999999999969</v>
      </c>
      <c r="BE74" s="14">
        <f>BD74*VLOOKUP('Données projet'!$B$11,Paramètres!$A$1:$I$89,3,0)*VLOOKUP('Données projet'!$B$11,Paramètres!$A$1:$I$89,5,0)</f>
        <v>243.77183999999977</v>
      </c>
      <c r="BF74" s="14">
        <f t="shared" si="91"/>
        <v>59.250322254889134</v>
      </c>
      <c r="BG74" s="22">
        <f t="shared" si="61"/>
        <v>527.7635992605982</v>
      </c>
      <c r="BH74" s="60">
        <f t="shared" si="62"/>
        <v>821.09693259393157</v>
      </c>
      <c r="BI74" s="60">
        <f ca="1">AVERAGE(OFFSET($BH$3,0,0,'Données projet'!$E$11+1,1))-AVERAGE(OFFSET($H$3,0,0,'Données projet'!$E$11+1,1))</f>
        <v>353.26636241468884</v>
      </c>
      <c r="BJ74" s="60">
        <f t="shared" si="92"/>
        <v>345.4750813433123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1.9506650178146818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1.9506650178146818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5.1282051282051269</v>
      </c>
      <c r="BY74" s="13">
        <f>IF('Données projet'!$A$114&gt;35,BY73+BX74-CG73,IF(A74&lt;'Données projet'!$A$114,$BV$205^A74,IF(A74='Données projet'!$A$114,'Données projet'!$B$114,BY73+BX74-CG73)))</f>
        <v>282.69230769230774</v>
      </c>
      <c r="BZ74" s="14">
        <f>BY74*VLOOKUP('Données projet'!$B$12,Paramètres!$A$1:$I$89,3,0)*VLOOKUP('Données projet'!$B$12,Paramètres!$A$1:$I$89,5,0)</f>
        <v>189.63000000000002</v>
      </c>
      <c r="CA74" s="14">
        <f t="shared" si="93"/>
        <v>47.458141826690017</v>
      </c>
      <c r="CB74" s="22">
        <f t="shared" si="64"/>
        <v>412.92851368148513</v>
      </c>
      <c r="CC74" s="60">
        <f t="shared" si="65"/>
        <v>706.26184701481839</v>
      </c>
      <c r="CD74" s="60">
        <f ca="1">AVERAGE(OFFSET($CC$3,0,0,'Données projet'!$E$12+1,1))-AVERAGE(OFFSET($H$3,0,0,'Données projet'!$E$12+1,1))</f>
        <v>362.1372269575329</v>
      </c>
      <c r="CE74" s="60">
        <f t="shared" si="94"/>
        <v>308.1559670593121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0.98231033925068467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0.98231033925068467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230.60000000000008</v>
      </c>
      <c r="CU74" s="18">
        <f>CT74*VLOOKUP('Données projet'!$B$13,Paramètres!$A$1:$I$89,3,0)*VLOOKUP('Données projet'!$B$13,Paramètres!$A$1:$I$89,5,0)</f>
        <v>248.21784000000005</v>
      </c>
      <c r="CV74" s="14">
        <f t="shared" si="95"/>
        <v>60.204159359147035</v>
      </c>
      <c r="CW74" s="22">
        <f t="shared" si="67"/>
        <v>537.16831555051442</v>
      </c>
      <c r="CX74" s="60">
        <f t="shared" si="68"/>
        <v>830.50164888384779</v>
      </c>
      <c r="CY74" s="60">
        <f ca="1">AVERAGE(OFFSET($CX$3,0,0,'Données projet'!$E$13+1,1))-AVERAGE(OFFSET($H$3,0,0,'Données projet'!$E$13+1,1))</f>
        <v>488.44916315274139</v>
      </c>
      <c r="CZ74" s="60">
        <f t="shared" si="96"/>
        <v>348.17941150148209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1.275502478119642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1.275502478119642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7.8425925925925934</v>
      </c>
      <c r="N75" s="14">
        <f>IF('Données projet'!$A$36&gt;35,N74+M75-V74,IF(A75&lt;'Données projet'!$A$36,$K$205^A75,IF(A75='Données projet'!$A$36,'Données projet'!$B$36,N74+M75-V74)))</f>
        <v>211.27207977207976</v>
      </c>
      <c r="O75" s="14">
        <f>N75*VLOOKUP('Données projet'!$B$9,Paramètres!$A$1:$I$89,3,0)*VLOOKUP('Données projet'!$B$9,Paramètres!$A$1:$I$89,5,0)</f>
        <v>191.15897777777778</v>
      </c>
      <c r="P75" s="14">
        <f t="shared" si="87"/>
        <v>47.796095622022946</v>
      </c>
      <c r="Q75" s="22">
        <f t="shared" si="54"/>
        <v>416.18008617131954</v>
      </c>
      <c r="R75" s="60">
        <f t="shared" si="55"/>
        <v>709.5134195046528</v>
      </c>
      <c r="S75" s="60">
        <f ca="1">AVERAGE(OFFSET($R$3,0,0,'Données projet'!$E$9+1,1))-AVERAGE(OFFSET($H$3,0,0,'Données projet'!$E$9+1,1))</f>
        <v>319.72731970820928</v>
      </c>
      <c r="T75" s="60">
        <f t="shared" si="88"/>
        <v>279.93992813630513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8.4</v>
      </c>
      <c r="AI75" s="14">
        <f>IF('Données projet'!$A$62&gt;35,AI74+AH75-AQ74,IF(A75&lt;'Données projet'!$A$62,$AF$205^A75,IF(A75='Données projet'!$A$62,'Données projet'!$B$62,AI74+AH75-AQ74)))</f>
        <v>261.80000000000018</v>
      </c>
      <c r="AJ75" s="14">
        <f>AI75*VLOOKUP('Données projet'!$B$10,Paramètres!$A$1:$I$89,3,0)*VLOOKUP('Données projet'!$B$10,Paramètres!$A$1:$I$89,5,0)</f>
        <v>265.46520000000021</v>
      </c>
      <c r="AK75" s="14">
        <f t="shared" si="89"/>
        <v>63.885923598206411</v>
      </c>
      <c r="AL75" s="22">
        <f t="shared" si="58"/>
        <v>573.61987360020987</v>
      </c>
      <c r="AM75" s="60">
        <f t="shared" si="59"/>
        <v>866.95320693354324</v>
      </c>
      <c r="AN75" s="60">
        <f ca="1">AVERAGE(OFFSET($AM$3,0,0,'Données projet'!$E$10+1,1))-AVERAGE(OFFSET($H$3,0,0,'Données projet'!$E$10+1,1))</f>
        <v>505.64100207870439</v>
      </c>
      <c r="AO75" s="60">
        <f t="shared" si="90"/>
        <v>371.76229669709249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1.4084376425518359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1.4084376425518359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4.4000000000000004</v>
      </c>
      <c r="BD75" s="13">
        <f>IF('Données projet'!$A$88&gt;35,BD74+BC75-BL74,IF(A75&lt;'Données projet'!$A$88,$BA$205^A75,IF(A75='Données projet'!$A$88,'Données projet'!$B$88,BD74+BC75-BL74)))</f>
        <v>310.79999999999967</v>
      </c>
      <c r="BE75" s="14">
        <f>BD75*VLOOKUP('Données projet'!$B$11,Paramètres!$A$1:$I$89,3,0)*VLOOKUP('Données projet'!$B$11,Paramètres!$A$1:$I$89,5,0)</f>
        <v>247.27247999999975</v>
      </c>
      <c r="BF75" s="14">
        <f t="shared" si="91"/>
        <v>60.001511123918704</v>
      </c>
      <c r="BG75" s="22">
        <f t="shared" si="61"/>
        <v>535.16886787415797</v>
      </c>
      <c r="BH75" s="60">
        <f t="shared" si="62"/>
        <v>828.50220120749123</v>
      </c>
      <c r="BI75" s="60">
        <f ca="1">AVERAGE(OFFSET($BH$3,0,0,'Données projet'!$E$11+1,1))-AVERAGE(OFFSET($H$3,0,0,'Données projet'!$E$11+1,1))</f>
        <v>353.26636241468884</v>
      </c>
      <c r="BJ75" s="60">
        <f t="shared" si="92"/>
        <v>345.4750813433123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1.8973239803215243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1.8973239803215243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5.1282051282051269</v>
      </c>
      <c r="BY75" s="13">
        <f>IF('Données projet'!$A$114&gt;35,BY74+BX75-CG74,IF(A75&lt;'Données projet'!$A$114,$BV$205^A75,IF(A75='Données projet'!$A$114,'Données projet'!$B$114,BY74+BX75-CG74)))</f>
        <v>287.82051282051287</v>
      </c>
      <c r="BZ75" s="14">
        <f>BY75*VLOOKUP('Données projet'!$B$12,Paramètres!$A$1:$I$89,3,0)*VLOOKUP('Données projet'!$B$12,Paramètres!$A$1:$I$89,5,0)</f>
        <v>193.07000000000005</v>
      </c>
      <c r="CA75" s="14">
        <f t="shared" si="93"/>
        <v>48.218051794342536</v>
      </c>
      <c r="CB75" s="22">
        <f t="shared" si="64"/>
        <v>420.24335687514667</v>
      </c>
      <c r="CC75" s="60">
        <f t="shared" si="65"/>
        <v>713.57669020847993</v>
      </c>
      <c r="CD75" s="60">
        <f ca="1">AVERAGE(OFFSET($CC$3,0,0,'Données projet'!$E$12+1,1))-AVERAGE(OFFSET($H$3,0,0,'Données projet'!$E$12+1,1))</f>
        <v>362.1372269575329</v>
      </c>
      <c r="CE75" s="60">
        <f t="shared" si="94"/>
        <v>308.1559670593121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0.95544901136641902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0.95544901136641902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238.20000000000007</v>
      </c>
      <c r="CU75" s="18">
        <f>CT75*VLOOKUP('Données projet'!$B$13,Paramètres!$A$1:$I$89,3,0)*VLOOKUP('Données projet'!$B$13,Paramètres!$A$1:$I$89,5,0)</f>
        <v>256.39848000000006</v>
      </c>
      <c r="CV75" s="14">
        <f t="shared" si="95"/>
        <v>61.954057310844981</v>
      </c>
      <c r="CW75" s="22">
        <f t="shared" si="67"/>
        <v>554.46400248305508</v>
      </c>
      <c r="CX75" s="60">
        <f t="shared" si="68"/>
        <v>847.79733581638834</v>
      </c>
      <c r="CY75" s="60">
        <f ca="1">AVERAGE(OFFSET($CX$3,0,0,'Données projet'!$E$13+1,1))-AVERAGE(OFFSET($H$3,0,0,'Données projet'!$E$13+1,1))</f>
        <v>488.44916315274139</v>
      </c>
      <c r="CZ75" s="60">
        <f t="shared" si="96"/>
        <v>348.17941150148209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1.2406237957797004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1.2406237957797004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7.8425925925925934</v>
      </c>
      <c r="N76" s="14">
        <f>IF('Données projet'!$A$36&gt;35,N75+M76-V75,IF(A76&lt;'Données projet'!$A$36,$K$205^A76,IF(A76='Données projet'!$A$36,'Données projet'!$B$36,N75+M76-V75)))</f>
        <v>219.11467236467234</v>
      </c>
      <c r="O76" s="14">
        <f>N76*VLOOKUP('Données projet'!$B$9,Paramètres!$A$1:$I$89,3,0)*VLOOKUP('Données projet'!$B$9,Paramètres!$A$1:$I$89,5,0)</f>
        <v>198.25495555555554</v>
      </c>
      <c r="P76" s="14">
        <f t="shared" si="87"/>
        <v>49.360464390082761</v>
      </c>
      <c r="Q76" s="22">
        <f t="shared" si="54"/>
        <v>431.26352307198675</v>
      </c>
      <c r="R76" s="60">
        <f t="shared" si="55"/>
        <v>724.59685640532007</v>
      </c>
      <c r="S76" s="60">
        <f ca="1">AVERAGE(OFFSET($R$3,0,0,'Données projet'!$E$9+1,1))-AVERAGE(OFFSET($H$3,0,0,'Données projet'!$E$9+1,1))</f>
        <v>319.72731970820928</v>
      </c>
      <c r="T76" s="60">
        <f t="shared" si="88"/>
        <v>279.93992813630513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8.4</v>
      </c>
      <c r="AI76" s="14">
        <f>IF('Données projet'!$A$62&gt;35,AI75+AH76-AQ75,IF(A76&lt;'Données projet'!$A$62,$AF$205^A76,IF(A76='Données projet'!$A$62,'Données projet'!$B$62,AI75+AH76-AQ75)))</f>
        <v>270.20000000000016</v>
      </c>
      <c r="AJ76" s="14">
        <f>AI76*VLOOKUP('Données projet'!$B$10,Paramètres!$A$1:$I$89,3,0)*VLOOKUP('Données projet'!$B$10,Paramètres!$A$1:$I$89,5,0)</f>
        <v>273.98280000000017</v>
      </c>
      <c r="AK76" s="14">
        <f t="shared" si="89"/>
        <v>65.69379825947783</v>
      </c>
      <c r="AL76" s="22">
        <f t="shared" si="58"/>
        <v>591.60340863525744</v>
      </c>
      <c r="AM76" s="60">
        <f t="shared" si="59"/>
        <v>884.9367419685907</v>
      </c>
      <c r="AN76" s="60">
        <f ca="1">AVERAGE(OFFSET($AM$3,0,0,'Données projet'!$E$10+1,1))-AVERAGE(OFFSET($H$3,0,0,'Données projet'!$E$10+1,1))</f>
        <v>505.64100207870439</v>
      </c>
      <c r="AO76" s="60">
        <f t="shared" si="90"/>
        <v>371.76229669709249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1.3699238411497394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1.3699238411497394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4.4000000000000004</v>
      </c>
      <c r="BD76" s="13">
        <f>IF('Données projet'!$A$88&gt;35,BD75+BC76-BL75,IF(A76&lt;'Données projet'!$A$88,$BA$205^A76,IF(A76='Données projet'!$A$88,'Données projet'!$B$88,BD75+BC76-BL75)))</f>
        <v>315.19999999999965</v>
      </c>
      <c r="BE76" s="14">
        <f>BD76*VLOOKUP('Données projet'!$B$11,Paramètres!$A$1:$I$89,3,0)*VLOOKUP('Données projet'!$B$11,Paramètres!$A$1:$I$89,5,0)</f>
        <v>250.77311999999972</v>
      </c>
      <c r="BF76" s="14">
        <f t="shared" si="91"/>
        <v>60.75146310218134</v>
      </c>
      <c r="BG76" s="22">
        <f t="shared" si="61"/>
        <v>542.57198223629871</v>
      </c>
      <c r="BH76" s="60">
        <f t="shared" si="62"/>
        <v>835.90531556963197</v>
      </c>
      <c r="BI76" s="60">
        <f ca="1">AVERAGE(OFFSET($BH$3,0,0,'Données projet'!$E$11+1,1))-AVERAGE(OFFSET($H$3,0,0,'Données projet'!$E$11+1,1))</f>
        <v>353.26636241468884</v>
      </c>
      <c r="BJ76" s="60">
        <f t="shared" si="92"/>
        <v>345.4750813433123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1.8454415563037005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1.8454415563037005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5.1282051282051269</v>
      </c>
      <c r="BY76" s="13">
        <f>IF('Données projet'!$A$114&gt;35,BY75+BX76-CG75,IF(A76&lt;'Données projet'!$A$114,$BV$205^A76,IF(A76='Données projet'!$A$114,'Données projet'!$B$114,BY75+BX76-CG75)))</f>
        <v>292.94871794871801</v>
      </c>
      <c r="BZ76" s="14">
        <f>BY76*VLOOKUP('Données projet'!$B$12,Paramètres!$A$1:$I$89,3,0)*VLOOKUP('Données projet'!$B$12,Paramètres!$A$1:$I$89,5,0)</f>
        <v>196.51000000000005</v>
      </c>
      <c r="CA76" s="14">
        <f t="shared" si="93"/>
        <v>48.976387297804322</v>
      </c>
      <c r="CB76" s="22">
        <f t="shared" si="64"/>
        <v>427.55545787700925</v>
      </c>
      <c r="CC76" s="60">
        <f t="shared" si="65"/>
        <v>720.88879121034256</v>
      </c>
      <c r="CD76" s="60">
        <f ca="1">AVERAGE(OFFSET($CC$3,0,0,'Données projet'!$E$12+1,1))-AVERAGE(OFFSET($H$3,0,0,'Données projet'!$E$12+1,1))</f>
        <v>362.1372269575329</v>
      </c>
      <c r="CE76" s="60">
        <f t="shared" si="94"/>
        <v>308.1559670593121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0.92932220790572451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0.92932220790572451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245.80000000000007</v>
      </c>
      <c r="CU76" s="18">
        <f>CT76*VLOOKUP('Données projet'!$B$13,Paramètres!$A$1:$I$89,3,0)*VLOOKUP('Données projet'!$B$13,Paramètres!$A$1:$I$89,5,0)</f>
        <v>264.57912000000005</v>
      </c>
      <c r="CV76" s="14">
        <f t="shared" si="95"/>
        <v>63.697467287221869</v>
      </c>
      <c r="CW76" s="22">
        <f t="shared" si="67"/>
        <v>571.74838952524476</v>
      </c>
      <c r="CX76" s="60">
        <f t="shared" si="68"/>
        <v>865.08172285857813</v>
      </c>
      <c r="CY76" s="60">
        <f ca="1">AVERAGE(OFFSET($CX$3,0,0,'Données projet'!$E$13+1,1))-AVERAGE(OFFSET($H$3,0,0,'Données projet'!$E$13+1,1))</f>
        <v>488.44916315274139</v>
      </c>
      <c r="CZ76" s="60">
        <f t="shared" si="96"/>
        <v>348.17941150148209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1.2066988728425345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1.2066988728425345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7.8425925925925934</v>
      </c>
      <c r="N77" s="14">
        <f>IF('Données projet'!$A$36&gt;35,N76+M77-V76,IF(A77&lt;'Données projet'!$A$36,$K$205^A77,IF(A77='Données projet'!$A$36,'Données projet'!$B$36,N76+M77-V76)))</f>
        <v>226.95726495726493</v>
      </c>
      <c r="O77" s="14">
        <f>N77*VLOOKUP('Données projet'!$B$9,Paramètres!$A$1:$I$89,3,0)*VLOOKUP('Données projet'!$B$9,Paramètres!$A$1:$I$89,5,0)</f>
        <v>205.35093333333327</v>
      </c>
      <c r="P77" s="14">
        <f t="shared" si="87"/>
        <v>50.91832775961656</v>
      </c>
      <c r="Q77" s="22">
        <f t="shared" si="54"/>
        <v>446.33562973688754</v>
      </c>
      <c r="R77" s="60">
        <f t="shared" si="55"/>
        <v>739.6689630702208</v>
      </c>
      <c r="S77" s="60">
        <f ca="1">AVERAGE(OFFSET($R$3,0,0,'Données projet'!$E$9+1,1))-AVERAGE(OFFSET($H$3,0,0,'Données projet'!$E$9+1,1))</f>
        <v>319.72731970820928</v>
      </c>
      <c r="T77" s="60">
        <f t="shared" si="88"/>
        <v>279.93992813630513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8.4</v>
      </c>
      <c r="AI77" s="14">
        <f>IF('Données projet'!$A$62&gt;35,AI76+AH77-AQ76,IF(A77&lt;'Données projet'!$A$62,$AF$205^A77,IF(A77='Données projet'!$A$62,'Données projet'!$B$62,AI76+AH77-AQ76)))</f>
        <v>278.60000000000014</v>
      </c>
      <c r="AJ77" s="14">
        <f>AI77*VLOOKUP('Données projet'!$B$10,Paramètres!$A$1:$I$89,3,0)*VLOOKUP('Données projet'!$B$10,Paramètres!$A$1:$I$89,5,0)</f>
        <v>282.50040000000013</v>
      </c>
      <c r="AK77" s="14">
        <f t="shared" si="89"/>
        <v>67.495141560894439</v>
      </c>
      <c r="AL77" s="22">
        <f t="shared" si="58"/>
        <v>609.57556821855803</v>
      </c>
      <c r="AM77" s="60">
        <f t="shared" si="59"/>
        <v>902.9089015518914</v>
      </c>
      <c r="AN77" s="60">
        <f ca="1">AVERAGE(OFFSET($AM$3,0,0,'Données projet'!$E$10+1,1))-AVERAGE(OFFSET($H$3,0,0,'Données projet'!$E$10+1,1))</f>
        <v>505.64100207870439</v>
      </c>
      <c r="AO77" s="60">
        <f t="shared" si="90"/>
        <v>371.76229669709249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1.3324632016723359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1.3324632016723359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4.4000000000000004</v>
      </c>
      <c r="BD77" s="13">
        <f>IF('Données projet'!$A$88&gt;35,BD76+BC77-BL76,IF(A77&lt;'Données projet'!$A$88,$BA$205^A77,IF(A77='Données projet'!$A$88,'Données projet'!$B$88,BD76+BC77-BL76)))</f>
        <v>319.59999999999962</v>
      </c>
      <c r="BE77" s="14">
        <f>BD77*VLOOKUP('Données projet'!$B$11,Paramètres!$A$1:$I$89,3,0)*VLOOKUP('Données projet'!$B$11,Paramètres!$A$1:$I$89,5,0)</f>
        <v>254.27375999999973</v>
      </c>
      <c r="BF77" s="14">
        <f t="shared" si="91"/>
        <v>61.500197451316204</v>
      </c>
      <c r="BG77" s="22">
        <f t="shared" si="61"/>
        <v>549.97297589437528</v>
      </c>
      <c r="BH77" s="60">
        <f t="shared" si="62"/>
        <v>843.30630922770865</v>
      </c>
      <c r="BI77" s="60">
        <f ca="1">AVERAGE(OFFSET($BH$3,0,0,'Données projet'!$E$11+1,1))-AVERAGE(OFFSET($H$3,0,0,'Données projet'!$E$11+1,1))</f>
        <v>353.26636241468884</v>
      </c>
      <c r="BJ77" s="60">
        <f t="shared" si="92"/>
        <v>345.4750813433123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1.7949778598990223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1.7949778598990223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5.1282051282051269</v>
      </c>
      <c r="BY77" s="13">
        <f>IF('Données projet'!$A$114&gt;35,BY76+BX77-CG76,IF(A77&lt;'Données projet'!$A$114,$BV$205^A77,IF(A77='Données projet'!$A$114,'Données projet'!$B$114,BY76+BX77-CG76)))</f>
        <v>298.07692307692315</v>
      </c>
      <c r="BZ77" s="14">
        <f>BY77*VLOOKUP('Données projet'!$B$12,Paramètres!$A$1:$I$89,3,0)*VLOOKUP('Données projet'!$B$12,Paramètres!$A$1:$I$89,5,0)</f>
        <v>199.95000000000007</v>
      </c>
      <c r="CA77" s="14">
        <f t="shared" si="93"/>
        <v>49.733179078835313</v>
      </c>
      <c r="CB77" s="22">
        <f t="shared" si="64"/>
        <v>434.8648702289716</v>
      </c>
      <c r="CC77" s="60">
        <f t="shared" si="65"/>
        <v>728.19820356230491</v>
      </c>
      <c r="CD77" s="60">
        <f ca="1">AVERAGE(OFFSET($CC$3,0,0,'Données projet'!$E$12+1,1))-AVERAGE(OFFSET($H$3,0,0,'Données projet'!$E$12+1,1))</f>
        <v>362.1372269575329</v>
      </c>
      <c r="CE77" s="60">
        <f t="shared" si="94"/>
        <v>308.1559670593121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0.90390984325961155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0.90390984325961155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253.40000000000006</v>
      </c>
      <c r="CU77" s="18">
        <f>CT77*VLOOKUP('Données projet'!$B$13,Paramètres!$A$1:$I$89,3,0)*VLOOKUP('Données projet'!$B$13,Paramètres!$A$1:$I$89,5,0)</f>
        <v>272.75976000000009</v>
      </c>
      <c r="CV77" s="14">
        <f t="shared" si="95"/>
        <v>65.434612913022562</v>
      </c>
      <c r="CW77" s="22">
        <f t="shared" si="67"/>
        <v>589.02186615684775</v>
      </c>
      <c r="CX77" s="60">
        <f t="shared" si="68"/>
        <v>882.35519949018112</v>
      </c>
      <c r="CY77" s="60">
        <f ca="1">AVERAGE(OFFSET($CX$3,0,0,'Données projet'!$E$13+1,1))-AVERAGE(OFFSET($H$3,0,0,'Données projet'!$E$13+1,1))</f>
        <v>488.44916315274139</v>
      </c>
      <c r="CZ77" s="60">
        <f t="shared" si="96"/>
        <v>348.17941150148209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1.1737016287071196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1.1737016287071196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7.8425925925925934</v>
      </c>
      <c r="N78" s="14">
        <f>IF('Données projet'!$A$36&gt;35,N77+M78-V77,IF(A78&lt;'Données projet'!$A$36,$K$205^A78,IF(A78='Données projet'!$A$36,'Données projet'!$B$36,N77+M78-V77)))</f>
        <v>234.79985754985751</v>
      </c>
      <c r="O78" s="14">
        <f>N78*VLOOKUP('Données projet'!$B$9,Paramètres!$A$1:$I$89,3,0)*VLOOKUP('Données projet'!$B$9,Paramètres!$A$1:$I$89,5,0)</f>
        <v>212.44691111111109</v>
      </c>
      <c r="P78" s="14">
        <f t="shared" si="87"/>
        <v>52.469936290697454</v>
      </c>
      <c r="Q78" s="22">
        <f t="shared" si="54"/>
        <v>461.3968425581499</v>
      </c>
      <c r="R78" s="60">
        <f t="shared" si="55"/>
        <v>754.73017589148321</v>
      </c>
      <c r="S78" s="60">
        <f ca="1">AVERAGE(OFFSET($R$3,0,0,'Données projet'!$E$9+1,1))-AVERAGE(OFFSET($H$3,0,0,'Données projet'!$E$9+1,1))</f>
        <v>319.72731970820928</v>
      </c>
      <c r="T78" s="60">
        <f t="shared" si="88"/>
        <v>279.93992813630513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287</v>
      </c>
      <c r="AG78" s="13">
        <f>VLOOKUP(A78,'Données projet'!$A$61:$I$81,9,0)</f>
        <v>8.4</v>
      </c>
      <c r="AH78" s="13">
        <f t="array" ref="AH78">INDEX(AG:AG,MIN(IF(ISNUMBER(AG78:AG274),ROW(AG78:AG274),"")))</f>
        <v>8.4</v>
      </c>
      <c r="AI78" s="14">
        <f>IF('Données projet'!$A$62&gt;35,AI77+AH78-AQ77,IF(A78&lt;'Données projet'!$A$62,$AF$205^A78,IF(A78='Données projet'!$A$62,'Données projet'!$B$62,AI77+AH78-AQ77)))</f>
        <v>287.00000000000011</v>
      </c>
      <c r="AJ78" s="14">
        <f>AI78*VLOOKUP('Données projet'!$B$10,Paramètres!$A$1:$I$89,3,0)*VLOOKUP('Données projet'!$B$10,Paramètres!$A$1:$I$89,5,0)</f>
        <v>291.01800000000014</v>
      </c>
      <c r="AK78" s="14">
        <f t="shared" si="89"/>
        <v>69.290173032120919</v>
      </c>
      <c r="AL78" s="22">
        <f t="shared" si="58"/>
        <v>627.53673469761077</v>
      </c>
      <c r="AM78" s="60">
        <f t="shared" si="59"/>
        <v>920.87006803094414</v>
      </c>
      <c r="AN78" s="60">
        <f ca="1">AVERAGE(OFFSET($AM$3,0,0,'Données projet'!$E$10+1,1))-AVERAGE(OFFSET($H$3,0,0,'Données projet'!$E$10+1,1))</f>
        <v>505.64100207870439</v>
      </c>
      <c r="AO78" s="60">
        <f t="shared" si="90"/>
        <v>371.76229669709249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1.2960269253514114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1.2960269253514114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324</v>
      </c>
      <c r="BB78" s="13">
        <f>VLOOKUP(A78,'Données projet'!$A$87:$I$107,9,0)</f>
        <v>4.4000000000000004</v>
      </c>
      <c r="BC78" s="13">
        <f t="array" ref="BC78">INDEX(BB:BB,MIN(IF(ISNUMBER(BB78:BB274),ROW(BB78:BB274),"")))</f>
        <v>4.4000000000000004</v>
      </c>
      <c r="BD78" s="13">
        <f>IF('Données projet'!$A$88&gt;35,BD77+BC78-BL77,IF(A78&lt;'Données projet'!$A$88,$BA$205^A78,IF(A78='Données projet'!$A$88,'Données projet'!$B$88,BD77+BC78-BL77)))</f>
        <v>323.9999999999996</v>
      </c>
      <c r="BE78" s="14">
        <f>BD78*VLOOKUP('Données projet'!$B$11,Paramètres!$A$1:$I$89,3,0)*VLOOKUP('Données projet'!$B$11,Paramètres!$A$1:$I$89,5,0)</f>
        <v>257.77439999999973</v>
      </c>
      <c r="BF78" s="14">
        <f t="shared" si="91"/>
        <v>62.247732872134243</v>
      </c>
      <c r="BG78" s="22">
        <f t="shared" si="61"/>
        <v>557.37188141896661</v>
      </c>
      <c r="BH78" s="60">
        <f t="shared" si="62"/>
        <v>850.70521475229998</v>
      </c>
      <c r="BI78" s="60">
        <f ca="1">AVERAGE(OFFSET($BH$3,0,0,'Données projet'!$E$11+1,1))-AVERAGE(OFFSET($H$3,0,0,'Données projet'!$E$11+1,1))</f>
        <v>353.26636241468884</v>
      </c>
      <c r="BJ78" s="60">
        <f t="shared" si="92"/>
        <v>345.4750813433123</v>
      </c>
      <c r="BK78" s="16">
        <f>IF(ISNA(VLOOKUP(A78,'Données projet'!$A$87:$I$107,3,0)),0,VLOOKUP(A78,'Données projet'!$A$87:$I$107,3,0))</f>
        <v>13</v>
      </c>
      <c r="BL78" s="16">
        <f>IF(ISNA(VLOOKUP(A78,'Données projet'!$A$87:$I$107,4,0)),0,VLOOKUP(A78,'Données projet'!$A$87:$I$107,4,0))</f>
        <v>12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1.7458940959263003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1.7458940959263003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303.20512820512818</v>
      </c>
      <c r="BW78" s="13">
        <f>VLOOKUP(A78,'Données projet'!$A$113:$I$133,9,0)</f>
        <v>5.1282051282051269</v>
      </c>
      <c r="BX78" s="13">
        <f t="array" ref="BX78">INDEX(BW:BW,MIN(IF(ISNUMBER(BW78:BW274),ROW(BW78:BW274),"")))</f>
        <v>5.1282051282051269</v>
      </c>
      <c r="BY78" s="13">
        <f>IF('Données projet'!$A$114&gt;35,BY77+BX78-CG77,IF(A78&lt;'Données projet'!$A$114,$BV$205^A78,IF(A78='Données projet'!$A$114,'Données projet'!$B$114,BY77+BX78-CG77)))</f>
        <v>303.20512820512829</v>
      </c>
      <c r="BZ78" s="14">
        <f>BY78*VLOOKUP('Données projet'!$B$12,Paramètres!$A$1:$I$89,3,0)*VLOOKUP('Données projet'!$B$12,Paramètres!$A$1:$I$89,5,0)</f>
        <v>203.39000000000007</v>
      </c>
      <c r="CA78" s="14">
        <f t="shared" si="93"/>
        <v>50.488456760806663</v>
      </c>
      <c r="CB78" s="22">
        <f t="shared" si="64"/>
        <v>442.17164552507165</v>
      </c>
      <c r="CC78" s="60">
        <f t="shared" si="65"/>
        <v>735.50497885840491</v>
      </c>
      <c r="CD78" s="60">
        <f ca="1">AVERAGE(OFFSET($CC$3,0,0,'Données projet'!$E$12+1,1))-AVERAGE(OFFSET($H$3,0,0,'Données projet'!$E$12+1,1))</f>
        <v>362.1372269575329</v>
      </c>
      <c r="CE78" s="60">
        <f t="shared" si="94"/>
        <v>308.1559670593121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0.87919238106112474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0.87919238106112474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261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261.00000000000006</v>
      </c>
      <c r="CU78" s="18">
        <f>CT78*VLOOKUP('Données projet'!$B$13,Paramètres!$A$1:$I$89,3,0)*VLOOKUP('Données projet'!$B$13,Paramètres!$A$1:$I$89,5,0)</f>
        <v>280.94040000000007</v>
      </c>
      <c r="CV78" s="14">
        <f t="shared" si="95"/>
        <v>67.165703636653262</v>
      </c>
      <c r="CW78" s="22">
        <f t="shared" si="67"/>
        <v>606.28479716717118</v>
      </c>
      <c r="CX78" s="60">
        <f t="shared" si="68"/>
        <v>899.61813050050455</v>
      </c>
      <c r="CY78" s="60">
        <f ca="1">AVERAGE(OFFSET($CX$3,0,0,'Données projet'!$E$13+1,1))-AVERAGE(OFFSET($H$3,0,0,'Données projet'!$E$13+1,1))</f>
        <v>488.44916315274139</v>
      </c>
      <c r="CZ78" s="60">
        <f t="shared" si="96"/>
        <v>348.17941150148209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1.1416066959478373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1.1416066959478373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7.8425925925925934</v>
      </c>
      <c r="N79" s="14">
        <f>IF('Données projet'!$A$36&gt;35,N78+M79-V78,IF(A79&lt;'Données projet'!$A$36,$K$205^A79,IF(A79='Données projet'!$A$36,'Données projet'!$B$36,N78+M79-V78)))</f>
        <v>242.64245014245009</v>
      </c>
      <c r="O79" s="14">
        <f>N79*VLOOKUP('Données projet'!$B$9,Paramètres!$A$1:$I$89,3,0)*VLOOKUP('Données projet'!$B$9,Paramètres!$A$1:$I$89,5,0)</f>
        <v>219.54288888888885</v>
      </c>
      <c r="P79" s="14">
        <f t="shared" si="87"/>
        <v>54.015522855627438</v>
      </c>
      <c r="Q79" s="22">
        <f t="shared" si="54"/>
        <v>476.44756712169919</v>
      </c>
      <c r="R79" s="60">
        <f t="shared" si="55"/>
        <v>769.78090045503245</v>
      </c>
      <c r="S79" s="60">
        <f ca="1">AVERAGE(OFFSET($R$3,0,0,'Données projet'!$E$9+1,1))-AVERAGE(OFFSET($H$3,0,0,'Données projet'!$E$9+1,1))</f>
        <v>319.72731970820928</v>
      </c>
      <c r="T79" s="60">
        <f t="shared" si="88"/>
        <v>279.93992813630513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</v>
      </c>
      <c r="AI79" s="14">
        <f>IF('Données projet'!$A$62&gt;35,AI78+AH79-AQ78,IF(A79&lt;'Données projet'!$A$62,$AF$205^A79,IF(A79='Données projet'!$A$62,'Données projet'!$B$62,AI78+AH79-AQ78)))</f>
        <v>295.00000000000011</v>
      </c>
      <c r="AJ79" s="14">
        <f>AI79*VLOOKUP('Données projet'!$B$10,Paramètres!$A$1:$I$89,3,0)*VLOOKUP('Données projet'!$B$10,Paramètres!$A$1:$I$89,5,0)</f>
        <v>299.13000000000017</v>
      </c>
      <c r="AK79" s="14">
        <f t="shared" si="89"/>
        <v>70.994047242337274</v>
      </c>
      <c r="AL79" s="22">
        <f t="shared" si="58"/>
        <v>644.63271561373767</v>
      </c>
      <c r="AM79" s="60">
        <f t="shared" si="59"/>
        <v>937.96604894707093</v>
      </c>
      <c r="AN79" s="60">
        <f ca="1">AVERAGE(OFFSET($AM$3,0,0,'Données projet'!$E$10+1,1))-AVERAGE(OFFSET($H$3,0,0,'Données projet'!$E$10+1,1))</f>
        <v>505.64100207870439</v>
      </c>
      <c r="AO79" s="60">
        <f t="shared" si="90"/>
        <v>371.76229669709249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1.2605870009225832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1.2605870009225832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315.59999999999962</v>
      </c>
      <c r="BE79" s="14">
        <f>BD79*VLOOKUP('Données projet'!$B$11,Paramètres!$A$1:$I$89,3,0)*VLOOKUP('Données projet'!$B$11,Paramètres!$A$1:$I$89,5,0)</f>
        <v>251.09135999999972</v>
      </c>
      <c r="BF79" s="14">
        <f t="shared" si="91"/>
        <v>60.81957989149398</v>
      </c>
      <c r="BG79" s="22">
        <f t="shared" si="61"/>
        <v>543.24488697768481</v>
      </c>
      <c r="BH79" s="60">
        <f t="shared" si="62"/>
        <v>836.57822031101819</v>
      </c>
      <c r="BI79" s="60">
        <f ca="1">AVERAGE(OFFSET($BH$3,0,0,'Données projet'!$E$11+1,1))-AVERAGE(OFFSET($H$3,0,0,'Données projet'!$E$11+1,1))</f>
        <v>353.26636241468884</v>
      </c>
      <c r="BJ79" s="60">
        <f t="shared" si="92"/>
        <v>345.4750813433123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1.6981525300606155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1.6981525300606155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4.7435897435897463</v>
      </c>
      <c r="BY79" s="13">
        <f>IF('Données projet'!$A$114&gt;35,BY78+BX79-CG78,IF(A79&lt;'Données projet'!$A$114,$BV$205^A79,IF(A79='Données projet'!$A$114,'Données projet'!$B$114,BY78+BX79-CG78)))</f>
        <v>307.94871794871801</v>
      </c>
      <c r="BZ79" s="14">
        <f>BY79*VLOOKUP('Données projet'!$B$12,Paramètres!$A$1:$I$89,3,0)*VLOOKUP('Données projet'!$B$12,Paramètres!$A$1:$I$89,5,0)</f>
        <v>206.57200000000006</v>
      </c>
      <c r="CA79" s="14">
        <f t="shared" si="93"/>
        <v>51.185765406859225</v>
      </c>
      <c r="CB79" s="22">
        <f t="shared" si="64"/>
        <v>448.92810808361315</v>
      </c>
      <c r="CC79" s="60">
        <f t="shared" si="65"/>
        <v>742.26144141694647</v>
      </c>
      <c r="CD79" s="60">
        <f ca="1">AVERAGE(OFFSET($CC$3,0,0,'Données projet'!$E$12+1,1))-AVERAGE(OFFSET($H$3,0,0,'Données projet'!$E$12+1,1))</f>
        <v>362.1372269575329</v>
      </c>
      <c r="CE79" s="60">
        <f t="shared" si="94"/>
        <v>308.1559670593121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0.85515081916629043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0.85515081916629043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</v>
      </c>
      <c r="CT79" s="13">
        <f>IF('Données projet'!$A$140&gt;35,CT78+CS79-DB78,IF(A79&lt;'Données projet'!$A$140,$CQ$205^A79,IF(A79='Données projet'!$A$140,'Données projet'!$B$140,CT78+CS79-DB78)))</f>
        <v>268.00000000000006</v>
      </c>
      <c r="CU79" s="18">
        <f>CT79*VLOOKUP('Données projet'!$B$13,Paramètres!$A$1:$I$89,3,0)*VLOOKUP('Données projet'!$B$13,Paramètres!$A$1:$I$89,5,0)</f>
        <v>288.47520000000003</v>
      </c>
      <c r="CV79" s="14">
        <f t="shared" si="95"/>
        <v>68.754942080410842</v>
      </c>
      <c r="CW79" s="22">
        <f t="shared" si="67"/>
        <v>622.17583079004885</v>
      </c>
      <c r="CX79" s="60">
        <f t="shared" si="68"/>
        <v>915.50916412338211</v>
      </c>
      <c r="CY79" s="60">
        <f ca="1">AVERAGE(OFFSET($CX$3,0,0,'Données projet'!$E$13+1,1))-AVERAGE(OFFSET($H$3,0,0,'Données projet'!$E$13+1,1))</f>
        <v>488.44916315274139</v>
      </c>
      <c r="CZ79" s="60">
        <f t="shared" si="96"/>
        <v>348.17941150148209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1.1103894008126567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1.1103894008126567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7.8425925925925934</v>
      </c>
      <c r="N80" s="14">
        <f>IF('Données projet'!$A$36&gt;35,N79+M80-V79,IF(A80&lt;'Données projet'!$A$36,$K$205^A80,IF(A80='Données projet'!$A$36,'Données projet'!$B$36,N79+M80-V79)))</f>
        <v>250.48504273504267</v>
      </c>
      <c r="O80" s="14">
        <f>N80*VLOOKUP('Données projet'!$B$9,Paramètres!$A$1:$I$89,3,0)*VLOOKUP('Données projet'!$B$9,Paramètres!$A$1:$I$89,5,0)</f>
        <v>226.63886666666662</v>
      </c>
      <c r="P80" s="14">
        <f t="shared" si="87"/>
        <v>55.555304418491211</v>
      </c>
      <c r="Q80" s="22">
        <f t="shared" si="54"/>
        <v>491.48818130664989</v>
      </c>
      <c r="R80" s="60">
        <f t="shared" si="55"/>
        <v>784.82151463998321</v>
      </c>
      <c r="S80" s="60">
        <f ca="1">AVERAGE(OFFSET($R$3,0,0,'Données projet'!$E$9+1,1))-AVERAGE(OFFSET($H$3,0,0,'Données projet'!$E$9+1,1))</f>
        <v>319.72731970820928</v>
      </c>
      <c r="T80" s="60">
        <f t="shared" si="88"/>
        <v>279.93992813630513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</v>
      </c>
      <c r="AI80" s="14">
        <f>IF('Données projet'!$A$62&gt;35,AI79+AH80-AQ79,IF(A80&lt;'Données projet'!$A$62,$AF$205^A80,IF(A80='Données projet'!$A$62,'Données projet'!$B$62,AI79+AH80-AQ79)))</f>
        <v>303.00000000000011</v>
      </c>
      <c r="AJ80" s="14">
        <f>AI80*VLOOKUP('Données projet'!$B$10,Paramètres!$A$1:$I$89,3,0)*VLOOKUP('Données projet'!$B$10,Paramètres!$A$1:$I$89,5,0)</f>
        <v>307.24200000000013</v>
      </c>
      <c r="AK80" s="14">
        <f t="shared" si="89"/>
        <v>72.692550770207774</v>
      </c>
      <c r="AL80" s="22">
        <f t="shared" si="58"/>
        <v>661.71934259144541</v>
      </c>
      <c r="AM80" s="60">
        <f t="shared" si="59"/>
        <v>955.05267592477867</v>
      </c>
      <c r="AN80" s="60">
        <f ca="1">AVERAGE(OFFSET($AM$3,0,0,'Données projet'!$E$10+1,1))-AVERAGE(OFFSET($H$3,0,0,'Données projet'!$E$10+1,1))</f>
        <v>505.64100207870439</v>
      </c>
      <c r="AO80" s="60">
        <f t="shared" si="90"/>
        <v>371.76229669709249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1.2261161830909659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1.2261161830909659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319.19999999999965</v>
      </c>
      <c r="BE80" s="14">
        <f>BD80*VLOOKUP('Données projet'!$B$11,Paramètres!$A$1:$I$89,3,0)*VLOOKUP('Données projet'!$B$11,Paramètres!$A$1:$I$89,5,0)</f>
        <v>253.95551999999975</v>
      </c>
      <c r="BF80" s="14">
        <f t="shared" si="91"/>
        <v>61.432180511879196</v>
      </c>
      <c r="BG80" s="22">
        <f t="shared" si="61"/>
        <v>549.30024505818915</v>
      </c>
      <c r="BH80" s="60">
        <f t="shared" si="62"/>
        <v>842.63357839152241</v>
      </c>
      <c r="BI80" s="60">
        <f ca="1">AVERAGE(OFFSET($BH$3,0,0,'Données projet'!$E$11+1,1))-AVERAGE(OFFSET($H$3,0,0,'Données projet'!$E$11+1,1))</f>
        <v>353.26636241468884</v>
      </c>
      <c r="BJ80" s="60">
        <f t="shared" si="92"/>
        <v>345.4750813433123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1.6517164598241476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1.6517164598241476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4.7435897435897463</v>
      </c>
      <c r="BY80" s="13">
        <f>IF('Données projet'!$A$114&gt;35,BY79+BX80-CG79,IF(A80&lt;'Données projet'!$A$114,$BV$205^A80,IF(A80='Données projet'!$A$114,'Données projet'!$B$114,BY79+BX80-CG79)))</f>
        <v>312.69230769230774</v>
      </c>
      <c r="BZ80" s="14">
        <f>BY80*VLOOKUP('Données projet'!$B$12,Paramètres!$A$1:$I$89,3,0)*VLOOKUP('Données projet'!$B$12,Paramètres!$A$1:$I$89,5,0)</f>
        <v>209.75400000000005</v>
      </c>
      <c r="CA80" s="14">
        <f t="shared" si="93"/>
        <v>51.881824842420912</v>
      </c>
      <c r="CB80" s="22">
        <f t="shared" si="64"/>
        <v>455.68239493388319</v>
      </c>
      <c r="CC80" s="60">
        <f t="shared" si="65"/>
        <v>749.01572826721645</v>
      </c>
      <c r="CD80" s="60">
        <f ca="1">AVERAGE(OFFSET($CC$3,0,0,'Données projet'!$E$12+1,1))-AVERAGE(OFFSET($H$3,0,0,'Données projet'!$E$12+1,1))</f>
        <v>362.1372269575329</v>
      </c>
      <c r="CE80" s="60">
        <f t="shared" si="94"/>
        <v>308.1559670593121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0.83176667504576107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0.83176667504576107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</v>
      </c>
      <c r="CT80" s="13">
        <f>IF('Données projet'!$A$140&gt;35,CT79+CS80-DB79,IF(A80&lt;'Données projet'!$A$140,$CQ$205^A80,IF(A80='Données projet'!$A$140,'Données projet'!$B$140,CT79+CS80-DB79)))</f>
        <v>275.00000000000006</v>
      </c>
      <c r="CU80" s="18">
        <f>CT80*VLOOKUP('Données projet'!$B$13,Paramètres!$A$1:$I$89,3,0)*VLOOKUP('Données projet'!$B$13,Paramètres!$A$1:$I$89,5,0)</f>
        <v>296.01000000000005</v>
      </c>
      <c r="CV80" s="14">
        <f t="shared" si="95"/>
        <v>70.339355522692159</v>
      </c>
      <c r="CW80" s="22">
        <f t="shared" si="67"/>
        <v>638.05846086868894</v>
      </c>
      <c r="CX80" s="60">
        <f t="shared" si="68"/>
        <v>931.39179420202231</v>
      </c>
      <c r="CY80" s="60">
        <f ca="1">AVERAGE(OFFSET($CX$3,0,0,'Données projet'!$E$13+1,1))-AVERAGE(OFFSET($H$3,0,0,'Données projet'!$E$13+1,1))</f>
        <v>488.44916315274139</v>
      </c>
      <c r="CZ80" s="60">
        <f t="shared" si="96"/>
        <v>348.17941150148209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1.0800257442545937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1.0800257442545937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7.8425925925925934</v>
      </c>
      <c r="N81" s="14">
        <f>IF('Données projet'!$A$36&gt;35,N80+M81-V80,IF(A81&lt;'Données projet'!$A$36,$K$205^A81,IF(A81='Données projet'!$A$36,'Données projet'!$B$36,N80+M81-V80)))</f>
        <v>258.32763532763528</v>
      </c>
      <c r="O81" s="14">
        <f>N81*VLOOKUP('Données projet'!$B$9,Paramètres!$A$1:$I$89,3,0)*VLOOKUP('Données projet'!$B$9,Paramètres!$A$1:$I$89,5,0)</f>
        <v>233.73484444444438</v>
      </c>
      <c r="P81" s="14">
        <f t="shared" si="87"/>
        <v>57.089483585580737</v>
      </c>
      <c r="Q81" s="22">
        <f t="shared" si="54"/>
        <v>506.51903798562699</v>
      </c>
      <c r="R81" s="60">
        <f t="shared" si="55"/>
        <v>799.85237131896031</v>
      </c>
      <c r="S81" s="60">
        <f ca="1">AVERAGE(OFFSET($R$3,0,0,'Données projet'!$E$9+1,1))-AVERAGE(OFFSET($H$3,0,0,'Données projet'!$E$9+1,1))</f>
        <v>319.72731970820928</v>
      </c>
      <c r="T81" s="60">
        <f t="shared" si="88"/>
        <v>279.93992813630513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</v>
      </c>
      <c r="AI81" s="14">
        <f>IF('Données projet'!$A$62&gt;35,AI80+AH81-AQ80,IF(A81&lt;'Données projet'!$A$62,$AF$205^A81,IF(A81='Données projet'!$A$62,'Données projet'!$B$62,AI80+AH81-AQ80)))</f>
        <v>311.00000000000011</v>
      </c>
      <c r="AJ81" s="14">
        <f>AI81*VLOOKUP('Données projet'!$B$10,Paramètres!$A$1:$I$89,3,0)*VLOOKUP('Données projet'!$B$10,Paramètres!$A$1:$I$89,5,0)</f>
        <v>315.35400000000016</v>
      </c>
      <c r="AK81" s="14">
        <f t="shared" si="89"/>
        <v>74.385841715644858</v>
      </c>
      <c r="AL81" s="22">
        <f t="shared" si="58"/>
        <v>678.79689098808171</v>
      </c>
      <c r="AM81" s="60">
        <f t="shared" si="59"/>
        <v>972.13022432141497</v>
      </c>
      <c r="AN81" s="60">
        <f ca="1">AVERAGE(OFFSET($AM$3,0,0,'Données projet'!$E$10+1,1))-AVERAGE(OFFSET($H$3,0,0,'Données projet'!$E$10+1,1))</f>
        <v>505.64100207870439</v>
      </c>
      <c r="AO81" s="60">
        <f t="shared" si="90"/>
        <v>371.76229669709249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1.1925879715856957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1.1925879715856957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322.79999999999967</v>
      </c>
      <c r="BE81" s="14">
        <f>BD81*VLOOKUP('Données projet'!$B$11,Paramètres!$A$1:$I$89,3,0)*VLOOKUP('Données projet'!$B$11,Paramètres!$A$1:$I$89,5,0)</f>
        <v>256.81967999999978</v>
      </c>
      <c r="BF81" s="14">
        <f t="shared" si="91"/>
        <v>62.043977430851903</v>
      </c>
      <c r="BG81" s="22">
        <f t="shared" si="61"/>
        <v>555.35420335873334</v>
      </c>
      <c r="BH81" s="60">
        <f t="shared" si="62"/>
        <v>848.68753669206671</v>
      </c>
      <c r="BI81" s="60">
        <f ca="1">AVERAGE(OFFSET($BH$3,0,0,'Données projet'!$E$11+1,1))-AVERAGE(OFFSET($H$3,0,0,'Données projet'!$E$11+1,1))</f>
        <v>353.26636241468884</v>
      </c>
      <c r="BJ81" s="60">
        <f t="shared" si="92"/>
        <v>345.4750813433123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1.6065501863702627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1.6065501863702627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4.7435897435897463</v>
      </c>
      <c r="BY81" s="13">
        <f>IF('Données projet'!$A$114&gt;35,BY80+BX81-CG80,IF(A81&lt;'Données projet'!$A$114,$BV$205^A81,IF(A81='Données projet'!$A$114,'Données projet'!$B$114,BY80+BX81-CG80)))</f>
        <v>317.43589743589746</v>
      </c>
      <c r="BZ81" s="14">
        <f>BY81*VLOOKUP('Données projet'!$B$12,Paramètres!$A$1:$I$89,3,0)*VLOOKUP('Données projet'!$B$12,Paramètres!$A$1:$I$89,5,0)</f>
        <v>212.93600000000001</v>
      </c>
      <c r="CA81" s="14">
        <f t="shared" si="93"/>
        <v>52.576656207031739</v>
      </c>
      <c r="CB81" s="22">
        <f t="shared" si="64"/>
        <v>462.4345428939136</v>
      </c>
      <c r="CC81" s="60">
        <f t="shared" si="65"/>
        <v>755.76787622724692</v>
      </c>
      <c r="CD81" s="60">
        <f ca="1">AVERAGE(OFFSET($CC$3,0,0,'Données projet'!$E$12+1,1))-AVERAGE(OFFSET($H$3,0,0,'Données projet'!$E$12+1,1))</f>
        <v>362.1372269575329</v>
      </c>
      <c r="CE81" s="60">
        <f t="shared" si="94"/>
        <v>308.1559670593121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0.80902197157592637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0.80902197157592637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</v>
      </c>
      <c r="CT81" s="13">
        <f>IF('Données projet'!$A$140&gt;35,CT80+CS81-DB80,IF(A81&lt;'Données projet'!$A$140,$CQ$205^A81,IF(A81='Données projet'!$A$140,'Données projet'!$B$140,CT80+CS81-DB80)))</f>
        <v>282.00000000000006</v>
      </c>
      <c r="CU81" s="18">
        <f>CT81*VLOOKUP('Données projet'!$B$13,Paramètres!$A$1:$I$89,3,0)*VLOOKUP('Données projet'!$B$13,Paramètres!$A$1:$I$89,5,0)</f>
        <v>303.54480000000001</v>
      </c>
      <c r="CV81" s="14">
        <f t="shared" si="95"/>
        <v>71.919080904752505</v>
      </c>
      <c r="CW81" s="22">
        <f t="shared" si="67"/>
        <v>653.93292590911062</v>
      </c>
      <c r="CX81" s="60">
        <f t="shared" si="68"/>
        <v>947.26625924244399</v>
      </c>
      <c r="CY81" s="60">
        <f ca="1">AVERAGE(OFFSET($CX$3,0,0,'Données projet'!$E$13+1,1))-AVERAGE(OFFSET($H$3,0,0,'Données projet'!$E$13+1,1))</f>
        <v>488.44916315274139</v>
      </c>
      <c r="CZ81" s="60">
        <f t="shared" si="96"/>
        <v>348.17941150148209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1.0504923834818665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1.0504923834818665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7.8425925925925934</v>
      </c>
      <c r="N82" s="14">
        <f>IF('Données projet'!$A$36&gt;35,N81+M82-V81,IF(A82&lt;'Données projet'!$A$36,$K$205^A82,IF(A82='Données projet'!$A$36,'Données projet'!$B$36,N81+M82-V81)))</f>
        <v>266.17022792022789</v>
      </c>
      <c r="O82" s="14">
        <f>N82*VLOOKUP('Données projet'!$B$9,Paramètres!$A$1:$I$89,3,0)*VLOOKUP('Données projet'!$B$9,Paramètres!$A$1:$I$89,5,0)</f>
        <v>240.83082222222217</v>
      </c>
      <c r="P82" s="14">
        <f t="shared" si="87"/>
        <v>58.618249962252214</v>
      </c>
      <c r="Q82" s="22">
        <f t="shared" si="54"/>
        <v>521.54046738795955</v>
      </c>
      <c r="R82" s="60">
        <f t="shared" si="55"/>
        <v>814.87380072129281</v>
      </c>
      <c r="S82" s="60">
        <f ca="1">AVERAGE(OFFSET($R$3,0,0,'Données projet'!$E$9+1,1))-AVERAGE(OFFSET($H$3,0,0,'Données projet'!$E$9+1,1))</f>
        <v>319.72731970820928</v>
      </c>
      <c r="T82" s="60">
        <f t="shared" si="88"/>
        <v>279.93992813630513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</v>
      </c>
      <c r="AI82" s="14">
        <f>IF('Données projet'!$A$62&gt;35,AI81+AH82-AQ81,IF(A82&lt;'Données projet'!$A$62,$AF$205^A82,IF(A82='Données projet'!$A$62,'Données projet'!$B$62,AI81+AH82-AQ81)))</f>
        <v>319.00000000000011</v>
      </c>
      <c r="AJ82" s="14">
        <f>AI82*VLOOKUP('Données projet'!$B$10,Paramètres!$A$1:$I$89,3,0)*VLOOKUP('Données projet'!$B$10,Paramètres!$A$1:$I$89,5,0)</f>
        <v>323.46600000000012</v>
      </c>
      <c r="AK82" s="14">
        <f t="shared" si="89"/>
        <v>76.074069581431147</v>
      </c>
      <c r="AL82" s="22">
        <f t="shared" si="58"/>
        <v>695.86562118765949</v>
      </c>
      <c r="AM82" s="60">
        <f t="shared" si="59"/>
        <v>989.19895452099286</v>
      </c>
      <c r="AN82" s="60">
        <f ca="1">AVERAGE(OFFSET($AM$3,0,0,'Données projet'!$E$10+1,1))-AVERAGE(OFFSET($H$3,0,0,'Données projet'!$E$10+1,1))</f>
        <v>505.64100207870439</v>
      </c>
      <c r="AO82" s="60">
        <f t="shared" si="90"/>
        <v>371.76229669709249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1.159976590787209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1.159976590787209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326.39999999999969</v>
      </c>
      <c r="BE82" s="14">
        <f>BD82*VLOOKUP('Données projet'!$B$11,Paramètres!$A$1:$I$89,3,0)*VLOOKUP('Données projet'!$B$11,Paramètres!$A$1:$I$89,5,0)</f>
        <v>259.6838399999998</v>
      </c>
      <c r="BF82" s="14">
        <f t="shared" si="91"/>
        <v>62.654980648867301</v>
      </c>
      <c r="BG82" s="22">
        <f t="shared" si="61"/>
        <v>561.40677929677679</v>
      </c>
      <c r="BH82" s="60">
        <f t="shared" si="62"/>
        <v>854.74011263011016</v>
      </c>
      <c r="BI82" s="60">
        <f ca="1">AVERAGE(OFFSET($BH$3,0,0,'Données projet'!$E$11+1,1))-AVERAGE(OFFSET($H$3,0,0,'Données projet'!$E$11+1,1))</f>
        <v>353.26636241468884</v>
      </c>
      <c r="BJ82" s="60">
        <f t="shared" si="92"/>
        <v>345.4750813433123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1.5626189870391654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1.5626189870391654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4.7435897435897463</v>
      </c>
      <c r="BY82" s="13">
        <f>IF('Données projet'!$A$114&gt;35,BY81+BX82-CG81,IF(A82&lt;'Données projet'!$A$114,$BV$205^A82,IF(A82='Données projet'!$A$114,'Données projet'!$B$114,BY81+BX82-CG81)))</f>
        <v>322.17948717948718</v>
      </c>
      <c r="BZ82" s="14">
        <f>BY82*VLOOKUP('Données projet'!$B$12,Paramètres!$A$1:$I$89,3,0)*VLOOKUP('Données projet'!$B$12,Paramètres!$A$1:$I$89,5,0)</f>
        <v>216.11799999999999</v>
      </c>
      <c r="CA82" s="14">
        <f t="shared" si="93"/>
        <v>53.270279972172681</v>
      </c>
      <c r="CB82" s="22">
        <f t="shared" si="64"/>
        <v>469.18458761820074</v>
      </c>
      <c r="CC82" s="60">
        <f t="shared" si="65"/>
        <v>762.51792095153405</v>
      </c>
      <c r="CD82" s="60">
        <f ca="1">AVERAGE(OFFSET($CC$3,0,0,'Données projet'!$E$12+1,1))-AVERAGE(OFFSET($H$3,0,0,'Données projet'!$E$12+1,1))</f>
        <v>362.1372269575329</v>
      </c>
      <c r="CE82" s="60">
        <f t="shared" si="94"/>
        <v>308.1559670593121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0.7868992232185662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0.7868992232185662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</v>
      </c>
      <c r="CT82" s="13">
        <f>IF('Données projet'!$A$140&gt;35,CT81+CS82-DB81,IF(A82&lt;'Données projet'!$A$140,$CQ$205^A82,IF(A82='Données projet'!$A$140,'Données projet'!$B$140,CT81+CS82-DB81)))</f>
        <v>289.00000000000006</v>
      </c>
      <c r="CU82" s="18">
        <f>CT82*VLOOKUP('Données projet'!$B$13,Paramètres!$A$1:$I$89,3,0)*VLOOKUP('Données projet'!$B$13,Paramètres!$A$1:$I$89,5,0)</f>
        <v>311.07960000000003</v>
      </c>
      <c r="CV82" s="14">
        <f t="shared" si="95"/>
        <v>73.49424798183118</v>
      </c>
      <c r="CW82" s="22">
        <f t="shared" si="67"/>
        <v>669.79945190168928</v>
      </c>
      <c r="CX82" s="60">
        <f t="shared" si="68"/>
        <v>963.13278523502254</v>
      </c>
      <c r="CY82" s="60">
        <f ca="1">AVERAGE(OFFSET($CX$3,0,0,'Données projet'!$E$13+1,1))-AVERAGE(OFFSET($H$3,0,0,'Données projet'!$E$13+1,1))</f>
        <v>488.44916315274139</v>
      </c>
      <c r="CZ82" s="60">
        <f t="shared" si="96"/>
        <v>348.17941150148209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1.0217666140125614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1.0217666140125614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274.0128205128205</v>
      </c>
      <c r="L83" s="13">
        <f>VLOOKUP(A83,'Données projet'!$A$35:$I$55,9,0)</f>
        <v>7.8425925925925934</v>
      </c>
      <c r="M83" s="13">
        <f t="array" ref="M83">INDEX(L:L,MIN(IF(ISNUMBER(L83:L279),ROW(L83:L279),"")))</f>
        <v>7.8425925925925934</v>
      </c>
      <c r="N83" s="14">
        <f>IF('Données projet'!$A$36&gt;35,N82+M83-V82,IF(A83&lt;'Données projet'!$A$36,$K$205^A83,IF(A83='Données projet'!$A$36,'Données projet'!$B$36,N82+M83-V82)))</f>
        <v>274.0128205128205</v>
      </c>
      <c r="O83" s="14">
        <f>N83*VLOOKUP('Données projet'!$B$9,Paramètres!$A$1:$I$89,3,0)*VLOOKUP('Données projet'!$B$9,Paramètres!$A$1:$I$89,5,0)</f>
        <v>247.92679999999999</v>
      </c>
      <c r="P83" s="14">
        <f t="shared" si="87"/>
        <v>60.141781345371967</v>
      </c>
      <c r="Q83" s="22">
        <f t="shared" si="54"/>
        <v>536.55277917652279</v>
      </c>
      <c r="R83" s="60">
        <f t="shared" si="55"/>
        <v>829.88611250985605</v>
      </c>
      <c r="S83" s="60">
        <f ca="1">AVERAGE(OFFSET($R$3,0,0,'Données projet'!$E$9+1,1))-AVERAGE(OFFSET($H$3,0,0,'Données projet'!$E$9+1,1))</f>
        <v>319.72731970820928</v>
      </c>
      <c r="T83" s="60">
        <f t="shared" si="88"/>
        <v>279.93992813630513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45.608974358974358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327</v>
      </c>
      <c r="AG83" s="13">
        <f>VLOOKUP(A83,'Données projet'!$A$61:$I$81,9,0)</f>
        <v>8</v>
      </c>
      <c r="AH83" s="13">
        <f t="array" ref="AH83">INDEX(AG:AG,MIN(IF(ISNUMBER(AG83:AG279),ROW(AG83:AG279),"")))</f>
        <v>8</v>
      </c>
      <c r="AI83" s="14">
        <f>IF('Données projet'!$A$62&gt;35,AI82+AH83-AQ82,IF(A83&lt;'Données projet'!$A$62,$AF$205^A83,IF(A83='Données projet'!$A$62,'Données projet'!$B$62,AI82+AH83-AQ82)))</f>
        <v>327.00000000000011</v>
      </c>
      <c r="AJ83" s="14">
        <f>AI83*VLOOKUP('Données projet'!$B$10,Paramètres!$A$1:$I$89,3,0)*VLOOKUP('Données projet'!$B$10,Paramètres!$A$1:$I$89,5,0)</f>
        <v>331.57800000000015</v>
      </c>
      <c r="AK83" s="14">
        <f t="shared" si="89"/>
        <v>77.757375944425931</v>
      </c>
      <c r="AL83" s="22">
        <f t="shared" si="58"/>
        <v>712.92577976987525</v>
      </c>
      <c r="AM83" s="60">
        <f t="shared" si="59"/>
        <v>1006.2591131032086</v>
      </c>
      <c r="AN83" s="60">
        <f ca="1">AVERAGE(OFFSET($AM$3,0,0,'Données projet'!$E$10+1,1))-AVERAGE(OFFSET($H$3,0,0,'Données projet'!$E$10+1,1))</f>
        <v>505.64100207870439</v>
      </c>
      <c r="AO83" s="60">
        <f t="shared" si="90"/>
        <v>371.76229669709249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59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1.1282569699116152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1.1282569699116152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330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329.99999999999972</v>
      </c>
      <c r="BE83" s="14">
        <f>BD83*VLOOKUP('Données projet'!$B$11,Paramètres!$A$1:$I$89,3,0)*VLOOKUP('Données projet'!$B$11,Paramètres!$A$1:$I$89,5,0)</f>
        <v>262.54799999999983</v>
      </c>
      <c r="BF83" s="14">
        <f t="shared" si="91"/>
        <v>63.265199933079387</v>
      </c>
      <c r="BG83" s="22">
        <f t="shared" si="61"/>
        <v>567.4579898834462</v>
      </c>
      <c r="BH83" s="60">
        <f t="shared" si="62"/>
        <v>860.79132321677957</v>
      </c>
      <c r="BI83" s="60">
        <f ca="1">AVERAGE(OFFSET($BH$3,0,0,'Données projet'!$E$11+1,1))-AVERAGE(OFFSET($H$3,0,0,'Données projet'!$E$11+1,1))</f>
        <v>353.26636241468884</v>
      </c>
      <c r="BJ83" s="60">
        <f t="shared" si="92"/>
        <v>345.4750813433123</v>
      </c>
      <c r="BK83" s="16">
        <f>IF(ISNA(VLOOKUP(A83,'Données projet'!$A$87:$I$107,3,0)),0,VLOOKUP(A83,'Données projet'!$A$87:$I$107,3,0))</f>
        <v>14</v>
      </c>
      <c r="BL83" s="23">
        <f>IF(ISNA(VLOOKUP(A83,'Données projet'!$A$87:$I$107,4,0)),0,VLOOKUP(A83,'Données projet'!$A$87:$I$107,4,0))</f>
        <v>330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1.5198890886640182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1.5198890886640182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326.92307692307691</v>
      </c>
      <c r="BW83" s="13">
        <f>VLOOKUP(A83,'Données projet'!$A$113:$I$133,9,0)</f>
        <v>4.7435897435897463</v>
      </c>
      <c r="BX83" s="13">
        <f t="array" ref="BX83">INDEX(BW:BW,MIN(IF(ISNUMBER(BW83:BW279),ROW(BW83:BW279),"")))</f>
        <v>4.7435897435897463</v>
      </c>
      <c r="BY83" s="13">
        <f>IF('Données projet'!$A$114&gt;35,BY82+BX83-CG82,IF(A83&lt;'Données projet'!$A$114,$BV$205^A83,IF(A83='Données projet'!$A$114,'Données projet'!$B$114,BY82+BX83-CG82)))</f>
        <v>326.92307692307691</v>
      </c>
      <c r="BZ83" s="14">
        <f>BY83*VLOOKUP('Données projet'!$B$12,Paramètres!$A$1:$I$89,3,0)*VLOOKUP('Données projet'!$B$12,Paramètres!$A$1:$I$89,5,0)</f>
        <v>219.29999999999998</v>
      </c>
      <c r="CA83" s="14">
        <f t="shared" si="93"/>
        <v>53.962715971896969</v>
      </c>
      <c r="CB83" s="22">
        <f t="shared" si="64"/>
        <v>475.9325636510539</v>
      </c>
      <c r="CC83" s="60">
        <f t="shared" si="65"/>
        <v>769.26589698438715</v>
      </c>
      <c r="CD83" s="60">
        <f ca="1">AVERAGE(OFFSET($CC$3,0,0,'Données projet'!$E$12+1,1))-AVERAGE(OFFSET($H$3,0,0,'Données projet'!$E$12+1,1))</f>
        <v>362.1372269575329</v>
      </c>
      <c r="CE83" s="60">
        <f t="shared" si="94"/>
        <v>308.1559670593121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28.846153846153847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0.76538142257842279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0.76538142257842279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296</v>
      </c>
      <c r="CR83" s="13">
        <f>VLOOKUP(A83,'Données projet'!$A$139:$I$159,9,0)</f>
        <v>7</v>
      </c>
      <c r="CS83" s="13">
        <f t="array" ref="CS83">INDEX(CR:CR,MIN(IF(ISNUMBER(CR83:CR279),ROW(CR83:CR279),"")))</f>
        <v>7</v>
      </c>
      <c r="CT83" s="13">
        <f>IF('Données projet'!$A$140&gt;35,CT82+CS83-DB82,IF(A83&lt;'Données projet'!$A$140,$CQ$205^A83,IF(A83='Données projet'!$A$140,'Données projet'!$B$140,CT82+CS83-DB82)))</f>
        <v>296.00000000000006</v>
      </c>
      <c r="CU83" s="18">
        <f>CT83*VLOOKUP('Données projet'!$B$13,Paramètres!$A$1:$I$89,3,0)*VLOOKUP('Données projet'!$B$13,Paramètres!$A$1:$I$89,5,0)</f>
        <v>318.61440000000005</v>
      </c>
      <c r="CV83" s="14">
        <f t="shared" si="95"/>
        <v>75.06497986502842</v>
      </c>
      <c r="CW83" s="22">
        <f t="shared" si="67"/>
        <v>685.6582532649245</v>
      </c>
      <c r="CX83" s="60">
        <f t="shared" si="68"/>
        <v>978.99158659825775</v>
      </c>
      <c r="CY83" s="60">
        <f ca="1">AVERAGE(OFFSET($CX$3,0,0,'Données projet'!$E$13+1,1))-AVERAGE(OFFSET($H$3,0,0,'Données projet'!$E$13+1,1))</f>
        <v>488.44916315274139</v>
      </c>
      <c r="CZ83" s="60">
        <f t="shared" si="96"/>
        <v>348.17941150148209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51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0.99382635222001692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0.99382635222001692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7.4950142450142483</v>
      </c>
      <c r="N84" s="14">
        <f>IF('Données projet'!$A$36&gt;35,N83+M84-V83,IF(A84&lt;'Données projet'!$A$36,$K$205^A84,IF(A84='Données projet'!$A$36,'Données projet'!$B$36,N83+M84-V83)))</f>
        <v>235.89886039886039</v>
      </c>
      <c r="O84" s="14">
        <f>N84*VLOOKUP('Données projet'!$B$9,Paramètres!$A$1:$I$89,3,0)*VLOOKUP('Données projet'!$B$9,Paramètres!$A$1:$I$89,5,0)</f>
        <v>213.44128888888889</v>
      </c>
      <c r="P84" s="14">
        <f t="shared" si="87"/>
        <v>52.686881026481927</v>
      </c>
      <c r="Q84" s="22">
        <f t="shared" si="54"/>
        <v>463.50656260260411</v>
      </c>
      <c r="R84" s="60">
        <f t="shared" si="55"/>
        <v>756.83989593593742</v>
      </c>
      <c r="S84" s="60">
        <f ca="1">AVERAGE(OFFSET($R$3,0,0,'Données projet'!$E$9+1,1))-AVERAGE(OFFSET($H$3,0,0,'Données projet'!$E$9+1,1))</f>
        <v>319.72731970820928</v>
      </c>
      <c r="T84" s="60">
        <f t="shared" si="88"/>
        <v>279.93992813630513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7.6</v>
      </c>
      <c r="AI84" s="14">
        <f>IF('Données projet'!$A$62&gt;35,AI83+AH84-AQ83,IF(A84&lt;'Données projet'!$A$62,$AF$205^A84,IF(A84='Données projet'!$A$62,'Données projet'!$B$62,AI83+AH84-AQ83)))</f>
        <v>275.60000000000014</v>
      </c>
      <c r="AJ84" s="14">
        <f>AI84*VLOOKUP('Données projet'!$B$10,Paramètres!$A$1:$I$89,3,0)*VLOOKUP('Données projet'!$B$10,Paramètres!$A$1:$I$89,5,0)</f>
        <v>279.45840000000015</v>
      </c>
      <c r="AK84" s="14">
        <f t="shared" si="89"/>
        <v>66.85254033777278</v>
      </c>
      <c r="AL84" s="22">
        <f t="shared" si="58"/>
        <v>603.15822108828786</v>
      </c>
      <c r="AM84" s="60">
        <f t="shared" si="59"/>
        <v>896.49155442162123</v>
      </c>
      <c r="AN84" s="60">
        <f ca="1">AVERAGE(OFFSET($AM$3,0,0,'Données projet'!$E$10+1,1))-AVERAGE(OFFSET($H$3,0,0,'Données projet'!$E$10+1,1))</f>
        <v>505.64100207870439</v>
      </c>
      <c r="AO84" s="60">
        <f t="shared" si="90"/>
        <v>371.76229669709249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1.0974047237369267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1.0974047237369267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-2.8421709430404007E-13</v>
      </c>
      <c r="BE84" s="14">
        <f>BD84*VLOOKUP('Données projet'!$B$11,Paramètres!$A$1:$I$89,3,0)*VLOOKUP('Données projet'!$B$11,Paramètres!$A$1:$I$89,5,0)</f>
        <v>-2.2612312022829427E-13</v>
      </c>
      <c r="BF84" s="14" t="e">
        <f t="shared" si="91"/>
        <v>#NUM!</v>
      </c>
      <c r="BG84" s="22" t="e">
        <f t="shared" si="61"/>
        <v>#NUM!</v>
      </c>
      <c r="BH84" s="60" t="e">
        <f t="shared" si="62"/>
        <v>#NUM!</v>
      </c>
      <c r="BI84" s="60">
        <f ca="1">AVERAGE(OFFSET($BH$3,0,0,'Données projet'!$E$11+1,1))-AVERAGE(OFFSET($H$3,0,0,'Données projet'!$E$11+1,1))</f>
        <v>353.26636241468884</v>
      </c>
      <c r="BJ84" s="60">
        <f t="shared" si="92"/>
        <v>345.4750813433123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1.4783276416070072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1.4783276416070072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4.4871794871794917</v>
      </c>
      <c r="BY84" s="13">
        <f>IF('Données projet'!$A$114&gt;35,BY83+BX84-CG83,IF(A84&lt;'Données projet'!$A$114,$BV$205^A84,IF(A84='Données projet'!$A$114,'Données projet'!$B$114,BY83+BX84-CG83)))</f>
        <v>302.56410256410254</v>
      </c>
      <c r="BZ84" s="14">
        <f>BY84*VLOOKUP('Données projet'!$B$12,Paramètres!$A$1:$I$89,3,0)*VLOOKUP('Données projet'!$B$12,Paramètres!$A$1:$I$89,5,0)</f>
        <v>202.95999999999998</v>
      </c>
      <c r="CA84" s="14">
        <f t="shared" si="93"/>
        <v>50.394128866673796</v>
      </c>
      <c r="CB84" s="22">
        <f t="shared" si="64"/>
        <v>441.25844110945678</v>
      </c>
      <c r="CC84" s="60">
        <f t="shared" si="65"/>
        <v>734.5917744427901</v>
      </c>
      <c r="CD84" s="60">
        <f ca="1">AVERAGE(OFFSET($CC$3,0,0,'Données projet'!$E$12+1,1))-AVERAGE(OFFSET($H$3,0,0,'Données projet'!$E$12+1,1))</f>
        <v>362.1372269575329</v>
      </c>
      <c r="CE84" s="60">
        <f t="shared" si="94"/>
        <v>308.1559670593121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0.74445202732835614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0.74445202732835614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6.8</v>
      </c>
      <c r="CT84" s="13">
        <f>IF('Données projet'!$A$140&gt;35,CT83+CS84-DB83,IF(A84&lt;'Données projet'!$A$140,$CQ$205^A84,IF(A84='Données projet'!$A$140,'Données projet'!$B$140,CT83+CS84-DB83)))</f>
        <v>251.80000000000007</v>
      </c>
      <c r="CU84" s="18">
        <f>CT84*VLOOKUP('Données projet'!$B$13,Paramètres!$A$1:$I$89,3,0)*VLOOKUP('Données projet'!$B$13,Paramètres!$A$1:$I$89,5,0)</f>
        <v>271.03752000000009</v>
      </c>
      <c r="CV84" s="14">
        <f t="shared" si="95"/>
        <v>65.069408043827991</v>
      </c>
      <c r="CW84" s="22">
        <f t="shared" si="67"/>
        <v>585.38623300966719</v>
      </c>
      <c r="CX84" s="60">
        <f t="shared" si="68"/>
        <v>878.71956634300045</v>
      </c>
      <c r="CY84" s="60">
        <f ca="1">AVERAGE(OFFSET($CX$3,0,0,'Données projet'!$E$13+1,1))-AVERAGE(OFFSET($H$3,0,0,'Données projet'!$E$13+1,1))</f>
        <v>488.44916315274139</v>
      </c>
      <c r="CZ84" s="60">
        <f t="shared" si="96"/>
        <v>348.17941150148209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0.96665011835550407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0.96665011835550407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7.4950142450142483</v>
      </c>
      <c r="N85" s="14">
        <f>IF('Données projet'!$A$36&gt;35,N84+M85-V84,IF(A85&lt;'Données projet'!$A$36,$K$205^A85,IF(A85='Données projet'!$A$36,'Données projet'!$B$36,N84+M85-V84)))</f>
        <v>243.39387464387465</v>
      </c>
      <c r="O85" s="14">
        <f>N85*VLOOKUP('Données projet'!$B$9,Paramètres!$A$1:$I$89,3,0)*VLOOKUP('Données projet'!$B$9,Paramètres!$A$1:$I$89,5,0)</f>
        <v>220.22277777777776</v>
      </c>
      <c r="P85" s="14">
        <f t="shared" si="87"/>
        <v>54.163302517364315</v>
      </c>
      <c r="Q85" s="22">
        <f t="shared" si="54"/>
        <v>477.88908984737236</v>
      </c>
      <c r="R85" s="60">
        <f t="shared" si="55"/>
        <v>771.22242318070562</v>
      </c>
      <c r="S85" s="60">
        <f ca="1">AVERAGE(OFFSET($R$3,0,0,'Données projet'!$E$9+1,1))-AVERAGE(OFFSET($H$3,0,0,'Données projet'!$E$9+1,1))</f>
        <v>319.72731970820928</v>
      </c>
      <c r="T85" s="60">
        <f t="shared" si="88"/>
        <v>279.93992813630513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7.6</v>
      </c>
      <c r="AI85" s="14">
        <f>IF('Données projet'!$A$62&gt;35,AI84+AH85-AQ84,IF(A85&lt;'Données projet'!$A$62,$AF$205^A85,IF(A85='Données projet'!$A$62,'Données projet'!$B$62,AI84+AH85-AQ84)))</f>
        <v>283.20000000000016</v>
      </c>
      <c r="AJ85" s="14">
        <f>AI85*VLOOKUP('Données projet'!$B$10,Paramètres!$A$1:$I$89,3,0)*VLOOKUP('Données projet'!$B$10,Paramètres!$A$1:$I$89,5,0)</f>
        <v>287.16480000000018</v>
      </c>
      <c r="AK85" s="14">
        <f t="shared" si="89"/>
        <v>68.478903347983263</v>
      </c>
      <c r="AL85" s="22">
        <f t="shared" si="58"/>
        <v>619.41278333107118</v>
      </c>
      <c r="AM85" s="60">
        <f t="shared" si="59"/>
        <v>912.74611666440455</v>
      </c>
      <c r="AN85" s="60">
        <f ca="1">AVERAGE(OFFSET($AM$3,0,0,'Données projet'!$E$10+1,1))-AVERAGE(OFFSET($H$3,0,0,'Données projet'!$E$10+1,1))</f>
        <v>505.64100207870439</v>
      </c>
      <c r="AO85" s="60">
        <f t="shared" si="90"/>
        <v>371.76229669709249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1.067396133856334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1.067396133856334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-2.8421709430404007E-13</v>
      </c>
      <c r="BE85" s="14">
        <f>BD85*VLOOKUP('Données projet'!$B$11,Paramètres!$A$1:$I$89,3,0)*VLOOKUP('Données projet'!$B$11,Paramètres!$A$1:$I$89,5,0)</f>
        <v>-2.2612312022829427E-13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353.26636241468884</v>
      </c>
      <c r="BJ85" s="60">
        <f t="shared" si="92"/>
        <v>345.4750813433123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1.4379026945053917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1.4379026945053917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4.4871794871794917</v>
      </c>
      <c r="BY85" s="13">
        <f>IF('Données projet'!$A$114&gt;35,BY84+BX85-CG84,IF(A85&lt;'Données projet'!$A$114,$BV$205^A85,IF(A85='Données projet'!$A$114,'Données projet'!$B$114,BY84+BX85-CG84)))</f>
        <v>307.05128205128204</v>
      </c>
      <c r="BZ85" s="14">
        <f>BY85*VLOOKUP('Données projet'!$B$12,Paramètres!$A$1:$I$89,3,0)*VLOOKUP('Données projet'!$B$12,Paramètres!$A$1:$I$89,5,0)</f>
        <v>205.97</v>
      </c>
      <c r="CA85" s="14">
        <f t="shared" si="93"/>
        <v>51.053938616003535</v>
      </c>
      <c r="CB85" s="22">
        <f t="shared" si="64"/>
        <v>447.65002642287277</v>
      </c>
      <c r="CC85" s="60">
        <f t="shared" si="65"/>
        <v>740.98335975620603</v>
      </c>
      <c r="CD85" s="60">
        <f ca="1">AVERAGE(OFFSET($CC$3,0,0,'Données projet'!$E$12+1,1))-AVERAGE(OFFSET($H$3,0,0,'Données projet'!$E$12+1,1))</f>
        <v>362.1372269575329</v>
      </c>
      <c r="CE85" s="60">
        <f t="shared" si="94"/>
        <v>308.1559670593121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0.72409494749203163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0.72409494749203163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6.8</v>
      </c>
      <c r="CT85" s="13">
        <f>IF('Données projet'!$A$140&gt;35,CT84+CS85-DB84,IF(A85&lt;'Données projet'!$A$140,$CQ$205^A85,IF(A85='Données projet'!$A$140,'Données projet'!$B$140,CT84+CS85-DB84)))</f>
        <v>258.60000000000008</v>
      </c>
      <c r="CU85" s="18">
        <f>CT85*VLOOKUP('Données projet'!$B$13,Paramètres!$A$1:$I$89,3,0)*VLOOKUP('Données projet'!$B$13,Paramètres!$A$1:$I$89,5,0)</f>
        <v>278.3570400000001</v>
      </c>
      <c r="CV85" s="14">
        <f t="shared" si="95"/>
        <v>66.619685373148727</v>
      </c>
      <c r="CW85" s="22">
        <f t="shared" si="67"/>
        <v>600.83446335823419</v>
      </c>
      <c r="CX85" s="60">
        <f t="shared" si="68"/>
        <v>894.16779669156745</v>
      </c>
      <c r="CY85" s="60">
        <f ca="1">AVERAGE(OFFSET($CX$3,0,0,'Données projet'!$E$13+1,1))-AVERAGE(OFFSET($H$3,0,0,'Données projet'!$E$13+1,1))</f>
        <v>488.44916315274139</v>
      </c>
      <c r="CZ85" s="60">
        <f t="shared" si="96"/>
        <v>348.17941150148209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0.9402170200351524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0.9402170200351524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7.4950142450142483</v>
      </c>
      <c r="N86" s="14">
        <f>IF('Données projet'!$A$36&gt;35,N85+M86-V85,IF(A86&lt;'Données projet'!$A$36,$K$205^A86,IF(A86='Données projet'!$A$36,'Données projet'!$B$36,N85+M86-V85)))</f>
        <v>250.88888888888891</v>
      </c>
      <c r="O86" s="14">
        <f>N86*VLOOKUP('Données projet'!$B$9,Paramètres!$A$1:$I$89,3,0)*VLOOKUP('Données projet'!$B$9,Paramètres!$A$1:$I$89,5,0)</f>
        <v>227.00426666666667</v>
      </c>
      <c r="P86" s="14">
        <f t="shared" si="87"/>
        <v>55.634440522110069</v>
      </c>
      <c r="Q86" s="22">
        <f t="shared" si="54"/>
        <v>492.26241502045281</v>
      </c>
      <c r="R86" s="60">
        <f t="shared" si="55"/>
        <v>785.59574835378612</v>
      </c>
      <c r="S86" s="60">
        <f ca="1">AVERAGE(OFFSET($R$3,0,0,'Données projet'!$E$9+1,1))-AVERAGE(OFFSET($H$3,0,0,'Données projet'!$E$9+1,1))</f>
        <v>319.72731970820928</v>
      </c>
      <c r="T86" s="60">
        <f t="shared" si="88"/>
        <v>279.93992813630513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7.6</v>
      </c>
      <c r="AI86" s="14">
        <f>IF('Données projet'!$A$62&gt;35,AI85+AH86-AQ85,IF(A86&lt;'Données projet'!$A$62,$AF$205^A86,IF(A86='Données projet'!$A$62,'Données projet'!$B$62,AI85+AH86-AQ85)))</f>
        <v>290.80000000000018</v>
      </c>
      <c r="AJ86" s="14">
        <f>AI86*VLOOKUP('Données projet'!$B$10,Paramètres!$A$1:$I$89,3,0)*VLOOKUP('Données projet'!$B$10,Paramètres!$A$1:$I$89,5,0)</f>
        <v>294.87120000000021</v>
      </c>
      <c r="AK86" s="14">
        <f t="shared" si="89"/>
        <v>70.100193324247115</v>
      </c>
      <c r="AL86" s="22">
        <f t="shared" si="58"/>
        <v>635.65851003973069</v>
      </c>
      <c r="AM86" s="60">
        <f t="shared" si="59"/>
        <v>928.99184337306406</v>
      </c>
      <c r="AN86" s="60">
        <f ca="1">AVERAGE(OFFSET($AM$3,0,0,'Données projet'!$E$10+1,1))-AVERAGE(OFFSET($H$3,0,0,'Données projet'!$E$10+1,1))</f>
        <v>505.64100207870439</v>
      </c>
      <c r="AO86" s="60">
        <f t="shared" si="90"/>
        <v>371.76229669709249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1.0382081304441095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1.0382081304441095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-2.8421709430404007E-13</v>
      </c>
      <c r="BE86" s="14">
        <f>BD86*VLOOKUP('Données projet'!$B$11,Paramètres!$A$1:$I$89,3,0)*VLOOKUP('Données projet'!$B$11,Paramètres!$A$1:$I$89,5,0)</f>
        <v>-2.2612312022829427E-13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353.26636241468884</v>
      </c>
      <c r="BJ86" s="60">
        <f t="shared" si="92"/>
        <v>345.4750813433123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1.3985831697081255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1.3985831697081255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4.4871794871794917</v>
      </c>
      <c r="BY86" s="13">
        <f>IF('Données projet'!$A$114&gt;35,BY85+BX86-CG85,IF(A86&lt;'Données projet'!$A$114,$BV$205^A86,IF(A86='Données projet'!$A$114,'Données projet'!$B$114,BY85+BX86-CG85)))</f>
        <v>311.53846153846155</v>
      </c>
      <c r="BZ86" s="14">
        <f>BY86*VLOOKUP('Données projet'!$B$12,Paramètres!$A$1:$I$89,3,0)*VLOOKUP('Données projet'!$B$12,Paramètres!$A$1:$I$89,5,0)</f>
        <v>208.98</v>
      </c>
      <c r="CA86" s="14">
        <f t="shared" si="93"/>
        <v>51.712626911871766</v>
      </c>
      <c r="CB86" s="22">
        <f t="shared" si="64"/>
        <v>454.03965853817658</v>
      </c>
      <c r="CC86" s="60">
        <f t="shared" si="65"/>
        <v>747.37299187150984</v>
      </c>
      <c r="CD86" s="60">
        <f ca="1">AVERAGE(OFFSET($CC$3,0,0,'Données projet'!$E$12+1,1))-AVERAGE(OFFSET($H$3,0,0,'Données projet'!$E$12+1,1))</f>
        <v>362.1372269575329</v>
      </c>
      <c r="CE86" s="60">
        <f t="shared" si="94"/>
        <v>308.1559670593121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0.70429453307436363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0.70429453307436363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6.8</v>
      </c>
      <c r="CT86" s="13">
        <f>IF('Données projet'!$A$140&gt;35,CT85+CS86-DB85,IF(A86&lt;'Données projet'!$A$140,$CQ$205^A86,IF(A86='Données projet'!$A$140,'Données projet'!$B$140,CT85+CS86-DB85)))</f>
        <v>265.40000000000009</v>
      </c>
      <c r="CU86" s="18">
        <f>CT86*VLOOKUP('Données projet'!$B$13,Paramètres!$A$1:$I$89,3,0)*VLOOKUP('Données projet'!$B$13,Paramètres!$A$1:$I$89,5,0)</f>
        <v>285.67656000000011</v>
      </c>
      <c r="CV86" s="14">
        <f t="shared" si="95"/>
        <v>68.16522430825907</v>
      </c>
      <c r="CW86" s="22">
        <f t="shared" si="67"/>
        <v>616.27444100355149</v>
      </c>
      <c r="CX86" s="60">
        <f t="shared" si="68"/>
        <v>909.60777433688486</v>
      </c>
      <c r="CY86" s="60">
        <f ca="1">AVERAGE(OFFSET($CX$3,0,0,'Données projet'!$E$13+1,1))-AVERAGE(OFFSET($H$3,0,0,'Données projet'!$E$13+1,1))</f>
        <v>488.44916315274139</v>
      </c>
      <c r="CZ86" s="60">
        <f t="shared" si="96"/>
        <v>348.17941150148209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0.91450673617842693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0.91450673617842693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7.4950142450142483</v>
      </c>
      <c r="N87" s="14">
        <f>IF('Données projet'!$A$36&gt;35,N86+M87-V86,IF(A87&lt;'Données projet'!$A$36,$K$205^A87,IF(A87='Données projet'!$A$36,'Données projet'!$B$36,N86+M87-V86)))</f>
        <v>258.38390313390317</v>
      </c>
      <c r="O87" s="14">
        <f>N87*VLOOKUP('Données projet'!$B$9,Paramètres!$A$1:$I$89,3,0)*VLOOKUP('Données projet'!$B$9,Paramètres!$A$1:$I$89,5,0)</f>
        <v>233.7857555555556</v>
      </c>
      <c r="P87" s="14">
        <f t="shared" si="87"/>
        <v>57.10047099813341</v>
      </c>
      <c r="Q87" s="22">
        <f t="shared" si="54"/>
        <v>506.62684458100836</v>
      </c>
      <c r="R87" s="60">
        <f t="shared" si="55"/>
        <v>799.96017791434167</v>
      </c>
      <c r="S87" s="60">
        <f ca="1">AVERAGE(OFFSET($R$3,0,0,'Données projet'!$E$9+1,1))-AVERAGE(OFFSET($H$3,0,0,'Données projet'!$E$9+1,1))</f>
        <v>319.72731970820928</v>
      </c>
      <c r="T87" s="60">
        <f t="shared" si="88"/>
        <v>279.93992813630513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7.6</v>
      </c>
      <c r="AI87" s="14">
        <f>IF('Données projet'!$A$62&gt;35,AI86+AH87-AQ86,IF(A87&lt;'Données projet'!$A$62,$AF$205^A87,IF(A87='Données projet'!$A$62,'Données projet'!$B$62,AI86+AH87-AQ86)))</f>
        <v>298.4000000000002</v>
      </c>
      <c r="AJ87" s="14">
        <f>AI87*VLOOKUP('Données projet'!$B$10,Paramètres!$A$1:$I$89,3,0)*VLOOKUP('Données projet'!$B$10,Paramètres!$A$1:$I$89,5,0)</f>
        <v>302.57760000000025</v>
      </c>
      <c r="AK87" s="14">
        <f t="shared" si="89"/>
        <v>71.716558091076365</v>
      </c>
      <c r="AL87" s="22">
        <f t="shared" si="58"/>
        <v>651.89565867529166</v>
      </c>
      <c r="AM87" s="60">
        <f t="shared" si="59"/>
        <v>945.22899200862503</v>
      </c>
      <c r="AN87" s="60">
        <f ca="1">AVERAGE(OFFSET($AM$3,0,0,'Données projet'!$E$10+1,1))-AVERAGE(OFFSET($H$3,0,0,'Données projet'!$E$10+1,1))</f>
        <v>505.64100207870439</v>
      </c>
      <c r="AO87" s="60">
        <f t="shared" si="90"/>
        <v>371.76229669709249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1.0098182745201227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1.0098182745201227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-2.8421709430404007E-13</v>
      </c>
      <c r="BE87" s="14">
        <f>BD87*VLOOKUP('Données projet'!$B$11,Paramètres!$A$1:$I$89,3,0)*VLOOKUP('Données projet'!$B$11,Paramètres!$A$1:$I$89,5,0)</f>
        <v>-2.2612312022829427E-13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353.26636241468884</v>
      </c>
      <c r="BJ87" s="60">
        <f t="shared" si="92"/>
        <v>345.4750813433123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1.3603388393841644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1.3603388393841644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4.4871794871794917</v>
      </c>
      <c r="BY87" s="13">
        <f>IF('Données projet'!$A$114&gt;35,BY86+BX87-CG86,IF(A87&lt;'Données projet'!$A$114,$BV$205^A87,IF(A87='Données projet'!$A$114,'Données projet'!$B$114,BY86+BX87-CG86)))</f>
        <v>316.02564102564105</v>
      </c>
      <c r="BZ87" s="14">
        <f>BY87*VLOOKUP('Données projet'!$B$12,Paramètres!$A$1:$I$89,3,0)*VLOOKUP('Données projet'!$B$12,Paramètres!$A$1:$I$89,5,0)</f>
        <v>211.99000000000004</v>
      </c>
      <c r="CA87" s="14">
        <f t="shared" si="93"/>
        <v>52.370211773211892</v>
      </c>
      <c r="CB87" s="22">
        <f t="shared" si="64"/>
        <v>460.42736883834408</v>
      </c>
      <c r="CC87" s="60">
        <f t="shared" si="65"/>
        <v>753.76070217167739</v>
      </c>
      <c r="CD87" s="60">
        <f ca="1">AVERAGE(OFFSET($CC$3,0,0,'Données projet'!$E$12+1,1))-AVERAGE(OFFSET($H$3,0,0,'Données projet'!$E$12+1,1))</f>
        <v>362.1372269575329</v>
      </c>
      <c r="CE87" s="60">
        <f t="shared" si="94"/>
        <v>308.1559670593121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0.68503556203020533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0.68503556203020533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6.8</v>
      </c>
      <c r="CT87" s="13">
        <f>IF('Données projet'!$A$140&gt;35,CT86+CS87-DB86,IF(A87&lt;'Données projet'!$A$140,$CQ$205^A87,IF(A87='Données projet'!$A$140,'Données projet'!$B$140,CT86+CS87-DB86)))</f>
        <v>272.2000000000001</v>
      </c>
      <c r="CU87" s="18">
        <f>CT87*VLOOKUP('Données projet'!$B$13,Paramètres!$A$1:$I$89,3,0)*VLOOKUP('Données projet'!$B$13,Paramètres!$A$1:$I$89,5,0)</f>
        <v>292.99608000000012</v>
      </c>
      <c r="CV87" s="14">
        <f t="shared" si="95"/>
        <v>69.706160214575959</v>
      </c>
      <c r="CW87" s="22">
        <f t="shared" si="67"/>
        <v>631.70640170705326</v>
      </c>
      <c r="CX87" s="60">
        <f t="shared" si="68"/>
        <v>925.03973504038663</v>
      </c>
      <c r="CY87" s="60">
        <f ca="1">AVERAGE(OFFSET($CX$3,0,0,'Données projet'!$E$13+1,1))-AVERAGE(OFFSET($H$3,0,0,'Données projet'!$E$13+1,1))</f>
        <v>488.44916315274139</v>
      </c>
      <c r="CZ87" s="60">
        <f t="shared" si="96"/>
        <v>348.17941150148209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0.88949950138580869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0.88949950138580869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7.4950142450142483</v>
      </c>
      <c r="N88" s="14">
        <f>IF('Données projet'!$A$36&gt;35,N87+M88-V87,IF(A88&lt;'Données projet'!$A$36,$K$205^A88,IF(A88='Données projet'!$A$36,'Données projet'!$B$36,N87+M88-V87)))</f>
        <v>265.87891737891744</v>
      </c>
      <c r="O88" s="14">
        <f>N88*VLOOKUP('Données projet'!$B$9,Paramètres!$A$1:$I$89,3,0)*VLOOKUP('Données projet'!$B$9,Paramètres!$A$1:$I$89,5,0)</f>
        <v>240.5672444444445</v>
      </c>
      <c r="P88" s="14">
        <f t="shared" si="87"/>
        <v>58.5615591142816</v>
      </c>
      <c r="Q88" s="22">
        <f t="shared" si="54"/>
        <v>520.98266619811454</v>
      </c>
      <c r="R88" s="60">
        <f t="shared" si="55"/>
        <v>814.31599953144791</v>
      </c>
      <c r="S88" s="60">
        <f ca="1">AVERAGE(OFFSET($R$3,0,0,'Données projet'!$E$9+1,1))-AVERAGE(OFFSET($H$3,0,0,'Données projet'!$E$9+1,1))</f>
        <v>319.72731970820928</v>
      </c>
      <c r="T88" s="60">
        <f t="shared" si="88"/>
        <v>279.93992813630513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306</v>
      </c>
      <c r="AG88" s="13">
        <f>VLOOKUP(A88,'Données projet'!$A$61:$I$81,9,0)</f>
        <v>7.6</v>
      </c>
      <c r="AH88" s="13">
        <f t="array" ref="AH88">INDEX(AG:AG,MIN(IF(ISNUMBER(AG88:AG284),ROW(AG88:AG284),"")))</f>
        <v>7.6</v>
      </c>
      <c r="AI88" s="14">
        <f>IF('Données projet'!$A$62&gt;35,AI87+AH88-AQ87,IF(A88&lt;'Données projet'!$A$62,$AF$205^A88,IF(A88='Données projet'!$A$62,'Données projet'!$B$62,AI87+AH88-AQ87)))</f>
        <v>306.00000000000023</v>
      </c>
      <c r="AJ88" s="14">
        <f>AI88*VLOOKUP('Données projet'!$B$10,Paramètres!$A$1:$I$89,3,0)*VLOOKUP('Données projet'!$B$10,Paramètres!$A$1:$I$89,5,0)</f>
        <v>310.28400000000022</v>
      </c>
      <c r="AK88" s="14">
        <f t="shared" si="89"/>
        <v>73.328137514010152</v>
      </c>
      <c r="AL88" s="22">
        <f t="shared" si="58"/>
        <v>668.12447283690142</v>
      </c>
      <c r="AM88" s="60">
        <f t="shared" si="59"/>
        <v>961.45780617023479</v>
      </c>
      <c r="AN88" s="60">
        <f ca="1">AVERAGE(OFFSET($AM$3,0,0,'Données projet'!$E$10+1,1))-AVERAGE(OFFSET($H$3,0,0,'Données projet'!$E$10+1,1))</f>
        <v>505.64100207870439</v>
      </c>
      <c r="AO88" s="60">
        <f t="shared" si="90"/>
        <v>371.76229669709249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0.98220474069933494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0.98220474069933494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-2.8421709430404007E-13</v>
      </c>
      <c r="BE88" s="14">
        <f>BD88*VLOOKUP('Données projet'!$B$11,Paramètres!$A$1:$I$89,3,0)*VLOOKUP('Données projet'!$B$11,Paramètres!$A$1:$I$89,5,0)</f>
        <v>-2.2612312022829427E-13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353.26636241468884</v>
      </c>
      <c r="BJ88" s="60">
        <f t="shared" si="92"/>
        <v>345.4750813433123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1.323140302284094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1.323140302284094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320.5128205128205</v>
      </c>
      <c r="BW88" s="13">
        <f>VLOOKUP(A88,'Données projet'!$A$113:$I$133,9,0)</f>
        <v>4.4871794871794917</v>
      </c>
      <c r="BX88" s="13">
        <f t="array" ref="BX88">INDEX(BW:BW,MIN(IF(ISNUMBER(BW88:BW284),ROW(BW88:BW284),"")))</f>
        <v>4.4871794871794917</v>
      </c>
      <c r="BY88" s="13">
        <f>IF('Données projet'!$A$114&gt;35,BY87+BX88-CG87,IF(A88&lt;'Données projet'!$A$114,$BV$205^A88,IF(A88='Données projet'!$A$114,'Données projet'!$B$114,BY87+BX88-CG87)))</f>
        <v>320.51282051282055</v>
      </c>
      <c r="BZ88" s="14">
        <f>BY88*VLOOKUP('Données projet'!$B$12,Paramètres!$A$1:$I$89,3,0)*VLOOKUP('Données projet'!$B$12,Paramètres!$A$1:$I$89,5,0)</f>
        <v>215.00000000000006</v>
      </c>
      <c r="CA88" s="14">
        <f t="shared" si="93"/>
        <v>53.026710677875606</v>
      </c>
      <c r="CB88" s="22">
        <f t="shared" si="64"/>
        <v>466.81318776396671</v>
      </c>
      <c r="CC88" s="60">
        <f t="shared" si="65"/>
        <v>760.14652109730002</v>
      </c>
      <c r="CD88" s="60">
        <f ca="1">AVERAGE(OFFSET($CC$3,0,0,'Données projet'!$E$12+1,1))-AVERAGE(OFFSET($H$3,0,0,'Données projet'!$E$12+1,1))</f>
        <v>362.1372269575329</v>
      </c>
      <c r="CE88" s="60">
        <f t="shared" si="94"/>
        <v>308.1559670593121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0.66630322856203483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0.66630322856203483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279</v>
      </c>
      <c r="CR88" s="13">
        <f>VLOOKUP(A88,'Données projet'!$A$139:$I$159,9,0)</f>
        <v>6.8</v>
      </c>
      <c r="CS88" s="13">
        <f t="array" ref="CS88">INDEX(CR:CR,MIN(IF(ISNUMBER(CR88:CR284),ROW(CR88:CR284),"")))</f>
        <v>6.8</v>
      </c>
      <c r="CT88" s="13">
        <f>IF('Données projet'!$A$140&gt;35,CT87+CS88-DB87,IF(A88&lt;'Données projet'!$A$140,$CQ$205^A88,IF(A88='Données projet'!$A$140,'Données projet'!$B$140,CT87+CS88-DB87)))</f>
        <v>279.00000000000011</v>
      </c>
      <c r="CU88" s="18">
        <f>CT88*VLOOKUP('Données projet'!$B$13,Paramètres!$A$1:$I$89,3,0)*VLOOKUP('Données projet'!$B$13,Paramètres!$A$1:$I$89,5,0)</f>
        <v>300.31560000000013</v>
      </c>
      <c r="CV88" s="14">
        <f t="shared" si="95"/>
        <v>71.242621308749136</v>
      </c>
      <c r="CW88" s="22">
        <f t="shared" si="67"/>
        <v>647.13056877940483</v>
      </c>
      <c r="CX88" s="60">
        <f t="shared" si="68"/>
        <v>940.4639021127382</v>
      </c>
      <c r="CY88" s="60">
        <f ca="1">AVERAGE(OFFSET($CX$3,0,0,'Données projet'!$E$13+1,1))-AVERAGE(OFFSET($H$3,0,0,'Données projet'!$E$13+1,1))</f>
        <v>488.44916315274139</v>
      </c>
      <c r="CZ88" s="60">
        <f t="shared" si="96"/>
        <v>348.17941150148209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0.86517609074366797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0.86517609074366797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7.4950142450142483</v>
      </c>
      <c r="N89" s="14">
        <f>IF('Données projet'!$A$36&gt;35,N88+M89-V88,IF(A89&lt;'Données projet'!$A$36,$K$205^A89,IF(A89='Données projet'!$A$36,'Données projet'!$B$36,N88+M89-V88)))</f>
        <v>273.3739316239317</v>
      </c>
      <c r="O89" s="14">
        <f>N89*VLOOKUP('Données projet'!$B$9,Paramètres!$A$1:$I$89,3,0)*VLOOKUP('Données projet'!$B$9,Paramètres!$A$1:$I$89,5,0)</f>
        <v>247.3487333333334</v>
      </c>
      <c r="P89" s="14">
        <f t="shared" si="87"/>
        <v>60.017860197565874</v>
      </c>
      <c r="Q89" s="22">
        <f t="shared" si="54"/>
        <v>535.33015039964948</v>
      </c>
      <c r="R89" s="60">
        <f t="shared" si="55"/>
        <v>828.66348373298274</v>
      </c>
      <c r="S89" s="60">
        <f ca="1">AVERAGE(OFFSET($R$3,0,0,'Données projet'!$E$9+1,1))-AVERAGE(OFFSET($H$3,0,0,'Données projet'!$E$9+1,1))</f>
        <v>319.72731970820928</v>
      </c>
      <c r="T89" s="60">
        <f t="shared" si="88"/>
        <v>279.93992813630513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7.2</v>
      </c>
      <c r="AI89" s="14">
        <f>IF('Données projet'!$A$62&gt;35,AI88+AH89-AQ88,IF(A89&lt;'Données projet'!$A$62,$AF$205^A89,IF(A89='Données projet'!$A$62,'Données projet'!$B$62,AI88+AH89-AQ88)))</f>
        <v>313.20000000000022</v>
      </c>
      <c r="AJ89" s="14">
        <f>AI89*VLOOKUP('Données projet'!$B$10,Paramètres!$A$1:$I$89,3,0)*VLOOKUP('Données projet'!$B$10,Paramètres!$A$1:$I$89,5,0)</f>
        <v>317.58480000000026</v>
      </c>
      <c r="AK89" s="14">
        <f t="shared" si="89"/>
        <v>74.850602966719961</v>
      </c>
      <c r="AL89" s="22">
        <f t="shared" si="58"/>
        <v>683.49166016703759</v>
      </c>
      <c r="AM89" s="60">
        <f t="shared" si="59"/>
        <v>976.82499350037097</v>
      </c>
      <c r="AN89" s="60">
        <f ca="1">AVERAGE(OFFSET($AM$3,0,0,'Données projet'!$E$10+1,1))-AVERAGE(OFFSET($H$3,0,0,'Données projet'!$E$10+1,1))</f>
        <v>505.64100207870439</v>
      </c>
      <c r="AO89" s="60">
        <f t="shared" si="90"/>
        <v>371.76229669709249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0.95534630041300916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0.95534630041300916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-2.8421709430404007E-13</v>
      </c>
      <c r="BE89" s="14">
        <f>BD89*VLOOKUP('Données projet'!$B$11,Paramètres!$A$1:$I$89,3,0)*VLOOKUP('Données projet'!$B$11,Paramètres!$A$1:$I$89,5,0)</f>
        <v>-2.2612312022829427E-13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353.26636241468884</v>
      </c>
      <c r="BJ89" s="60">
        <f t="shared" si="92"/>
        <v>345.4750813433123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1.286958961137211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1.286958961137211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4.3589743589743648</v>
      </c>
      <c r="BY89" s="13">
        <f>IF('Données projet'!$A$114&gt;35,BY88+BX89-CG88,IF(A89&lt;'Données projet'!$A$114,$BV$205^A89,IF(A89='Données projet'!$A$114,'Données projet'!$B$114,BY88+BX89-CG88)))</f>
        <v>324.87179487179492</v>
      </c>
      <c r="BZ89" s="14">
        <f>BY89*VLOOKUP('Données projet'!$B$12,Paramètres!$A$1:$I$89,3,0)*VLOOKUP('Données projet'!$B$12,Paramètres!$A$1:$I$89,5,0)</f>
        <v>217.92400000000001</v>
      </c>
      <c r="CA89" s="14">
        <f t="shared" si="93"/>
        <v>53.663428701179583</v>
      </c>
      <c r="CB89" s="22">
        <f t="shared" si="64"/>
        <v>473.01477165455441</v>
      </c>
      <c r="CC89" s="60">
        <f t="shared" si="65"/>
        <v>766.34810498788772</v>
      </c>
      <c r="CD89" s="60">
        <f ca="1">AVERAGE(OFFSET($CC$3,0,0,'Données projet'!$E$12+1,1))-AVERAGE(OFFSET($H$3,0,0,'Données projet'!$E$12+1,1))</f>
        <v>362.1372269575329</v>
      </c>
      <c r="CE89" s="60">
        <f t="shared" si="94"/>
        <v>308.1559670593121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0.64808313173764209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0.64808313173764209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6.2</v>
      </c>
      <c r="CT89" s="13">
        <f>IF('Données projet'!$A$140&gt;35,CT88+CS89-DB88,IF(A89&lt;'Données projet'!$A$140,$CQ$205^A89,IF(A89='Données projet'!$A$140,'Données projet'!$B$140,CT88+CS89-DB88)))</f>
        <v>285.2000000000001</v>
      </c>
      <c r="CU89" s="18">
        <f>CT89*VLOOKUP('Données projet'!$B$13,Paramètres!$A$1:$I$89,3,0)*VLOOKUP('Données projet'!$B$13,Paramètres!$A$1:$I$89,5,0)</f>
        <v>306.98928000000012</v>
      </c>
      <c r="CV89" s="14">
        <f t="shared" si="95"/>
        <v>72.639715316458691</v>
      </c>
      <c r="CW89" s="22">
        <f t="shared" si="67"/>
        <v>661.18716684283243</v>
      </c>
      <c r="CX89" s="60">
        <f t="shared" si="68"/>
        <v>954.5205001761658</v>
      </c>
      <c r="CY89" s="60">
        <f ca="1">AVERAGE(OFFSET($CX$3,0,0,'Données projet'!$E$13+1,1))-AVERAGE(OFFSET($H$3,0,0,'Données projet'!$E$13+1,1))</f>
        <v>488.44916315274139</v>
      </c>
      <c r="CZ89" s="60">
        <f t="shared" si="96"/>
        <v>348.17941150148209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0.84151780504464913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0.84151780504464913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7.4950142450142483</v>
      </c>
      <c r="N90" s="14">
        <f>IF('Données projet'!$A$36&gt;35,N89+M90-V89,IF(A90&lt;'Données projet'!$A$36,$K$205^A90,IF(A90='Données projet'!$A$36,'Données projet'!$B$36,N89+M90-V89)))</f>
        <v>280.86894586894596</v>
      </c>
      <c r="O90" s="14">
        <f>N90*VLOOKUP('Données projet'!$B$9,Paramètres!$A$1:$I$89,3,0)*VLOOKUP('Données projet'!$B$9,Paramètres!$A$1:$I$89,5,0)</f>
        <v>254.13022222222227</v>
      </c>
      <c r="P90" s="14">
        <f t="shared" si="87"/>
        <v>61.469520573147541</v>
      </c>
      <c r="Q90" s="22">
        <f t="shared" si="54"/>
        <v>549.66955203526913</v>
      </c>
      <c r="R90" s="60">
        <f t="shared" si="55"/>
        <v>843.00288536860239</v>
      </c>
      <c r="S90" s="60">
        <f ca="1">AVERAGE(OFFSET($R$3,0,0,'Données projet'!$E$9+1,1))-AVERAGE(OFFSET($H$3,0,0,'Données projet'!$E$9+1,1))</f>
        <v>319.72731970820928</v>
      </c>
      <c r="T90" s="60">
        <f t="shared" si="88"/>
        <v>279.93992813630513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7.2</v>
      </c>
      <c r="AI90" s="14">
        <f>IF('Données projet'!$A$62&gt;35,AI89+AH90-AQ89,IF(A90&lt;'Données projet'!$A$62,$AF$205^A90,IF(A90='Données projet'!$A$62,'Données projet'!$B$62,AI89+AH90-AQ89)))</f>
        <v>320.4000000000002</v>
      </c>
      <c r="AJ90" s="14">
        <f>AI90*VLOOKUP('Données projet'!$B$10,Paramètres!$A$1:$I$89,3,0)*VLOOKUP('Données projet'!$B$10,Paramètres!$A$1:$I$89,5,0)</f>
        <v>324.88560000000024</v>
      </c>
      <c r="AK90" s="14">
        <f t="shared" si="89"/>
        <v>76.368999578845859</v>
      </c>
      <c r="AL90" s="22">
        <f t="shared" si="58"/>
        <v>698.85176093315692</v>
      </c>
      <c r="AM90" s="60">
        <f t="shared" si="59"/>
        <v>992.1850942664903</v>
      </c>
      <c r="AN90" s="60">
        <f ca="1">AVERAGE(OFFSET($AM$3,0,0,'Données projet'!$E$10+1,1))-AVERAGE(OFFSET($H$3,0,0,'Données projet'!$E$10+1,1))</f>
        <v>505.64100207870439</v>
      </c>
      <c r="AO90" s="60">
        <f t="shared" si="90"/>
        <v>371.76229669709249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0.92922230558873697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0.92922230558873697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-2.8421709430404007E-13</v>
      </c>
      <c r="BE90" s="14">
        <f>BD90*VLOOKUP('Données projet'!$B$11,Paramètres!$A$1:$I$89,3,0)*VLOOKUP('Données projet'!$B$11,Paramètres!$A$1:$I$89,5,0)</f>
        <v>-2.2612312022829427E-13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353.26636241468884</v>
      </c>
      <c r="BJ90" s="60">
        <f t="shared" si="92"/>
        <v>345.4750813433123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1.2517670006666837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1.2517670006666837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4.3589743589743648</v>
      </c>
      <c r="BY90" s="13">
        <f>IF('Données projet'!$A$114&gt;35,BY89+BX90-CG89,IF(A90&lt;'Données projet'!$A$114,$BV$205^A90,IF(A90='Données projet'!$A$114,'Données projet'!$B$114,BY89+BX90-CG89)))</f>
        <v>329.23076923076928</v>
      </c>
      <c r="BZ90" s="14">
        <f>BY90*VLOOKUP('Données projet'!$B$12,Paramètres!$A$1:$I$89,3,0)*VLOOKUP('Données projet'!$B$12,Paramètres!$A$1:$I$89,5,0)</f>
        <v>220.84800000000004</v>
      </c>
      <c r="CA90" s="14">
        <f t="shared" si="93"/>
        <v>54.299153043191723</v>
      </c>
      <c r="CB90" s="22">
        <f t="shared" si="64"/>
        <v>479.214624883559</v>
      </c>
      <c r="CC90" s="60">
        <f t="shared" si="65"/>
        <v>772.54795821689231</v>
      </c>
      <c r="CD90" s="60">
        <f ca="1">AVERAGE(OFFSET($CC$3,0,0,'Données projet'!$E$12+1,1))-AVERAGE(OFFSET($H$3,0,0,'Données projet'!$E$12+1,1))</f>
        <v>362.1372269575329</v>
      </c>
      <c r="CE90" s="60">
        <f t="shared" si="94"/>
        <v>308.1559670593121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0.63036126441906559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0.63036126441906559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6.2</v>
      </c>
      <c r="CT90" s="13">
        <f>IF('Données projet'!$A$140&gt;35,CT89+CS90-DB89,IF(A90&lt;'Données projet'!$A$140,$CQ$205^A90,IF(A90='Données projet'!$A$140,'Données projet'!$B$140,CT89+CS90-DB89)))</f>
        <v>291.40000000000009</v>
      </c>
      <c r="CU90" s="18">
        <f>CT90*VLOOKUP('Données projet'!$B$13,Paramètres!$A$1:$I$89,3,0)*VLOOKUP('Données projet'!$B$13,Paramètres!$A$1:$I$89,5,0)</f>
        <v>313.66296000000011</v>
      </c>
      <c r="CV90" s="14">
        <f t="shared" si="95"/>
        <v>74.033278244018859</v>
      </c>
      <c r="CW90" s="22">
        <f t="shared" si="67"/>
        <v>675.23761494166627</v>
      </c>
      <c r="CX90" s="60">
        <f t="shared" si="68"/>
        <v>968.57094827499964</v>
      </c>
      <c r="CY90" s="60">
        <f ca="1">AVERAGE(OFFSET($CX$3,0,0,'Données projet'!$E$13+1,1))-AVERAGE(OFFSET($H$3,0,0,'Données projet'!$E$13+1,1))</f>
        <v>488.44916315274139</v>
      </c>
      <c r="CZ90" s="60">
        <f t="shared" si="96"/>
        <v>348.17941150148209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0.8185064564122051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0.8185064564122051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7.4950142450142483</v>
      </c>
      <c r="N91" s="14">
        <f>IF('Données projet'!$A$36&gt;35,N90+M91-V90,IF(A91&lt;'Données projet'!$A$36,$K$205^A91,IF(A91='Données projet'!$A$36,'Données projet'!$B$36,N90+M91-V90)))</f>
        <v>288.36396011396022</v>
      </c>
      <c r="O91" s="14">
        <f>N91*VLOOKUP('Données projet'!$B$9,Paramètres!$A$1:$I$89,3,0)*VLOOKUP('Données projet'!$B$9,Paramètres!$A$1:$I$89,5,0)</f>
        <v>260.91171111111117</v>
      </c>
      <c r="P91" s="14">
        <f t="shared" si="87"/>
        <v>62.916678312142118</v>
      </c>
      <c r="Q91" s="22">
        <f t="shared" si="54"/>
        <v>564.00111157883271</v>
      </c>
      <c r="R91" s="60">
        <f t="shared" si="55"/>
        <v>857.33444491216596</v>
      </c>
      <c r="S91" s="60">
        <f ca="1">AVERAGE(OFFSET($R$3,0,0,'Données projet'!$E$9+1,1))-AVERAGE(OFFSET($H$3,0,0,'Données projet'!$E$9+1,1))</f>
        <v>319.72731970820928</v>
      </c>
      <c r="T91" s="60">
        <f t="shared" si="88"/>
        <v>279.93992813630513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7.2</v>
      </c>
      <c r="AI91" s="14">
        <f>IF('Données projet'!$A$62&gt;35,AI90+AH91-AQ90,IF(A91&lt;'Données projet'!$A$62,$AF$205^A91,IF(A91='Données projet'!$A$62,'Données projet'!$B$62,AI90+AH91-AQ90)))</f>
        <v>327.60000000000019</v>
      </c>
      <c r="AJ91" s="14">
        <f>AI91*VLOOKUP('Données projet'!$B$10,Paramètres!$A$1:$I$89,3,0)*VLOOKUP('Données projet'!$B$10,Paramètres!$A$1:$I$89,5,0)</f>
        <v>332.18640000000022</v>
      </c>
      <c r="AK91" s="14">
        <f t="shared" si="89"/>
        <v>77.883429311949811</v>
      </c>
      <c r="AL91" s="22">
        <f t="shared" si="58"/>
        <v>714.20495271831294</v>
      </c>
      <c r="AM91" s="60">
        <f t="shared" si="59"/>
        <v>1007.5382860516463</v>
      </c>
      <c r="AN91" s="60">
        <f ca="1">AVERAGE(OFFSET($AM$3,0,0,'Données projet'!$E$10+1,1))-AVERAGE(OFFSET($H$3,0,0,'Données projet'!$E$10+1,1))</f>
        <v>505.64100207870439</v>
      </c>
      <c r="AO91" s="60">
        <f t="shared" si="90"/>
        <v>371.76229669709249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0.90381267277673571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0.90381267277673571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-2.8421709430404007E-13</v>
      </c>
      <c r="BE91" s="14">
        <f>BD91*VLOOKUP('Données projet'!$B$11,Paramètres!$A$1:$I$89,3,0)*VLOOKUP('Données projet'!$B$11,Paramètres!$A$1:$I$89,5,0)</f>
        <v>-2.2612312022829427E-13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353.26636241468884</v>
      </c>
      <c r="BJ91" s="60">
        <f t="shared" si="92"/>
        <v>345.4750813433123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1.2175373662058875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1.2175373662058875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4.3589743589743648</v>
      </c>
      <c r="BY91" s="13">
        <f>IF('Données projet'!$A$114&gt;35,BY90+BX91-CG90,IF(A91&lt;'Données projet'!$A$114,$BV$205^A91,IF(A91='Données projet'!$A$114,'Données projet'!$B$114,BY90+BX91-CG90)))</f>
        <v>333.58974358974365</v>
      </c>
      <c r="BZ91" s="14">
        <f>BY91*VLOOKUP('Données projet'!$B$12,Paramètres!$A$1:$I$89,3,0)*VLOOKUP('Données projet'!$B$12,Paramètres!$A$1:$I$89,5,0)</f>
        <v>223.77200000000005</v>
      </c>
      <c r="CA91" s="14">
        <f t="shared" si="93"/>
        <v>54.933898381063038</v>
      </c>
      <c r="CB91" s="22">
        <f t="shared" si="64"/>
        <v>485.4127730136849</v>
      </c>
      <c r="CC91" s="60">
        <f t="shared" si="65"/>
        <v>778.74610634701821</v>
      </c>
      <c r="CD91" s="60">
        <f ca="1">AVERAGE(OFFSET($CC$3,0,0,'Données projet'!$E$12+1,1))-AVERAGE(OFFSET($H$3,0,0,'Données projet'!$E$12+1,1))</f>
        <v>362.1372269575329</v>
      </c>
      <c r="CE91" s="60">
        <f t="shared" si="94"/>
        <v>308.1559670593121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0.61312400249426802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0.61312400249426802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6.2</v>
      </c>
      <c r="CT91" s="13">
        <f>IF('Données projet'!$A$140&gt;35,CT90+CS91-DB90,IF(A91&lt;'Données projet'!$A$140,$CQ$205^A91,IF(A91='Données projet'!$A$140,'Données projet'!$B$140,CT90+CS91-DB90)))</f>
        <v>297.60000000000008</v>
      </c>
      <c r="CU91" s="18">
        <f>CT91*VLOOKUP('Données projet'!$B$13,Paramètres!$A$1:$I$89,3,0)*VLOOKUP('Données projet'!$B$13,Paramètres!$A$1:$I$89,5,0)</f>
        <v>320.3366400000001</v>
      </c>
      <c r="CV91" s="14">
        <f t="shared" si="95"/>
        <v>75.423393874842489</v>
      </c>
      <c r="CW91" s="22">
        <f t="shared" si="67"/>
        <v>689.28205899868408</v>
      </c>
      <c r="CX91" s="60">
        <f t="shared" si="68"/>
        <v>982.61539233201734</v>
      </c>
      <c r="CY91" s="60">
        <f ca="1">AVERAGE(OFFSET($CX$3,0,0,'Données projet'!$E$13+1,1))-AVERAGE(OFFSET($H$3,0,0,'Données projet'!$E$13+1,1))</f>
        <v>488.44916315274139</v>
      </c>
      <c r="CZ91" s="60">
        <f t="shared" si="96"/>
        <v>348.17941150148209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0.79612435431822948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0.79612435431822948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>
        <f>VLOOKUP(A92,'Données projet'!$A$35:$I$55,2,0)</f>
        <v>295.85897435897436</v>
      </c>
      <c r="L92" s="13">
        <f>VLOOKUP(A92,'Données projet'!$A$35:$I$55,9,0)</f>
        <v>7.4950142450142483</v>
      </c>
      <c r="M92" s="13">
        <f t="array" ref="M92">INDEX(L:L,MIN(IF(ISNUMBER(L92:L288),ROW(L92:L288),"")))</f>
        <v>7.4950142450142483</v>
      </c>
      <c r="N92" s="14">
        <f>IF('Données projet'!$A$36&gt;35,N91+M92-V91,IF(A92&lt;'Données projet'!$A$36,$K$205^A92,IF(A92='Données projet'!$A$36,'Données projet'!$B$36,N91+M92-V91)))</f>
        <v>295.85897435897448</v>
      </c>
      <c r="O92" s="14">
        <f>N92*VLOOKUP('Données projet'!$B$9,Paramètres!$A$1:$I$89,3,0)*VLOOKUP('Données projet'!$B$9,Paramètres!$A$1:$I$89,5,0)</f>
        <v>267.6932000000001</v>
      </c>
      <c r="P92" s="14">
        <f t="shared" si="87"/>
        <v>64.359463899490166</v>
      </c>
      <c r="Q92" s="22">
        <f t="shared" si="54"/>
        <v>578.32505629161221</v>
      </c>
      <c r="R92" s="60">
        <f t="shared" si="55"/>
        <v>871.65838962494558</v>
      </c>
      <c r="S92" s="60">
        <f ca="1">AVERAGE(OFFSET($R$3,0,0,'Données projet'!$E$9+1,1))-AVERAGE(OFFSET($H$3,0,0,'Données projet'!$E$9+1,1))</f>
        <v>319.72731970820928</v>
      </c>
      <c r="T92" s="60">
        <f t="shared" si="88"/>
        <v>279.93992813630513</v>
      </c>
      <c r="U92" s="16">
        <f>IF(ISNA(VLOOKUP(A92,'Données projet'!$A$35:$I$55,3,0)),0,VLOOKUP(A92,'Données projet'!$A$35:$I$55,3,0))</f>
        <v>8</v>
      </c>
      <c r="V92" s="16">
        <f>IF(ISNA(VLOOKUP(A92,'Données projet'!$A$35:$I$55,4,0)),0,VLOOKUP(A92,'Données projet'!$A$35:$I$55,4,0))</f>
        <v>49.391025641025635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7.2</v>
      </c>
      <c r="AI92" s="14">
        <f>IF('Données projet'!$A$62&gt;35,AI91+AH92-AQ91,IF(A92&lt;'Données projet'!$A$62,$AF$205^A92,IF(A92='Données projet'!$A$62,'Données projet'!$B$62,AI91+AH92-AQ91)))</f>
        <v>334.80000000000018</v>
      </c>
      <c r="AJ92" s="14">
        <f>AI92*VLOOKUP('Données projet'!$B$10,Paramètres!$A$1:$I$89,3,0)*VLOOKUP('Données projet'!$B$10,Paramètres!$A$1:$I$89,5,0)</f>
        <v>339.4872000000002</v>
      </c>
      <c r="AK92" s="14">
        <f t="shared" si="89"/>
        <v>79.393989389839675</v>
      </c>
      <c r="AL92" s="22">
        <f t="shared" si="58"/>
        <v>729.55140485397112</v>
      </c>
      <c r="AM92" s="60">
        <f t="shared" si="59"/>
        <v>1022.8847381873045</v>
      </c>
      <c r="AN92" s="60">
        <f ca="1">AVERAGE(OFFSET($AM$3,0,0,'Données projet'!$E$10+1,1))-AVERAGE(OFFSET($H$3,0,0,'Données projet'!$E$10+1,1))</f>
        <v>505.64100207870439</v>
      </c>
      <c r="AO92" s="60">
        <f t="shared" si="90"/>
        <v>371.76229669709249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0.87909786771021314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0.87909786771021314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-2.8421709430404007E-13</v>
      </c>
      <c r="BE92" s="14">
        <f>BD92*VLOOKUP('Données projet'!$B$11,Paramètres!$A$1:$I$89,3,0)*VLOOKUP('Données projet'!$B$11,Paramètres!$A$1:$I$89,5,0)</f>
        <v>-2.2612312022829427E-13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353.26636241468884</v>
      </c>
      <c r="BJ92" s="60">
        <f t="shared" si="92"/>
        <v>345.4750813433123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1.1842437428994801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1.1842437428994801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4.3589743589743648</v>
      </c>
      <c r="BY92" s="13">
        <f>IF('Données projet'!$A$114&gt;35,BY91+BX92-CG91,IF(A92&lt;'Données projet'!$A$114,$BV$205^A92,IF(A92='Données projet'!$A$114,'Données projet'!$B$114,BY91+BX92-CG91)))</f>
        <v>337.94871794871801</v>
      </c>
      <c r="BZ92" s="14">
        <f>BY92*VLOOKUP('Données projet'!$B$12,Paramètres!$A$1:$I$89,3,0)*VLOOKUP('Données projet'!$B$12,Paramètres!$A$1:$I$89,5,0)</f>
        <v>226.69600000000005</v>
      </c>
      <c r="CA92" s="14">
        <f t="shared" si="93"/>
        <v>55.567678986325824</v>
      </c>
      <c r="CB92" s="22">
        <f t="shared" si="64"/>
        <v>491.60924090118425</v>
      </c>
      <c r="CC92" s="60">
        <f t="shared" si="65"/>
        <v>784.94257423451756</v>
      </c>
      <c r="CD92" s="60">
        <f ca="1">AVERAGE(OFFSET($CC$3,0,0,'Données projet'!$E$12+1,1))-AVERAGE(OFFSET($H$3,0,0,'Données projet'!$E$12+1,1))</f>
        <v>362.1372269575329</v>
      </c>
      <c r="CE92" s="60">
        <f t="shared" si="94"/>
        <v>308.1559670593121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0.59635809440327225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0.59635809440327225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6.2</v>
      </c>
      <c r="CT92" s="13">
        <f>IF('Données projet'!$A$140&gt;35,CT91+CS92-DB91,IF(A92&lt;'Données projet'!$A$140,$CQ$205^A92,IF(A92='Données projet'!$A$140,'Données projet'!$B$140,CT91+CS92-DB91)))</f>
        <v>303.80000000000007</v>
      </c>
      <c r="CU92" s="18">
        <f>CT92*VLOOKUP('Données projet'!$B$13,Paramètres!$A$1:$I$89,3,0)*VLOOKUP('Données projet'!$B$13,Paramètres!$A$1:$I$89,5,0)</f>
        <v>327.01032000000009</v>
      </c>
      <c r="CV92" s="14">
        <f t="shared" si="95"/>
        <v>76.810142301866321</v>
      </c>
      <c r="CW92" s="22">
        <f t="shared" si="67"/>
        <v>703.32063850908401</v>
      </c>
      <c r="CX92" s="60">
        <f t="shared" si="68"/>
        <v>996.65397184241738</v>
      </c>
      <c r="CY92" s="60">
        <f ca="1">AVERAGE(OFFSET($CX$3,0,0,'Données projet'!$E$13+1,1))-AVERAGE(OFFSET($H$3,0,0,'Données projet'!$E$13+1,1))</f>
        <v>488.44916315274139</v>
      </c>
      <c r="CZ92" s="60">
        <f t="shared" si="96"/>
        <v>348.17941150148209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0.77435429198303729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0.77435429198303729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7.1782051282051267</v>
      </c>
      <c r="N93" s="14">
        <f>IF('Données projet'!$A$36&gt;35,N92+M93-V92,IF(A93&lt;'Données projet'!$A$36,$K$205^A93,IF(A93='Données projet'!$A$36,'Données projet'!$B$36,N92+M93-V92)))</f>
        <v>253.64615384615399</v>
      </c>
      <c r="O93" s="14">
        <f>N93*VLOOKUP('Données projet'!$B$9,Paramètres!$A$1:$I$89,3,0)*VLOOKUP('Données projet'!$B$9,Paramètres!$A$1:$I$89,5,0)</f>
        <v>229.49904000000012</v>
      </c>
      <c r="P93" s="14">
        <f t="shared" si="87"/>
        <v>56.174348524497042</v>
      </c>
      <c r="Q93" s="22">
        <f t="shared" si="54"/>
        <v>497.54781834683246</v>
      </c>
      <c r="R93" s="60">
        <f t="shared" si="55"/>
        <v>790.88115168016577</v>
      </c>
      <c r="S93" s="60">
        <f ca="1">AVERAGE(OFFSET($R$3,0,0,'Données projet'!$E$9+1,1))-AVERAGE(OFFSET($H$3,0,0,'Données projet'!$E$9+1,1))</f>
        <v>319.72731970820928</v>
      </c>
      <c r="T93" s="60">
        <f t="shared" si="88"/>
        <v>279.93992813630513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342</v>
      </c>
      <c r="AG93" s="13">
        <f>VLOOKUP(A93,'Données projet'!$A$61:$I$81,9,0)</f>
        <v>7.2</v>
      </c>
      <c r="AH93" s="13">
        <f t="array" ref="AH93">INDEX(AG:AG,MIN(IF(ISNUMBER(AG93:AG289),ROW(AG93:AG289),"")))</f>
        <v>7.2</v>
      </c>
      <c r="AI93" s="14">
        <f>IF('Données projet'!$A$62&gt;35,AI92+AH93-AQ92,IF(A93&lt;'Données projet'!$A$62,$AF$205^A93,IF(A93='Données projet'!$A$62,'Données projet'!$B$62,AI92+AH93-AQ92)))</f>
        <v>342.00000000000017</v>
      </c>
      <c r="AJ93" s="14">
        <f>AI93*VLOOKUP('Données projet'!$B$10,Paramètres!$A$1:$I$89,3,0)*VLOOKUP('Données projet'!$B$10,Paramètres!$A$1:$I$89,5,0)</f>
        <v>346.78800000000018</v>
      </c>
      <c r="AK93" s="14">
        <f t="shared" si="89"/>
        <v>80.900772615791055</v>
      </c>
      <c r="AL93" s="22">
        <f t="shared" si="58"/>
        <v>744.89127897250307</v>
      </c>
      <c r="AM93" s="60">
        <f t="shared" si="59"/>
        <v>1038.2246123058364</v>
      </c>
      <c r="AN93" s="60">
        <f ca="1">AVERAGE(OFFSET($AM$3,0,0,'Données projet'!$E$10+1,1))-AVERAGE(OFFSET($H$3,0,0,'Données projet'!$E$10+1,1))</f>
        <v>505.64100207870439</v>
      </c>
      <c r="AO93" s="60">
        <f t="shared" si="90"/>
        <v>371.76229669709249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55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0.8550588902879297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0.8550588902879297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-2.8421709430404007E-13</v>
      </c>
      <c r="BE93" s="14">
        <f>BD93*VLOOKUP('Données projet'!$B$11,Paramètres!$A$1:$I$89,3,0)*VLOOKUP('Données projet'!$B$11,Paramètres!$A$1:$I$89,5,0)</f>
        <v>-2.2612312022829427E-13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353.26636241468884</v>
      </c>
      <c r="BJ93" s="60">
        <f t="shared" si="92"/>
        <v>345.4750813433123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1.1518605354732221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1.1518605354732221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342.30769230769232</v>
      </c>
      <c r="BW93" s="13">
        <f>VLOOKUP(A93,'Données projet'!$A$113:$I$133,9,0)</f>
        <v>4.3589743589743648</v>
      </c>
      <c r="BX93" s="13">
        <f t="array" ref="BX93">INDEX(BW:BW,MIN(IF(ISNUMBER(BW93:BW289),ROW(BW93:BW289),"")))</f>
        <v>4.3589743589743648</v>
      </c>
      <c r="BY93" s="13">
        <f>IF('Données projet'!$A$114&gt;35,BY92+BX93-CG92,IF(A93&lt;'Données projet'!$A$114,$BV$205^A93,IF(A93='Données projet'!$A$114,'Données projet'!$B$114,BY92+BX93-CG92)))</f>
        <v>342.30769230769238</v>
      </c>
      <c r="BZ93" s="14">
        <f>BY93*VLOOKUP('Données projet'!$B$12,Paramètres!$A$1:$I$89,3,0)*VLOOKUP('Données projet'!$B$12,Paramètres!$A$1:$I$89,5,0)</f>
        <v>229.62000000000003</v>
      </c>
      <c r="CA93" s="14">
        <f t="shared" si="93"/>
        <v>56.200508741188202</v>
      </c>
      <c r="CB93" s="22">
        <f t="shared" si="64"/>
        <v>497.8040527242361</v>
      </c>
      <c r="CC93" s="60">
        <f t="shared" si="65"/>
        <v>791.13738605756942</v>
      </c>
      <c r="CD93" s="60">
        <f ca="1">AVERAGE(OFFSET($CC$3,0,0,'Données projet'!$E$12+1,1))-AVERAGE(OFFSET($H$3,0,0,'Données projet'!$E$12+1,1))</f>
        <v>362.1372269575329</v>
      </c>
      <c r="CE93" s="60">
        <f t="shared" si="94"/>
        <v>308.1559670593121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27.564102564102562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0.58005065095070563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0.58005065095070563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310</v>
      </c>
      <c r="CR93" s="13">
        <f>VLOOKUP(A93,'Données projet'!$A$139:$I$159,9,0)</f>
        <v>6.2</v>
      </c>
      <c r="CS93" s="13">
        <f t="array" ref="CS93">INDEX(CR:CR,MIN(IF(ISNUMBER(CR93:CR289),ROW(CR93:CR289),"")))</f>
        <v>6.2</v>
      </c>
      <c r="CT93" s="13">
        <f>IF('Données projet'!$A$140&gt;35,CT92+CS93-DB92,IF(A93&lt;'Données projet'!$A$140,$CQ$205^A93,IF(A93='Données projet'!$A$140,'Données projet'!$B$140,CT92+CS93-DB92)))</f>
        <v>310.00000000000006</v>
      </c>
      <c r="CU93" s="18">
        <f>CT93*VLOOKUP('Données projet'!$B$13,Paramètres!$A$1:$I$89,3,0)*VLOOKUP('Données projet'!$B$13,Paramètres!$A$1:$I$89,5,0)</f>
        <v>333.68400000000008</v>
      </c>
      <c r="CV93" s="14">
        <f t="shared" si="95"/>
        <v>78.193600162051666</v>
      </c>
      <c r="CW93" s="22">
        <f t="shared" si="67"/>
        <v>717.35348694890672</v>
      </c>
      <c r="CX93" s="60">
        <f t="shared" si="68"/>
        <v>1010.68682028224</v>
      </c>
      <c r="CY93" s="60">
        <f ca="1">AVERAGE(OFFSET($CX$3,0,0,'Données projet'!$E$13+1,1))-AVERAGE(OFFSET($H$3,0,0,'Données projet'!$E$13+1,1))</f>
        <v>488.44916315274139</v>
      </c>
      <c r="CZ93" s="60">
        <f t="shared" si="96"/>
        <v>348.17941150148209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47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0.75317953314723873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0.75317953314723873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7.1782051282051267</v>
      </c>
      <c r="N94" s="14">
        <f>IF('Données projet'!$A$36&gt;35,N93+M94-V93,IF(A94&lt;'Données projet'!$A$36,$K$205^A94,IF(A94='Données projet'!$A$36,'Données projet'!$B$36,N93+M94-V93)))</f>
        <v>260.82435897435914</v>
      </c>
      <c r="O94" s="14">
        <f>N94*VLOOKUP('Données projet'!$B$9,Paramètres!$A$1:$I$89,3,0)*VLOOKUP('Données projet'!$B$9,Paramètres!$A$1:$I$89,5,0)</f>
        <v>235.99388000000016</v>
      </c>
      <c r="P94" s="14">
        <f t="shared" si="87"/>
        <v>57.57675164364376</v>
      </c>
      <c r="Q94" s="22">
        <f t="shared" si="54"/>
        <v>511.3021834460132</v>
      </c>
      <c r="R94" s="60">
        <f t="shared" si="55"/>
        <v>804.63551677934652</v>
      </c>
      <c r="S94" s="60">
        <f ca="1">AVERAGE(OFFSET($R$3,0,0,'Données projet'!$E$9+1,1))-AVERAGE(OFFSET($H$3,0,0,'Données projet'!$E$9+1,1))</f>
        <v>319.72731970820928</v>
      </c>
      <c r="T94" s="60">
        <f t="shared" si="88"/>
        <v>279.93992813630513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6.8</v>
      </c>
      <c r="AI94" s="14">
        <f>IF('Données projet'!$A$62&gt;35,AI93+AH94-AQ93,IF(A94&lt;'Données projet'!$A$62,$AF$205^A94,IF(A94='Données projet'!$A$62,'Données projet'!$B$62,AI93+AH94-AQ93)))</f>
        <v>293.80000000000018</v>
      </c>
      <c r="AJ94" s="14">
        <f>AI94*VLOOKUP('Données projet'!$B$10,Paramètres!$A$1:$I$89,3,0)*VLOOKUP('Données projet'!$B$10,Paramètres!$A$1:$I$89,5,0)</f>
        <v>297.91320000000019</v>
      </c>
      <c r="AK94" s="14">
        <f t="shared" si="89"/>
        <v>70.738812474275591</v>
      </c>
      <c r="AL94" s="22">
        <f t="shared" si="58"/>
        <v>642.06892172603023</v>
      </c>
      <c r="AM94" s="60">
        <f t="shared" si="59"/>
        <v>935.4022550593636</v>
      </c>
      <c r="AN94" s="60">
        <f ca="1">AVERAGE(OFFSET($AM$3,0,0,'Données projet'!$E$10+1,1))-AVERAGE(OFFSET($H$3,0,0,'Données projet'!$E$10+1,1))</f>
        <v>505.64100207870439</v>
      </c>
      <c r="AO94" s="60">
        <f t="shared" si="90"/>
        <v>371.76229669709249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0.83167725996741348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0.83167725996741348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-2.8421709430404007E-13</v>
      </c>
      <c r="BE94" s="14">
        <f>BD94*VLOOKUP('Données projet'!$B$11,Paramètres!$A$1:$I$89,3,0)*VLOOKUP('Données projet'!$B$11,Paramètres!$A$1:$I$89,5,0)</f>
        <v>-2.2612312022829427E-13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353.26636241468884</v>
      </c>
      <c r="BJ94" s="60">
        <f t="shared" si="92"/>
        <v>345.4750813433123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1.1203628485569939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1.1203628485569939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4.102564102564088</v>
      </c>
      <c r="BY94" s="13">
        <f>IF('Données projet'!$A$114&gt;35,BY93+BX94-CG93,IF(A94&lt;'Données projet'!$A$114,$BV$205^A94,IF(A94='Données projet'!$A$114,'Données projet'!$B$114,BY93+BX94-CG93)))</f>
        <v>318.84615384615392</v>
      </c>
      <c r="BZ94" s="14">
        <f>BY94*VLOOKUP('Données projet'!$B$12,Paramètres!$A$1:$I$89,3,0)*VLOOKUP('Données projet'!$B$12,Paramètres!$A$1:$I$89,5,0)</f>
        <v>213.88200000000003</v>
      </c>
      <c r="CA94" s="14">
        <f t="shared" si="93"/>
        <v>52.782993910626054</v>
      </c>
      <c r="CB94" s="22">
        <f t="shared" si="64"/>
        <v>464.44153106100708</v>
      </c>
      <c r="CC94" s="60">
        <f t="shared" si="65"/>
        <v>757.7748643943404</v>
      </c>
      <c r="CD94" s="60">
        <f ca="1">AVERAGE(OFFSET($CC$3,0,0,'Données projet'!$E$12+1,1))-AVERAGE(OFFSET($H$3,0,0,'Données projet'!$E$12+1,1))</f>
        <v>362.1372269575329</v>
      </c>
      <c r="CE94" s="60">
        <f t="shared" si="94"/>
        <v>308.1559670593121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0.56418913539692062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0.56418913539692062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</v>
      </c>
      <c r="CT94" s="13">
        <f>IF('Données projet'!$A$140&gt;35,CT93+CS94-DB93,IF(A94&lt;'Données projet'!$A$140,$CQ$205^A94,IF(A94='Données projet'!$A$140,'Données projet'!$B$140,CT93+CS94-DB93)))</f>
        <v>269.00000000000006</v>
      </c>
      <c r="CU94" s="18">
        <f>CT94*VLOOKUP('Données projet'!$B$13,Paramètres!$A$1:$I$89,3,0)*VLOOKUP('Données projet'!$B$13,Paramètres!$A$1:$I$89,5,0)</f>
        <v>289.55160000000001</v>
      </c>
      <c r="CV94" s="14">
        <f t="shared" si="95"/>
        <v>68.981578990770117</v>
      </c>
      <c r="CW94" s="22">
        <f t="shared" si="67"/>
        <v>624.44528674225796</v>
      </c>
      <c r="CX94" s="60">
        <f t="shared" si="68"/>
        <v>917.77862007559133</v>
      </c>
      <c r="CY94" s="60">
        <f ca="1">AVERAGE(OFFSET($CX$3,0,0,'Données projet'!$E$13+1,1))-AVERAGE(OFFSET($H$3,0,0,'Données projet'!$E$13+1,1))</f>
        <v>488.44916315274139</v>
      </c>
      <c r="CZ94" s="60">
        <f t="shared" si="96"/>
        <v>348.17941150148209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0.73258379920533723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0.73258379920533723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7.1782051282051267</v>
      </c>
      <c r="N95" s="14">
        <f>IF('Données projet'!$A$36&gt;35,N94+M95-V94,IF(A95&lt;'Données projet'!$A$36,$K$205^A95,IF(A95='Données projet'!$A$36,'Données projet'!$B$36,N94+M95-V94)))</f>
        <v>268.00256410256429</v>
      </c>
      <c r="O95" s="14">
        <f>N95*VLOOKUP('Données projet'!$B$9,Paramètres!$A$1:$I$89,3,0)*VLOOKUP('Données projet'!$B$9,Paramètres!$A$1:$I$89,5,0)</f>
        <v>242.48872000000014</v>
      </c>
      <c r="P95" s="14">
        <f t="shared" si="87"/>
        <v>58.974668795913999</v>
      </c>
      <c r="Q95" s="22">
        <f t="shared" si="54"/>
        <v>525.0487354862172</v>
      </c>
      <c r="R95" s="60">
        <f t="shared" si="55"/>
        <v>818.38206881955057</v>
      </c>
      <c r="S95" s="60">
        <f ca="1">AVERAGE(OFFSET($R$3,0,0,'Données projet'!$E$9+1,1))-AVERAGE(OFFSET($H$3,0,0,'Données projet'!$E$9+1,1))</f>
        <v>319.72731970820928</v>
      </c>
      <c r="T95" s="60">
        <f t="shared" si="88"/>
        <v>279.93992813630513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6.8</v>
      </c>
      <c r="AI95" s="14">
        <f>IF('Données projet'!$A$62&gt;35,AI94+AH95-AQ94,IF(A95&lt;'Données projet'!$A$62,$AF$205^A95,IF(A95='Données projet'!$A$62,'Données projet'!$B$62,AI94+AH95-AQ94)))</f>
        <v>300.60000000000019</v>
      </c>
      <c r="AJ95" s="14">
        <f>AI95*VLOOKUP('Données projet'!$B$10,Paramètres!$A$1:$I$89,3,0)*VLOOKUP('Données projet'!$B$10,Paramètres!$A$1:$I$89,5,0)</f>
        <v>304.80840000000023</v>
      </c>
      <c r="AK95" s="14">
        <f t="shared" si="89"/>
        <v>72.183554053972856</v>
      </c>
      <c r="AL95" s="22">
        <f t="shared" si="58"/>
        <v>656.59431997733645</v>
      </c>
      <c r="AM95" s="60">
        <f t="shared" si="59"/>
        <v>949.92765331066971</v>
      </c>
      <c r="AN95" s="60">
        <f ca="1">AVERAGE(OFFSET($AM$3,0,0,'Données projet'!$E$10+1,1))-AVERAGE(OFFSET($H$3,0,0,'Données projet'!$E$10+1,1))</f>
        <v>505.64100207870439</v>
      </c>
      <c r="AO95" s="60">
        <f t="shared" si="90"/>
        <v>371.76229669709249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0.80893500155759823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0.80893500155759823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-2.8421709430404007E-13</v>
      </c>
      <c r="BE95" s="14">
        <f>BD95*VLOOKUP('Données projet'!$B$11,Paramètres!$A$1:$I$89,3,0)*VLOOKUP('Données projet'!$B$11,Paramètres!$A$1:$I$89,5,0)</f>
        <v>-2.2612312022829427E-13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353.26636241468884</v>
      </c>
      <c r="BJ95" s="60">
        <f t="shared" si="92"/>
        <v>345.4750813433123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1.0897264675458813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1.0897264675458813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4.102564102564088</v>
      </c>
      <c r="BY95" s="13">
        <f>IF('Données projet'!$A$114&gt;35,BY94+BX95-CG94,IF(A95&lt;'Données projet'!$A$114,$BV$205^A95,IF(A95='Données projet'!$A$114,'Données projet'!$B$114,BY94+BX95-CG94)))</f>
        <v>322.94871794871801</v>
      </c>
      <c r="BZ95" s="14">
        <f>BY95*VLOOKUP('Données projet'!$B$12,Paramètres!$A$1:$I$89,3,0)*VLOOKUP('Données projet'!$B$12,Paramètres!$A$1:$I$89,5,0)</f>
        <v>216.63400000000004</v>
      </c>
      <c r="CA95" s="14">
        <f t="shared" si="93"/>
        <v>53.382647066119048</v>
      </c>
      <c r="CB95" s="22">
        <f t="shared" si="64"/>
        <v>470.27899364015747</v>
      </c>
      <c r="CC95" s="60">
        <f t="shared" si="65"/>
        <v>763.61232697349078</v>
      </c>
      <c r="CD95" s="60">
        <f ca="1">AVERAGE(OFFSET($CC$3,0,0,'Données projet'!$E$12+1,1))-AVERAGE(OFFSET($H$3,0,0,'Données projet'!$E$12+1,1))</f>
        <v>362.1372269575329</v>
      </c>
      <c r="CE95" s="60">
        <f t="shared" si="94"/>
        <v>308.1559670593121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0.54876135382007463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0.54876135382007463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</v>
      </c>
      <c r="CT95" s="13">
        <f>IF('Données projet'!$A$140&gt;35,CT94+CS95-DB94,IF(A95&lt;'Données projet'!$A$140,$CQ$205^A95,IF(A95='Données projet'!$A$140,'Données projet'!$B$140,CT94+CS95-DB94)))</f>
        <v>275.00000000000006</v>
      </c>
      <c r="CU95" s="18">
        <f>CT95*VLOOKUP('Données projet'!$B$13,Paramètres!$A$1:$I$89,3,0)*VLOOKUP('Données projet'!$B$13,Paramètres!$A$1:$I$89,5,0)</f>
        <v>296.01000000000005</v>
      </c>
      <c r="CV95" s="14">
        <f t="shared" si="95"/>
        <v>70.339355522692159</v>
      </c>
      <c r="CW95" s="22">
        <f t="shared" si="67"/>
        <v>638.05846086868894</v>
      </c>
      <c r="CX95" s="60">
        <f t="shared" si="68"/>
        <v>931.39179420202231</v>
      </c>
      <c r="CY95" s="60">
        <f ca="1">AVERAGE(OFFSET($CX$3,0,0,'Données projet'!$E$13+1,1))-AVERAGE(OFFSET($H$3,0,0,'Données projet'!$E$13+1,1))</f>
        <v>488.44916315274139</v>
      </c>
      <c r="CZ95" s="60">
        <f t="shared" si="96"/>
        <v>348.17941150148209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0.7125512566911596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0.7125512566911596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7.1782051282051267</v>
      </c>
      <c r="N96" s="14">
        <f>IF('Données projet'!$A$36&gt;35,N95+M96-V95,IF(A96&lt;'Données projet'!$A$36,$K$205^A96,IF(A96='Données projet'!$A$36,'Données projet'!$B$36,N95+M96-V95)))</f>
        <v>275.18076923076944</v>
      </c>
      <c r="O96" s="14">
        <f>N96*VLOOKUP('Données projet'!$B$9,Paramètres!$A$1:$I$89,3,0)*VLOOKUP('Données projet'!$B$9,Paramètres!$A$1:$I$89,5,0)</f>
        <v>248.98356000000018</v>
      </c>
      <c r="P96" s="14">
        <f t="shared" si="87"/>
        <v>60.368233943158558</v>
      </c>
      <c r="Q96" s="22">
        <f t="shared" si="54"/>
        <v>538.78770778433466</v>
      </c>
      <c r="R96" s="60">
        <f t="shared" si="55"/>
        <v>832.12104111766803</v>
      </c>
      <c r="S96" s="60">
        <f ca="1">AVERAGE(OFFSET($R$3,0,0,'Données projet'!$E$9+1,1))-AVERAGE(OFFSET($H$3,0,0,'Données projet'!$E$9+1,1))</f>
        <v>319.72731970820928</v>
      </c>
      <c r="T96" s="60">
        <f t="shared" si="88"/>
        <v>279.93992813630513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6.8</v>
      </c>
      <c r="AI96" s="14">
        <f>IF('Données projet'!$A$62&gt;35,AI95+AH96-AQ95,IF(A96&lt;'Données projet'!$A$62,$AF$205^A96,IF(A96='Données projet'!$A$62,'Données projet'!$B$62,AI95+AH96-AQ95)))</f>
        <v>307.4000000000002</v>
      </c>
      <c r="AJ96" s="14">
        <f>AI96*VLOOKUP('Données projet'!$B$10,Paramètres!$A$1:$I$89,3,0)*VLOOKUP('Données projet'!$B$10,Paramètres!$A$1:$I$89,5,0)</f>
        <v>311.70360000000022</v>
      </c>
      <c r="AK96" s="14">
        <f t="shared" si="89"/>
        <v>73.624496097462853</v>
      </c>
      <c r="AL96" s="22">
        <f t="shared" si="58"/>
        <v>671.1131007030815</v>
      </c>
      <c r="AM96" s="60">
        <f t="shared" si="59"/>
        <v>964.44643403641476</v>
      </c>
      <c r="AN96" s="60">
        <f ca="1">AVERAGE(OFFSET($AM$3,0,0,'Données projet'!$E$10+1,1))-AVERAGE(OFFSET($H$3,0,0,'Données projet'!$E$10+1,1))</f>
        <v>505.64100207870439</v>
      </c>
      <c r="AO96" s="60">
        <f t="shared" si="90"/>
        <v>371.76229669709249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0.78681463139996277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0.78681463139996277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-2.8421709430404007E-13</v>
      </c>
      <c r="BE96" s="14">
        <f>BD96*VLOOKUP('Données projet'!$B$11,Paramètres!$A$1:$I$89,3,0)*VLOOKUP('Données projet'!$B$11,Paramètres!$A$1:$I$89,5,0)</f>
        <v>-2.2612312022829427E-13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353.26636241468884</v>
      </c>
      <c r="BJ96" s="60">
        <f t="shared" si="92"/>
        <v>345.4750813433123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1.0599278399846148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1.0599278399846148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4.102564102564088</v>
      </c>
      <c r="BY96" s="13">
        <f>IF('Données projet'!$A$114&gt;35,BY95+BX96-CG95,IF(A96&lt;'Données projet'!$A$114,$BV$205^A96,IF(A96='Données projet'!$A$114,'Données projet'!$B$114,BY95+BX96-CG95)))</f>
        <v>327.0512820512821</v>
      </c>
      <c r="BZ96" s="14">
        <f>BY96*VLOOKUP('Données projet'!$B$12,Paramètres!$A$1:$I$89,3,0)*VLOOKUP('Données projet'!$B$12,Paramètres!$A$1:$I$89,5,0)</f>
        <v>219.38600000000002</v>
      </c>
      <c r="CA96" s="14">
        <f t="shared" si="93"/>
        <v>53.981414155321495</v>
      </c>
      <c r="CB96" s="22">
        <f t="shared" si="64"/>
        <v>476.11491298718494</v>
      </c>
      <c r="CC96" s="60">
        <f t="shared" si="65"/>
        <v>769.44824632051825</v>
      </c>
      <c r="CD96" s="60">
        <f ca="1">AVERAGE(OFFSET($CC$3,0,0,'Données projet'!$E$12+1,1))-AVERAGE(OFFSET($H$3,0,0,'Données projet'!$E$12+1,1))</f>
        <v>362.1372269575329</v>
      </c>
      <c r="CE96" s="60">
        <f t="shared" si="94"/>
        <v>308.1559670593121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0.53375544574175926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0.53375544574175926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</v>
      </c>
      <c r="CT96" s="13">
        <f>IF('Données projet'!$A$140&gt;35,CT95+CS96-DB95,IF(A96&lt;'Données projet'!$A$140,$CQ$205^A96,IF(A96='Données projet'!$A$140,'Données projet'!$B$140,CT95+CS96-DB95)))</f>
        <v>281.00000000000006</v>
      </c>
      <c r="CU96" s="18">
        <f>CT96*VLOOKUP('Données projet'!$B$13,Paramètres!$A$1:$I$89,3,0)*VLOOKUP('Données projet'!$B$13,Paramètres!$A$1:$I$89,5,0)</f>
        <v>302.46840000000003</v>
      </c>
      <c r="CV96" s="14">
        <f t="shared" si="95"/>
        <v>71.693687882090742</v>
      </c>
      <c r="CW96" s="22">
        <f t="shared" si="67"/>
        <v>651.66563639464141</v>
      </c>
      <c r="CX96" s="60">
        <f t="shared" si="68"/>
        <v>944.99896972797478</v>
      </c>
      <c r="CY96" s="60">
        <f ca="1">AVERAGE(OFFSET($CX$3,0,0,'Données projet'!$E$13+1,1))-AVERAGE(OFFSET($H$3,0,0,'Données projet'!$E$13+1,1))</f>
        <v>488.44916315274139</v>
      </c>
      <c r="CZ96" s="60">
        <f t="shared" si="96"/>
        <v>348.17941150148209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0.69306650510549783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0.69306650510549783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7.1782051282051267</v>
      </c>
      <c r="N97" s="14">
        <f>IF('Données projet'!$A$36&gt;35,N96+M97-V96,IF(A97&lt;'Données projet'!$A$36,$K$205^A97,IF(A97='Données projet'!$A$36,'Données projet'!$B$36,N96+M97-V96)))</f>
        <v>282.35897435897459</v>
      </c>
      <c r="O97" s="14">
        <f>N97*VLOOKUP('Données projet'!$B$9,Paramètres!$A$1:$I$89,3,0)*VLOOKUP('Données projet'!$B$9,Paramètres!$A$1:$I$89,5,0)</f>
        <v>255.47840000000019</v>
      </c>
      <c r="P97" s="14">
        <f t="shared" si="87"/>
        <v>61.757573660260746</v>
      </c>
      <c r="Q97" s="22">
        <f t="shared" si="54"/>
        <v>552.51932079162111</v>
      </c>
      <c r="R97" s="60">
        <f t="shared" si="55"/>
        <v>845.85265412495437</v>
      </c>
      <c r="S97" s="60">
        <f ca="1">AVERAGE(OFFSET($R$3,0,0,'Données projet'!$E$9+1,1))-AVERAGE(OFFSET($H$3,0,0,'Données projet'!$E$9+1,1))</f>
        <v>319.72731970820928</v>
      </c>
      <c r="T97" s="60">
        <f t="shared" si="88"/>
        <v>279.93992813630513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6.8</v>
      </c>
      <c r="AI97" s="14">
        <f>IF('Données projet'!$A$62&gt;35,AI96+AH97-AQ96,IF(A97&lt;'Données projet'!$A$62,$AF$205^A97,IF(A97='Données projet'!$A$62,'Données projet'!$B$62,AI96+AH97-AQ96)))</f>
        <v>314.20000000000022</v>
      </c>
      <c r="AJ97" s="14">
        <f>AI97*VLOOKUP('Données projet'!$B$10,Paramètres!$A$1:$I$89,3,0)*VLOOKUP('Données projet'!$B$10,Paramètres!$A$1:$I$89,5,0)</f>
        <v>318.59880000000027</v>
      </c>
      <c r="AK97" s="14">
        <f t="shared" si="89"/>
        <v>75.061732332458092</v>
      </c>
      <c r="AL97" s="22">
        <f t="shared" si="58"/>
        <v>685.62542714569827</v>
      </c>
      <c r="AM97" s="60">
        <f t="shared" si="59"/>
        <v>978.95876047903153</v>
      </c>
      <c r="AN97" s="60">
        <f ca="1">AVERAGE(OFFSET($AM$3,0,0,'Données projet'!$E$10+1,1))-AVERAGE(OFFSET($H$3,0,0,'Données projet'!$E$10+1,1))</f>
        <v>505.64100207870439</v>
      </c>
      <c r="AO97" s="60">
        <f t="shared" si="90"/>
        <v>371.76229669709249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0.76529914392754761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0.76529914392754761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-2.8421709430404007E-13</v>
      </c>
      <c r="BE97" s="14">
        <f>BD97*VLOOKUP('Données projet'!$B$11,Paramètres!$A$1:$I$89,3,0)*VLOOKUP('Données projet'!$B$11,Paramètres!$A$1:$I$89,5,0)</f>
        <v>-2.2612312022829427E-13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353.26636241468884</v>
      </c>
      <c r="BJ97" s="60">
        <f t="shared" si="92"/>
        <v>345.4750813433123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1.0309440574610529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1.0309440574610529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4.102564102564088</v>
      </c>
      <c r="BY97" s="13">
        <f>IF('Données projet'!$A$114&gt;35,BY96+BX97-CG96,IF(A97&lt;'Données projet'!$A$114,$BV$205^A97,IF(A97='Données projet'!$A$114,'Données projet'!$B$114,BY96+BX97-CG96)))</f>
        <v>331.15384615384619</v>
      </c>
      <c r="BZ97" s="14">
        <f>BY97*VLOOKUP('Données projet'!$B$12,Paramètres!$A$1:$I$89,3,0)*VLOOKUP('Données projet'!$B$12,Paramètres!$A$1:$I$89,5,0)</f>
        <v>222.13800000000001</v>
      </c>
      <c r="CA97" s="14">
        <f t="shared" si="93"/>
        <v>54.579307578512022</v>
      </c>
      <c r="CB97" s="22">
        <f t="shared" si="64"/>
        <v>481.94931069924172</v>
      </c>
      <c r="CC97" s="60">
        <f t="shared" si="65"/>
        <v>775.28264403257504</v>
      </c>
      <c r="CD97" s="60">
        <f ca="1">AVERAGE(OFFSET($CC$3,0,0,'Données projet'!$E$12+1,1))-AVERAGE(OFFSET($H$3,0,0,'Données projet'!$E$12+1,1))</f>
        <v>362.1372269575329</v>
      </c>
      <c r="CE97" s="60">
        <f t="shared" si="94"/>
        <v>308.1559670593121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0.51915987500897187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0.51915987500897187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</v>
      </c>
      <c r="CT97" s="13">
        <f>IF('Données projet'!$A$140&gt;35,CT96+CS97-DB96,IF(A97&lt;'Données projet'!$A$140,$CQ$205^A97,IF(A97='Données projet'!$A$140,'Données projet'!$B$140,CT96+CS97-DB96)))</f>
        <v>287.00000000000006</v>
      </c>
      <c r="CU97" s="18">
        <f>CT97*VLOOKUP('Données projet'!$B$13,Paramètres!$A$1:$I$89,3,0)*VLOOKUP('Données projet'!$B$13,Paramètres!$A$1:$I$89,5,0)</f>
        <v>308.92680000000007</v>
      </c>
      <c r="CV97" s="14">
        <f t="shared" si="95"/>
        <v>73.044658080836655</v>
      </c>
      <c r="CW97" s="22">
        <f t="shared" si="67"/>
        <v>665.26695615745723</v>
      </c>
      <c r="CX97" s="60">
        <f t="shared" si="68"/>
        <v>958.6002894907906</v>
      </c>
      <c r="CY97" s="60">
        <f ca="1">AVERAGE(OFFSET($CX$3,0,0,'Données projet'!$E$13+1,1))-AVERAGE(OFFSET($H$3,0,0,'Données projet'!$E$13+1,1))</f>
        <v>488.44916315274139</v>
      </c>
      <c r="CZ97" s="60">
        <f t="shared" si="96"/>
        <v>348.17941150148209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0.6741145650766045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0.6741145650766045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7.1782051282051267</v>
      </c>
      <c r="N98" s="14">
        <f>IF('Données projet'!$A$36&gt;35,N97+M98-V97,IF(A98&lt;'Données projet'!$A$36,$K$205^A98,IF(A98='Données projet'!$A$36,'Données projet'!$B$36,N97+M98-V97)))</f>
        <v>289.53717948717974</v>
      </c>
      <c r="O98" s="14">
        <f>N98*VLOOKUP('Données projet'!$B$9,Paramètres!$A$1:$I$89,3,0)*VLOOKUP('Données projet'!$B$9,Paramètres!$A$1:$I$89,5,0)</f>
        <v>261.9732400000002</v>
      </c>
      <c r="P98" s="14">
        <f t="shared" si="87"/>
        <v>63.142807719765102</v>
      </c>
      <c r="Q98" s="22">
        <f t="shared" si="54"/>
        <v>566.2437831119247</v>
      </c>
      <c r="R98" s="60">
        <f t="shared" si="55"/>
        <v>859.57711644525807</v>
      </c>
      <c r="S98" s="60">
        <f ca="1">AVERAGE(OFFSET($R$3,0,0,'Données projet'!$E$9+1,1))-AVERAGE(OFFSET($H$3,0,0,'Données projet'!$E$9+1,1))</f>
        <v>319.72731970820928</v>
      </c>
      <c r="T98" s="60">
        <f t="shared" si="88"/>
        <v>279.93992813630513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321</v>
      </c>
      <c r="AG98" s="13">
        <f>VLOOKUP(A98,'Données projet'!$A$61:$I$81,9,0)</f>
        <v>6.8</v>
      </c>
      <c r="AH98" s="13">
        <f t="array" ref="AH98">INDEX(AG:AG,MIN(IF(ISNUMBER(AG98:AG294),ROW(AG98:AG294),"")))</f>
        <v>6.8</v>
      </c>
      <c r="AI98" s="14">
        <f>IF('Données projet'!$A$62&gt;35,AI97+AH98-AQ97,IF(A98&lt;'Données projet'!$A$62,$AF$205^A98,IF(A98='Données projet'!$A$62,'Données projet'!$B$62,AI97+AH98-AQ97)))</f>
        <v>321.00000000000023</v>
      </c>
      <c r="AJ98" s="14">
        <f>AI98*VLOOKUP('Données projet'!$B$10,Paramètres!$A$1:$I$89,3,0)*VLOOKUP('Données projet'!$B$10,Paramètres!$A$1:$I$89,5,0)</f>
        <v>325.49400000000026</v>
      </c>
      <c r="AK98" s="14">
        <f t="shared" si="89"/>
        <v>76.495352197992943</v>
      </c>
      <c r="AL98" s="22">
        <f t="shared" si="58"/>
        <v>700.13145507817137</v>
      </c>
      <c r="AM98" s="60">
        <f t="shared" si="59"/>
        <v>993.46478841150474</v>
      </c>
      <c r="AN98" s="60">
        <f ca="1">AVERAGE(OFFSET($AM$3,0,0,'Données projet'!$E$10+1,1))-AVERAGE(OFFSET($H$3,0,0,'Données projet'!$E$10+1,1))</f>
        <v>505.64100207870439</v>
      </c>
      <c r="AO98" s="60">
        <f t="shared" si="90"/>
        <v>371.76229669709249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0.74437199859151593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0.74437199859151593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-2.8421709430404007E-13</v>
      </c>
      <c r="BE98" s="14">
        <f>BD98*VLOOKUP('Données projet'!$B$11,Paramètres!$A$1:$I$89,3,0)*VLOOKUP('Données projet'!$B$11,Paramètres!$A$1:$I$89,5,0)</f>
        <v>-2.2612312022829427E-13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353.26636241468884</v>
      </c>
      <c r="BJ98" s="60">
        <f t="shared" si="92"/>
        <v>345.4750813433123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1.0027528379947888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1.0027528379947888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335.25641025641022</v>
      </c>
      <c r="BW98" s="13">
        <f>VLOOKUP(A98,'Données projet'!$A$113:$I$133,9,0)</f>
        <v>4.102564102564088</v>
      </c>
      <c r="BX98" s="13">
        <f t="array" ref="BX98">INDEX(BW:BW,MIN(IF(ISNUMBER(BW98:BW294),ROW(BW98:BW294),"")))</f>
        <v>4.102564102564088</v>
      </c>
      <c r="BY98" s="13">
        <f>IF('Données projet'!$A$114&gt;35,BY97+BX98-CG97,IF(A98&lt;'Données projet'!$A$114,$BV$205^A98,IF(A98='Données projet'!$A$114,'Données projet'!$B$114,BY97+BX98-CG97)))</f>
        <v>335.25641025641028</v>
      </c>
      <c r="BZ98" s="14">
        <f>BY98*VLOOKUP('Données projet'!$B$12,Paramètres!$A$1:$I$89,3,0)*VLOOKUP('Données projet'!$B$12,Paramètres!$A$1:$I$89,5,0)</f>
        <v>224.89000000000001</v>
      </c>
      <c r="CA98" s="14">
        <f t="shared" si="93"/>
        <v>55.17633941105067</v>
      </c>
      <c r="CB98" s="22">
        <f t="shared" si="64"/>
        <v>487.78220780757994</v>
      </c>
      <c r="CC98" s="60">
        <f t="shared" si="65"/>
        <v>781.11554114091325</v>
      </c>
      <c r="CD98" s="60">
        <f ca="1">AVERAGE(OFFSET($CC$3,0,0,'Données projet'!$E$12+1,1))-AVERAGE(OFFSET($H$3,0,0,'Données projet'!$E$12+1,1))</f>
        <v>362.1372269575329</v>
      </c>
      <c r="CE98" s="60">
        <f t="shared" si="94"/>
        <v>308.1559670593121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0.50496342092542024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0.50496342092542024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293</v>
      </c>
      <c r="CR98" s="13">
        <f>VLOOKUP(A98,'Données projet'!$A$139:$I$159,9,0)</f>
        <v>6</v>
      </c>
      <c r="CS98" s="13">
        <f t="array" ref="CS98">INDEX(CR:CR,MIN(IF(ISNUMBER(CR98:CR294),ROW(CR98:CR294),"")))</f>
        <v>6</v>
      </c>
      <c r="CT98" s="13">
        <f>IF('Données projet'!$A$140&gt;35,CT97+CS98-DB97,IF(A98&lt;'Données projet'!$A$140,$CQ$205^A98,IF(A98='Données projet'!$A$140,'Données projet'!$B$140,CT97+CS98-DB97)))</f>
        <v>293.00000000000006</v>
      </c>
      <c r="CU98" s="18">
        <f>CT98*VLOOKUP('Données projet'!$B$13,Paramètres!$A$1:$I$89,3,0)*VLOOKUP('Données projet'!$B$13,Paramètres!$A$1:$I$89,5,0)</f>
        <v>315.38520000000005</v>
      </c>
      <c r="CV98" s="14">
        <f t="shared" si="95"/>
        <v>74.392344505779803</v>
      </c>
      <c r="CW98" s="22">
        <f t="shared" si="67"/>
        <v>678.86255668089996</v>
      </c>
      <c r="CX98" s="60">
        <f t="shared" si="68"/>
        <v>972.19589001423333</v>
      </c>
      <c r="CY98" s="60">
        <f ca="1">AVERAGE(OFFSET($CX$3,0,0,'Données projet'!$E$13+1,1))-AVERAGE(OFFSET($H$3,0,0,'Données projet'!$E$13+1,1))</f>
        <v>488.44916315274139</v>
      </c>
      <c r="CZ98" s="60">
        <f t="shared" si="96"/>
        <v>348.17941150148209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0.65568086684444049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0.65568086684444049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7.1782051282051267</v>
      </c>
      <c r="N99" s="14">
        <f>IF('Données projet'!$A$36&gt;35,N98+M99-V98,IF(A99&lt;'Données projet'!$A$36,$K$205^A99,IF(A99='Données projet'!$A$36,'Données projet'!$B$36,N98+M99-V98)))</f>
        <v>296.71538461538489</v>
      </c>
      <c r="O99" s="14">
        <f>N99*VLOOKUP('Données projet'!$B$9,Paramètres!$A$1:$I$89,3,0)*VLOOKUP('Données projet'!$B$9,Paramètres!$A$1:$I$89,5,0)</f>
        <v>268.46808000000027</v>
      </c>
      <c r="P99" s="14">
        <f t="shared" si="87"/>
        <v>64.524049616897358</v>
      </c>
      <c r="Q99" s="22">
        <f t="shared" ref="Q99:Q130" si="107">(O99+P99)*0.475*44/12</f>
        <v>579.96129241609663</v>
      </c>
      <c r="R99" s="60">
        <f t="shared" si="55"/>
        <v>873.29462574943</v>
      </c>
      <c r="S99" s="60">
        <f ca="1">AVERAGE(OFFSET($R$3,0,0,'Données projet'!$E$9+1,1))-AVERAGE(OFFSET($H$3,0,0,'Données projet'!$E$9+1,1))</f>
        <v>319.72731970820928</v>
      </c>
      <c r="T99" s="60">
        <f t="shared" si="88"/>
        <v>279.93992813630513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6.4</v>
      </c>
      <c r="AI99" s="14">
        <f>IF('Données projet'!$A$62&gt;35,AI98+AH99-AQ98,IF(A99&lt;'Données projet'!$A$62,$AF$205^A99,IF(A99='Données projet'!$A$62,'Données projet'!$B$62,AI98+AH99-AQ98)))</f>
        <v>327.4000000000002</v>
      </c>
      <c r="AJ99" s="14">
        <f>AI99*VLOOKUP('Données projet'!$B$10,Paramètres!$A$1:$I$89,3,0)*VLOOKUP('Données projet'!$B$10,Paramètres!$A$1:$I$89,5,0)</f>
        <v>331.98360000000025</v>
      </c>
      <c r="AK99" s="14">
        <f t="shared" si="89"/>
        <v>77.841414511052207</v>
      </c>
      <c r="AL99" s="22">
        <f t="shared" si="58"/>
        <v>713.77856694008312</v>
      </c>
      <c r="AM99" s="60">
        <f t="shared" si="59"/>
        <v>1007.1119002734165</v>
      </c>
      <c r="AN99" s="60">
        <f ca="1">AVERAGE(OFFSET($AM$3,0,0,'Données projet'!$E$10+1,1))-AVERAGE(OFFSET($H$3,0,0,'Données projet'!$E$10+1,1))</f>
        <v>505.64100207870439</v>
      </c>
      <c r="AO99" s="60">
        <f t="shared" si="90"/>
        <v>371.76229669709249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0.72401710714520884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0.72401710714520884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-2.8421709430404007E-13</v>
      </c>
      <c r="BE99" s="14">
        <f>BD99*VLOOKUP('Données projet'!$B$11,Paramètres!$A$1:$I$89,3,0)*VLOOKUP('Données projet'!$B$11,Paramètres!$A$1:$I$89,5,0)</f>
        <v>-2.2612312022829427E-13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353.26636241468884</v>
      </c>
      <c r="BJ99" s="60">
        <f t="shared" si="92"/>
        <v>345.4750813433123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0.97533250890734136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0.97533250890734136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3.9743589743589838</v>
      </c>
      <c r="BY99" s="13">
        <f>IF('Données projet'!$A$114&gt;35,BY98+BX99-CG98,IF(A99&lt;'Données projet'!$A$114,$BV$205^A99,IF(A99='Données projet'!$A$114,'Données projet'!$B$114,BY98+BX99-CG98)))</f>
        <v>339.23076923076928</v>
      </c>
      <c r="BZ99" s="14">
        <f>BY99*VLOOKUP('Données projet'!$B$12,Paramètres!$A$1:$I$89,3,0)*VLOOKUP('Données projet'!$B$12,Paramètres!$A$1:$I$89,5,0)</f>
        <v>227.55600000000004</v>
      </c>
      <c r="CA99" s="14">
        <f t="shared" si="93"/>
        <v>55.753903477108544</v>
      </c>
      <c r="CB99" s="22">
        <f t="shared" si="64"/>
        <v>493.43141522263085</v>
      </c>
      <c r="CC99" s="60">
        <f t="shared" si="65"/>
        <v>786.76474855596416</v>
      </c>
      <c r="CD99" s="60">
        <f ca="1">AVERAGE(OFFSET($CC$3,0,0,'Données projet'!$E$12+1,1))-AVERAGE(OFFSET($H$3,0,0,'Données projet'!$E$12+1,1))</f>
        <v>362.1372269575329</v>
      </c>
      <c r="CE99" s="60">
        <f t="shared" si="94"/>
        <v>308.1559670593121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0.49115516962534245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0.49115516962534245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5.6</v>
      </c>
      <c r="CT99" s="13">
        <f>IF('Données projet'!$A$140&gt;35,CT98+CS99-DB98,IF(A99&lt;'Données projet'!$A$140,$CQ$205^A99,IF(A99='Données projet'!$A$140,'Données projet'!$B$140,CT98+CS99-DB98)))</f>
        <v>298.60000000000008</v>
      </c>
      <c r="CU99" s="18">
        <f>CT99*VLOOKUP('Données projet'!$B$13,Paramètres!$A$1:$I$89,3,0)*VLOOKUP('Données projet'!$B$13,Paramètres!$A$1:$I$89,5,0)</f>
        <v>321.41304000000008</v>
      </c>
      <c r="CV99" s="14">
        <f t="shared" si="95"/>
        <v>75.6472886795232</v>
      </c>
      <c r="CW99" s="22">
        <f t="shared" si="67"/>
        <v>691.54673911683642</v>
      </c>
      <c r="CX99" s="60">
        <f t="shared" si="68"/>
        <v>984.88007245016979</v>
      </c>
      <c r="CY99" s="60">
        <f ca="1">AVERAGE(OFFSET($CX$3,0,0,'Données projet'!$E$13+1,1))-AVERAGE(OFFSET($H$3,0,0,'Données projet'!$E$13+1,1))</f>
        <v>488.44916315274139</v>
      </c>
      <c r="CZ99" s="60">
        <f t="shared" si="96"/>
        <v>348.17941150148209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0.63775123905982101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0.63775123905982101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7.1782051282051267</v>
      </c>
      <c r="N100" s="14">
        <f>IF('Données projet'!$A$36&gt;35,N99+M100-V99,IF(A100&lt;'Données projet'!$A$36,$K$205^A100,IF(A100='Données projet'!$A$36,'Données projet'!$B$36,N99+M100-V99)))</f>
        <v>303.89358974359004</v>
      </c>
      <c r="O100" s="14">
        <f>N100*VLOOKUP('Données projet'!$B$9,Paramètres!$A$1:$I$89,3,0)*VLOOKUP('Données projet'!$B$9,Paramètres!$A$1:$I$89,5,0)</f>
        <v>274.96292000000028</v>
      </c>
      <c r="P100" s="14">
        <f t="shared" si="87"/>
        <v>65.901407042348566</v>
      </c>
      <c r="Q100" s="22">
        <f t="shared" si="107"/>
        <v>593.67203626542425</v>
      </c>
      <c r="R100" s="60">
        <f t="shared" si="55"/>
        <v>887.00536959875762</v>
      </c>
      <c r="S100" s="60">
        <f ca="1">AVERAGE(OFFSET($R$3,0,0,'Données projet'!$E$9+1,1))-AVERAGE(OFFSET($H$3,0,0,'Données projet'!$E$9+1,1))</f>
        <v>319.72731970820928</v>
      </c>
      <c r="T100" s="60">
        <f t="shared" si="88"/>
        <v>279.93992813630513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6.4</v>
      </c>
      <c r="AI100" s="14">
        <f>IF('Données projet'!$A$62&gt;35,AI99+AH100-AQ99,IF(A100&lt;'Données projet'!$A$62,$AF$205^A100,IF(A100='Données projet'!$A$62,'Données projet'!$B$62,AI99+AH100-AQ99)))</f>
        <v>333.80000000000018</v>
      </c>
      <c r="AJ100" s="14">
        <f>AI100*VLOOKUP('Données projet'!$B$10,Paramètres!$A$1:$I$89,3,0)*VLOOKUP('Données projet'!$B$10,Paramètres!$A$1:$I$89,5,0)</f>
        <v>338.47320000000019</v>
      </c>
      <c r="AK100" s="14">
        <f t="shared" si="89"/>
        <v>79.184417294335418</v>
      </c>
      <c r="AL100" s="22">
        <f t="shared" si="58"/>
        <v>727.42035012096778</v>
      </c>
      <c r="AM100" s="60">
        <f t="shared" si="59"/>
        <v>1020.7536834543012</v>
      </c>
      <c r="AN100" s="60">
        <f ca="1">AVERAGE(OFFSET($AM$3,0,0,'Données projet'!$E$10+1,1))-AVERAGE(OFFSET($H$3,0,0,'Données projet'!$E$10+1,1))</f>
        <v>505.64100207870439</v>
      </c>
      <c r="AO100" s="60">
        <f t="shared" si="90"/>
        <v>371.76229669709249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0.70421882127591817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0.70421882127591817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-2.8421709430404007E-13</v>
      </c>
      <c r="BE100" s="14">
        <f>BD100*VLOOKUP('Données projet'!$B$11,Paramètres!$A$1:$I$89,3,0)*VLOOKUP('Données projet'!$B$11,Paramètres!$A$1:$I$89,5,0)</f>
        <v>-2.2612312022829427E-13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353.26636241468884</v>
      </c>
      <c r="BJ100" s="60">
        <f t="shared" si="92"/>
        <v>345.4750813433123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0.94866199016076258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0.94866199016076258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3.9743589743589838</v>
      </c>
      <c r="BY100" s="13">
        <f>IF('Données projet'!$A$114&gt;35,BY99+BX100-CG99,IF(A100&lt;'Données projet'!$A$114,$BV$205^A100,IF(A100='Données projet'!$A$114,'Données projet'!$B$114,BY99+BX100-CG99)))</f>
        <v>343.20512820512829</v>
      </c>
      <c r="BZ100" s="14">
        <f>BY100*VLOOKUP('Données projet'!$B$12,Paramètres!$A$1:$I$89,3,0)*VLOOKUP('Données projet'!$B$12,Paramètres!$A$1:$I$89,5,0)</f>
        <v>230.22200000000004</v>
      </c>
      <c r="CA100" s="14">
        <f t="shared" si="93"/>
        <v>56.330680425949346</v>
      </c>
      <c r="CB100" s="22">
        <f t="shared" si="64"/>
        <v>499.07925174186192</v>
      </c>
      <c r="CC100" s="60">
        <f t="shared" si="65"/>
        <v>792.41258507519524</v>
      </c>
      <c r="CD100" s="60">
        <f ca="1">AVERAGE(OFFSET($CC$3,0,0,'Données projet'!$E$12+1,1))-AVERAGE(OFFSET($H$3,0,0,'Données projet'!$E$12+1,1))</f>
        <v>362.1372269575329</v>
      </c>
      <c r="CE100" s="60">
        <f t="shared" si="94"/>
        <v>308.1559670593121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0.47772450568320962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0.47772450568320962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5.6</v>
      </c>
      <c r="CT100" s="13">
        <f>IF('Données projet'!$A$140&gt;35,CT99+CS100-DB99,IF(A100&lt;'Données projet'!$A$140,$CQ$205^A100,IF(A100='Données projet'!$A$140,'Données projet'!$B$140,CT99+CS100-DB99)))</f>
        <v>304.2000000000001</v>
      </c>
      <c r="CU100" s="18">
        <f>CT100*VLOOKUP('Données projet'!$B$13,Paramètres!$A$1:$I$89,3,0)*VLOOKUP('Données projet'!$B$13,Paramètres!$A$1:$I$89,5,0)</f>
        <v>327.44088000000011</v>
      </c>
      <c r="CV100" s="14">
        <f t="shared" si="95"/>
        <v>76.89949614451595</v>
      </c>
      <c r="CW100" s="22">
        <f t="shared" si="67"/>
        <v>704.22615511836545</v>
      </c>
      <c r="CX100" s="60">
        <f t="shared" si="68"/>
        <v>997.55948845169883</v>
      </c>
      <c r="CY100" s="60">
        <f ca="1">AVERAGE(OFFSET($CX$3,0,0,'Données projet'!$E$13+1,1))-AVERAGE(OFFSET($H$3,0,0,'Données projet'!$E$13+1,1))</f>
        <v>488.44916315274139</v>
      </c>
      <c r="CZ100" s="60">
        <f t="shared" si="96"/>
        <v>348.17941150148209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0.62031189788985019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0.62031189788985019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7.1782051282051267</v>
      </c>
      <c r="N101" s="14">
        <f>IF('Données projet'!$A$36&gt;35,N100+M101-V100,IF(A101&lt;'Données projet'!$A$36,$K$205^A101,IF(A101='Données projet'!$A$36,'Données projet'!$B$36,N100+M101-V100)))</f>
        <v>311.07179487179519</v>
      </c>
      <c r="O101" s="14">
        <f>N101*VLOOKUP('Données projet'!$B$9,Paramètres!$A$1:$I$89,3,0)*VLOOKUP('Données projet'!$B$9,Paramètres!$A$1:$I$89,5,0)</f>
        <v>281.45776000000029</v>
      </c>
      <c r="P101" s="14">
        <f t="shared" si="87"/>
        <v>67.274982309129754</v>
      </c>
      <c r="Q101" s="22">
        <f t="shared" si="107"/>
        <v>607.37619285506821</v>
      </c>
      <c r="R101" s="60">
        <f t="shared" si="55"/>
        <v>900.70952618840147</v>
      </c>
      <c r="S101" s="60">
        <f ca="1">AVERAGE(OFFSET($R$3,0,0,'Données projet'!$E$9+1,1))-AVERAGE(OFFSET($H$3,0,0,'Données projet'!$E$9+1,1))</f>
        <v>319.72731970820928</v>
      </c>
      <c r="T101" s="60">
        <f t="shared" si="88"/>
        <v>279.93992813630513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6.4</v>
      </c>
      <c r="AI101" s="14">
        <f>IF('Données projet'!$A$62&gt;35,AI100+AH101-AQ100,IF(A101&lt;'Données projet'!$A$62,$AF$205^A101,IF(A101='Données projet'!$A$62,'Données projet'!$B$62,AI100+AH101-AQ100)))</f>
        <v>340.20000000000016</v>
      </c>
      <c r="AJ101" s="14">
        <f>AI101*VLOOKUP('Données projet'!$B$10,Paramètres!$A$1:$I$89,3,0)*VLOOKUP('Données projet'!$B$10,Paramètres!$A$1:$I$89,5,0)</f>
        <v>344.96280000000019</v>
      </c>
      <c r="AK101" s="14">
        <f t="shared" si="89"/>
        <v>80.524425971874948</v>
      </c>
      <c r="AL101" s="22">
        <f t="shared" si="58"/>
        <v>741.0569185676826</v>
      </c>
      <c r="AM101" s="60">
        <f t="shared" si="59"/>
        <v>1034.390251901016</v>
      </c>
      <c r="AN101" s="60">
        <f ca="1">AVERAGE(OFFSET($AM$3,0,0,'Données projet'!$E$10+1,1))-AVERAGE(OFFSET($H$3,0,0,'Données projet'!$E$10+1,1))</f>
        <v>505.64100207870439</v>
      </c>
      <c r="AO101" s="60">
        <f t="shared" si="90"/>
        <v>371.76229669709249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0.68496192057486993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0.68496192057486993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-2.8421709430404007E-13</v>
      </c>
      <c r="BE101" s="14">
        <f>BD101*VLOOKUP('Données projet'!$B$11,Paramètres!$A$1:$I$89,3,0)*VLOOKUP('Données projet'!$B$11,Paramètres!$A$1:$I$89,5,0)</f>
        <v>-2.2612312022829427E-13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353.26636241468884</v>
      </c>
      <c r="BJ101" s="60">
        <f t="shared" si="92"/>
        <v>345.4750813433123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0.92272077815185061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0.92272077815185061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3.9743589743589838</v>
      </c>
      <c r="BY101" s="13">
        <f>IF('Données projet'!$A$114&gt;35,BY100+BX101-CG100,IF(A101&lt;'Données projet'!$A$114,$BV$205^A101,IF(A101='Données projet'!$A$114,'Données projet'!$B$114,BY100+BX101-CG100)))</f>
        <v>347.1794871794873</v>
      </c>
      <c r="BZ101" s="14">
        <f>BY101*VLOOKUP('Données projet'!$B$12,Paramètres!$A$1:$I$89,3,0)*VLOOKUP('Données projet'!$B$12,Paramètres!$A$1:$I$89,5,0)</f>
        <v>232.88800000000009</v>
      </c>
      <c r="CA101" s="14">
        <f t="shared" si="93"/>
        <v>56.906680427068601</v>
      </c>
      <c r="CB101" s="22">
        <f t="shared" si="64"/>
        <v>504.72573507714452</v>
      </c>
      <c r="CC101" s="60">
        <f t="shared" si="65"/>
        <v>798.05906841047783</v>
      </c>
      <c r="CD101" s="60">
        <f ca="1">AVERAGE(OFFSET($CC$3,0,0,'Données projet'!$E$12+1,1))-AVERAGE(OFFSET($H$3,0,0,'Données projet'!$E$12+1,1))</f>
        <v>362.1372269575329</v>
      </c>
      <c r="CE101" s="60">
        <f t="shared" si="94"/>
        <v>308.1559670593121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0.46466110395286236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0.46466110395286236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5.6</v>
      </c>
      <c r="CT101" s="13">
        <f>IF('Données projet'!$A$140&gt;35,CT100+CS101-DB100,IF(A101&lt;'Données projet'!$A$140,$CQ$205^A101,IF(A101='Données projet'!$A$140,'Données projet'!$B$140,CT100+CS101-DB100)))</f>
        <v>309.80000000000013</v>
      </c>
      <c r="CU101" s="18">
        <f>CT101*VLOOKUP('Données projet'!$B$13,Paramètres!$A$1:$I$89,3,0)*VLOOKUP('Données projet'!$B$13,Paramètres!$A$1:$I$89,5,0)</f>
        <v>333.46872000000008</v>
      </c>
      <c r="CV101" s="14">
        <f t="shared" si="95"/>
        <v>78.149023091074625</v>
      </c>
      <c r="CW101" s="22">
        <f t="shared" si="67"/>
        <v>716.90090255028838</v>
      </c>
      <c r="CX101" s="60">
        <f t="shared" si="68"/>
        <v>1010.2342358836217</v>
      </c>
      <c r="CY101" s="60">
        <f ca="1">AVERAGE(OFFSET($CX$3,0,0,'Données projet'!$E$13+1,1))-AVERAGE(OFFSET($H$3,0,0,'Données projet'!$E$13+1,1))</f>
        <v>488.44916315274139</v>
      </c>
      <c r="CZ101" s="60">
        <f t="shared" si="96"/>
        <v>348.17941150148209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0.60334943642126726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0.60334943642126726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>
        <f>VLOOKUP(A102,'Données projet'!$A$35:$I$55,2,0)</f>
        <v>318.25</v>
      </c>
      <c r="L102" s="13">
        <f>VLOOKUP(A102,'Données projet'!$A$35:$I$55,9,0)</f>
        <v>7.1782051282051267</v>
      </c>
      <c r="M102" s="13">
        <f t="array" ref="M102">INDEX(L:L,MIN(IF(ISNUMBER(L102:L298),ROW(L102:L298),"")))</f>
        <v>7.1782051282051267</v>
      </c>
      <c r="N102" s="14">
        <f>IF('Données projet'!$A$36&gt;35,N101+M102-V101,IF(A102&lt;'Données projet'!$A$36,$K$205^A102,IF(A102='Données projet'!$A$36,'Données projet'!$B$36,N101+M102-V101)))</f>
        <v>318.25000000000034</v>
      </c>
      <c r="O102" s="14">
        <f>N102*VLOOKUP('Données projet'!$B$9,Paramètres!$A$1:$I$89,3,0)*VLOOKUP('Données projet'!$B$9,Paramètres!$A$1:$I$89,5,0)</f>
        <v>287.9526000000003</v>
      </c>
      <c r="P102" s="14">
        <f t="shared" si="87"/>
        <v>68.644872738917243</v>
      </c>
      <c r="Q102" s="22">
        <f t="shared" si="107"/>
        <v>621.07393168694807</v>
      </c>
      <c r="R102" s="60">
        <f t="shared" si="55"/>
        <v>914.40726502028133</v>
      </c>
      <c r="S102" s="60">
        <f ca="1">AVERAGE(OFFSET($R$3,0,0,'Données projet'!$E$9+1,1))-AVERAGE(OFFSET($H$3,0,0,'Données projet'!$E$9+1,1))</f>
        <v>319.72731970820928</v>
      </c>
      <c r="T102" s="60">
        <f t="shared" si="88"/>
        <v>279.93992813630513</v>
      </c>
      <c r="U102" s="16">
        <f>IF(ISNA(VLOOKUP(A102,'Données projet'!$A$35:$I$55,3,0)),0,VLOOKUP(A102,'Données projet'!$A$35:$I$55,3,0))</f>
        <v>9</v>
      </c>
      <c r="V102" s="16">
        <f>IF(ISNA(VLOOKUP(A102,'Données projet'!$A$35:$I$55,4,0)),0,VLOOKUP(A102,'Données projet'!$A$35:$I$55,4,0))</f>
        <v>48.019230769230766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6.4</v>
      </c>
      <c r="AI102" s="14">
        <f>IF('Données projet'!$A$62&gt;35,AI101+AH102-AQ101,IF(A102&lt;'Données projet'!$A$62,$AF$205^A102,IF(A102='Données projet'!$A$62,'Données projet'!$B$62,AI101+AH102-AQ101)))</f>
        <v>346.60000000000014</v>
      </c>
      <c r="AJ102" s="14">
        <f>AI102*VLOOKUP('Données projet'!$B$10,Paramètres!$A$1:$I$89,3,0)*VLOOKUP('Données projet'!$B$10,Paramètres!$A$1:$I$89,5,0)</f>
        <v>351.45240000000018</v>
      </c>
      <c r="AK102" s="14">
        <f t="shared" si="89"/>
        <v>81.861503365255544</v>
      </c>
      <c r="AL102" s="22">
        <f t="shared" si="58"/>
        <v>754.68838169448702</v>
      </c>
      <c r="AM102" s="60">
        <f t="shared" si="59"/>
        <v>1048.0217150278204</v>
      </c>
      <c r="AN102" s="60">
        <f ca="1">AVERAGE(OFFSET($AM$3,0,0,'Données projet'!$E$10+1,1))-AVERAGE(OFFSET($H$3,0,0,'Données projet'!$E$10+1,1))</f>
        <v>505.64100207870439</v>
      </c>
      <c r="AO102" s="60">
        <f t="shared" si="90"/>
        <v>371.76229669709249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0.66623160083616817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0.66623160083616817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-2.8421709430404007E-13</v>
      </c>
      <c r="BE102" s="14">
        <f>BD102*VLOOKUP('Données projet'!$B$11,Paramètres!$A$1:$I$89,3,0)*VLOOKUP('Données projet'!$B$11,Paramètres!$A$1:$I$89,5,0)</f>
        <v>-2.2612312022829427E-13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353.26636241468884</v>
      </c>
      <c r="BJ102" s="60">
        <f t="shared" si="92"/>
        <v>345.4750813433123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0.89748892994951146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0.89748892994951146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3.9743589743589838</v>
      </c>
      <c r="BY102" s="13">
        <f>IF('Données projet'!$A$114&gt;35,BY101+BX102-CG101,IF(A102&lt;'Données projet'!$A$114,$BV$205^A102,IF(A102='Données projet'!$A$114,'Données projet'!$B$114,BY101+BX102-CG101)))</f>
        <v>351.1538461538463</v>
      </c>
      <c r="BZ102" s="14">
        <f>BY102*VLOOKUP('Données projet'!$B$12,Paramètres!$A$1:$I$89,3,0)*VLOOKUP('Données projet'!$B$12,Paramètres!$A$1:$I$89,5,0)</f>
        <v>235.55400000000009</v>
      </c>
      <c r="CA102" s="14">
        <f t="shared" si="93"/>
        <v>57.481913403727333</v>
      </c>
      <c r="CB102" s="22">
        <f t="shared" si="64"/>
        <v>510.37088251149186</v>
      </c>
      <c r="CC102" s="60">
        <f t="shared" si="65"/>
        <v>803.70421584482517</v>
      </c>
      <c r="CD102" s="60">
        <f ca="1">AVERAGE(OFFSET($CC$3,0,0,'Données projet'!$E$12+1,1))-AVERAGE(OFFSET($H$3,0,0,'Données projet'!$E$12+1,1))</f>
        <v>362.1372269575329</v>
      </c>
      <c r="CE102" s="60">
        <f t="shared" si="94"/>
        <v>308.1559670593121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0.45195492162980588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0.45195492162980588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5.6</v>
      </c>
      <c r="CT102" s="13">
        <f>IF('Données projet'!$A$140&gt;35,CT101+CS102-DB101,IF(A102&lt;'Données projet'!$A$140,$CQ$205^A102,IF(A102='Données projet'!$A$140,'Données projet'!$B$140,CT101+CS102-DB101)))</f>
        <v>315.40000000000015</v>
      </c>
      <c r="CU102" s="18">
        <f>CT102*VLOOKUP('Données projet'!$B$13,Paramètres!$A$1:$I$89,3,0)*VLOOKUP('Données projet'!$B$13,Paramètres!$A$1:$I$89,5,0)</f>
        <v>339.49656000000016</v>
      </c>
      <c r="CV102" s="14">
        <f t="shared" si="95"/>
        <v>79.395923561784997</v>
      </c>
      <c r="CW102" s="22">
        <f t="shared" si="67"/>
        <v>729.57107553677588</v>
      </c>
      <c r="CX102" s="60">
        <f t="shared" si="68"/>
        <v>1022.9044088701091</v>
      </c>
      <c r="CY102" s="60">
        <f ca="1">AVERAGE(OFFSET($CX$3,0,0,'Données projet'!$E$13+1,1))-AVERAGE(OFFSET($H$3,0,0,'Données projet'!$E$13+1,1))</f>
        <v>488.44916315274139</v>
      </c>
      <c r="CZ102" s="60">
        <f t="shared" si="96"/>
        <v>348.17941150148209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0.58685081435355979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0.58685081435355979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6.9935897435897401</v>
      </c>
      <c r="N103" s="14">
        <f>IF('Données projet'!$A$36&gt;35,N102+M103-V102,IF(A103&lt;'Données projet'!$A$36,$K$205^A103,IF(A103='Données projet'!$A$36,'Données projet'!$B$36,N102+M103-V102)))</f>
        <v>277.22435897435929</v>
      </c>
      <c r="O103" s="14">
        <f>N103*VLOOKUP('Données projet'!$B$9,Paramètres!$A$1:$I$89,3,0)*VLOOKUP('Données projet'!$B$9,Paramètres!$A$1:$I$89,5,0)</f>
        <v>250.8326000000003</v>
      </c>
      <c r="P103" s="14">
        <f t="shared" si="87"/>
        <v>60.764195096344402</v>
      </c>
      <c r="Q103" s="22">
        <f t="shared" si="107"/>
        <v>542.69775145946699</v>
      </c>
      <c r="R103" s="60">
        <f t="shared" si="55"/>
        <v>836.03108479280036</v>
      </c>
      <c r="S103" s="60">
        <f ca="1">AVERAGE(OFFSET($R$3,0,0,'Données projet'!$E$9+1,1))-AVERAGE(OFFSET($H$3,0,0,'Données projet'!$E$9+1,1))</f>
        <v>319.72731970820928</v>
      </c>
      <c r="T103" s="60">
        <f t="shared" si="88"/>
        <v>279.93992813630513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353</v>
      </c>
      <c r="AG103" s="13">
        <f>VLOOKUP(A103,'Données projet'!$A$61:$I$81,9,0)</f>
        <v>6.4</v>
      </c>
      <c r="AH103" s="13">
        <f t="array" ref="AH103">INDEX(AG:AG,MIN(IF(ISNUMBER(AG103:AG299),ROW(AG103:AG299),"")))</f>
        <v>6.4</v>
      </c>
      <c r="AI103" s="14">
        <f>IF('Données projet'!$A$62&gt;35,AI102+AH103-AQ102,IF(A103&lt;'Données projet'!$A$62,$AF$205^A103,IF(A103='Données projet'!$A$62,'Données projet'!$B$62,AI102+AH103-AQ102)))</f>
        <v>353.00000000000011</v>
      </c>
      <c r="AJ103" s="14">
        <f>AI103*VLOOKUP('Données projet'!$B$10,Paramètres!$A$1:$I$89,3,0)*VLOOKUP('Données projet'!$B$10,Paramètres!$A$1:$I$89,5,0)</f>
        <v>357.94200000000012</v>
      </c>
      <c r="AK103" s="14">
        <f t="shared" si="89"/>
        <v>83.195709843243577</v>
      </c>
      <c r="AL103" s="22">
        <f t="shared" si="58"/>
        <v>768.31484464364928</v>
      </c>
      <c r="AM103" s="60">
        <f t="shared" si="59"/>
        <v>1061.6481779769827</v>
      </c>
      <c r="AN103" s="60">
        <f ca="1">AVERAGE(OFFSET($AM$3,0,0,'Données projet'!$E$10+1,1))-AVERAGE(OFFSET($H$3,0,0,'Données projet'!$E$10+1,1))</f>
        <v>505.64100207870439</v>
      </c>
      <c r="AO103" s="60">
        <f t="shared" si="90"/>
        <v>371.76229669709249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51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0.64801346267570592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0.64801346267570592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-2.8421709430404007E-13</v>
      </c>
      <c r="BE103" s="14">
        <f>BD103*VLOOKUP('Données projet'!$B$11,Paramètres!$A$1:$I$89,3,0)*VLOOKUP('Données projet'!$B$11,Paramètres!$A$1:$I$89,5,0)</f>
        <v>-2.2612312022829427E-13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353.26636241468884</v>
      </c>
      <c r="BJ103" s="60">
        <f t="shared" si="92"/>
        <v>345.4750813433123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0.87294704796315048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0.87294704796315048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355.12820512820514</v>
      </c>
      <c r="BW103" s="13">
        <f>VLOOKUP(A103,'Données projet'!$A$113:$I$133,9,0)</f>
        <v>3.9743589743589838</v>
      </c>
      <c r="BX103" s="13">
        <f t="array" ref="BX103">INDEX(BW:BW,MIN(IF(ISNUMBER(BW103:BW299),ROW(BW103:BW299),"")))</f>
        <v>3.9743589743589838</v>
      </c>
      <c r="BY103" s="13">
        <f>IF('Données projet'!$A$114&gt;35,BY102+BX103-CG102,IF(A103&lt;'Données projet'!$A$114,$BV$205^A103,IF(A103='Données projet'!$A$114,'Données projet'!$B$114,BY102+BX103-CG102)))</f>
        <v>355.12820512820531</v>
      </c>
      <c r="BZ103" s="14">
        <f>BY103*VLOOKUP('Données projet'!$B$12,Paramètres!$A$1:$I$89,3,0)*VLOOKUP('Données projet'!$B$12,Paramètres!$A$1:$I$89,5,0)</f>
        <v>238.22000000000014</v>
      </c>
      <c r="CA103" s="14">
        <f t="shared" si="93"/>
        <v>58.05638904163186</v>
      </c>
      <c r="CB103" s="22">
        <f t="shared" si="64"/>
        <v>516.01471091417579</v>
      </c>
      <c r="CC103" s="60">
        <f t="shared" si="65"/>
        <v>809.34804424750905</v>
      </c>
      <c r="CD103" s="60">
        <f ca="1">AVERAGE(OFFSET($CC$3,0,0,'Données projet'!$E$12+1,1))-AVERAGE(OFFSET($H$3,0,0,'Données projet'!$E$12+1,1))</f>
        <v>362.1372269575329</v>
      </c>
      <c r="CE103" s="60">
        <f t="shared" si="94"/>
        <v>308.1559670593121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25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0.43959619053056248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0.43959619053056248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321</v>
      </c>
      <c r="CR103" s="13">
        <f>VLOOKUP(A103,'Données projet'!$A$139:$I$159,9,0)</f>
        <v>5.6</v>
      </c>
      <c r="CS103" s="13">
        <f t="array" ref="CS103">INDEX(CR:CR,MIN(IF(ISNUMBER(CR103:CR299),ROW(CR103:CR299),"")))</f>
        <v>5.6</v>
      </c>
      <c r="CT103" s="13">
        <f>IF('Données projet'!$A$140&gt;35,CT102+CS103-DB102,IF(A103&lt;'Données projet'!$A$140,$CQ$205^A103,IF(A103='Données projet'!$A$140,'Données projet'!$B$140,CT102+CS103-DB102)))</f>
        <v>321.00000000000017</v>
      </c>
      <c r="CU103" s="18">
        <f>CT103*VLOOKUP('Données projet'!$B$13,Paramètres!$A$1:$I$89,3,0)*VLOOKUP('Données projet'!$B$13,Paramètres!$A$1:$I$89,5,0)</f>
        <v>345.52440000000018</v>
      </c>
      <c r="CV103" s="14">
        <f t="shared" si="95"/>
        <v>80.640249570243199</v>
      </c>
      <c r="CW103" s="22">
        <f t="shared" si="67"/>
        <v>742.23676466817381</v>
      </c>
      <c r="CX103" s="60">
        <f t="shared" si="68"/>
        <v>1035.5700980015072</v>
      </c>
      <c r="CY103" s="60">
        <f ca="1">AVERAGE(OFFSET($CX$3,0,0,'Données projet'!$E$13+1,1))-AVERAGE(OFFSET($H$3,0,0,'Données projet'!$E$13+1,1))</f>
        <v>488.44916315274139</v>
      </c>
      <c r="CZ103" s="60">
        <f t="shared" si="96"/>
        <v>348.17941150148209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43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0.57080334797391863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0.57080334797391863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6.9935897435897401</v>
      </c>
      <c r="N104" s="14">
        <f>IF('Données projet'!$A$36&gt;35,N103+M104-V103,IF(A104&lt;'Données projet'!$A$36,$K$205^A104,IF(A104='Données projet'!$A$36,'Données projet'!$B$36,N103+M104-V103)))</f>
        <v>284.21794871794901</v>
      </c>
      <c r="O104" s="14">
        <f>N104*VLOOKUP('Données projet'!$B$9,Paramètres!$A$1:$I$89,3,0)*VLOOKUP('Données projet'!$B$9,Paramètres!$A$1:$I$89,5,0)</f>
        <v>257.16040000000027</v>
      </c>
      <c r="P104" s="14">
        <f t="shared" si="87"/>
        <v>62.116703672873726</v>
      </c>
      <c r="Q104" s="22">
        <f t="shared" si="107"/>
        <v>556.07428889692221</v>
      </c>
      <c r="R104" s="60">
        <f t="shared" si="55"/>
        <v>849.40762223025558</v>
      </c>
      <c r="S104" s="60">
        <f ca="1">AVERAGE(OFFSET($R$3,0,0,'Données projet'!$E$9+1,1))-AVERAGE(OFFSET($H$3,0,0,'Données projet'!$E$9+1,1))</f>
        <v>319.72731970820928</v>
      </c>
      <c r="T104" s="60">
        <f t="shared" si="88"/>
        <v>279.93992813630513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6.2</v>
      </c>
      <c r="AI104" s="14">
        <f>IF('Données projet'!$A$62&gt;35,AI103+AH104-AQ103,IF(A104&lt;'Données projet'!$A$62,$AF$205^A104,IF(A104='Données projet'!$A$62,'Données projet'!$B$62,AI103+AH104-AQ103)))</f>
        <v>308.2000000000001</v>
      </c>
      <c r="AJ104" s="14">
        <f>AI104*VLOOKUP('Données projet'!$B$10,Paramètres!$A$1:$I$89,3,0)*VLOOKUP('Données projet'!$B$10,Paramètres!$A$1:$I$89,5,0)</f>
        <v>312.51480000000009</v>
      </c>
      <c r="AK104" s="14">
        <f t="shared" si="89"/>
        <v>73.793773289024969</v>
      </c>
      <c r="AL104" s="22">
        <f t="shared" si="58"/>
        <v>672.82076514505195</v>
      </c>
      <c r="AM104" s="60">
        <f t="shared" si="59"/>
        <v>966.15409847838532</v>
      </c>
      <c r="AN104" s="60">
        <f ca="1">AVERAGE(OFFSET($AM$3,0,0,'Données projet'!$E$10+1,1))-AVERAGE(OFFSET($H$3,0,0,'Données projet'!$E$10+1,1))</f>
        <v>505.64100207870439</v>
      </c>
      <c r="AO104" s="60">
        <f t="shared" si="90"/>
        <v>371.76229669709249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0.63029350046129184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0.63029350046129184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-2.8421709430404007E-13</v>
      </c>
      <c r="BE104" s="14">
        <f>BD104*VLOOKUP('Données projet'!$B$11,Paramètres!$A$1:$I$89,3,0)*VLOOKUP('Données projet'!$B$11,Paramètres!$A$1:$I$89,5,0)</f>
        <v>-2.2612312022829427E-13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353.26636241468884</v>
      </c>
      <c r="BJ104" s="60">
        <f t="shared" si="92"/>
        <v>345.4750813433123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0.84907626503030798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0.84907626503030798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3.5897435897435797</v>
      </c>
      <c r="BY104" s="13">
        <f>IF('Données projet'!$A$114&gt;35,BY103+BX104-CG103,IF(A104&lt;'Données projet'!$A$114,$BV$205^A104,IF(A104='Données projet'!$A$114,'Données projet'!$B$114,BY103+BX104-CG103)))</f>
        <v>333.7179487179489</v>
      </c>
      <c r="BZ104" s="14">
        <f>BY104*VLOOKUP('Données projet'!$B$12,Paramètres!$A$1:$I$89,3,0)*VLOOKUP('Données projet'!$B$12,Paramètres!$A$1:$I$89,5,0)</f>
        <v>223.85800000000012</v>
      </c>
      <c r="CA104" s="14">
        <f t="shared" si="93"/>
        <v>54.952552688157525</v>
      </c>
      <c r="CB104" s="22">
        <f t="shared" si="64"/>
        <v>485.59504593187461</v>
      </c>
      <c r="CC104" s="60">
        <f t="shared" si="65"/>
        <v>778.92837926520792</v>
      </c>
      <c r="CD104" s="60">
        <f ca="1">AVERAGE(OFFSET($CC$3,0,0,'Données projet'!$E$12+1,1))-AVERAGE(OFFSET($H$3,0,0,'Données projet'!$E$12+1,1))</f>
        <v>362.1372269575329</v>
      </c>
      <c r="CE104" s="60">
        <f t="shared" si="94"/>
        <v>308.1559670593121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0.42757540958314533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0.42757540958314533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5.4</v>
      </c>
      <c r="CT104" s="13">
        <f>IF('Données projet'!$A$140&gt;35,CT103+CS104-DB103,IF(A104&lt;'Données projet'!$A$140,$CQ$205^A104,IF(A104='Données projet'!$A$140,'Données projet'!$B$140,CT103+CS104-DB103)))</f>
        <v>283.40000000000015</v>
      </c>
      <c r="CU104" s="18">
        <f>CT104*VLOOKUP('Données projet'!$B$13,Paramètres!$A$1:$I$89,3,0)*VLOOKUP('Données projet'!$B$13,Paramètres!$A$1:$I$89,5,0)</f>
        <v>305.05176000000012</v>
      </c>
      <c r="CV104" s="14">
        <f t="shared" si="95"/>
        <v>72.234474952582246</v>
      </c>
      <c r="CW104" s="22">
        <f t="shared" si="67"/>
        <v>657.10685920908099</v>
      </c>
      <c r="CX104" s="60">
        <f t="shared" si="68"/>
        <v>950.44019254241425</v>
      </c>
      <c r="CY104" s="60">
        <f ca="1">AVERAGE(OFFSET($CX$3,0,0,'Données projet'!$E$13+1,1))-AVERAGE(OFFSET($H$3,0,0,'Données projet'!$E$13+1,1))</f>
        <v>488.44916315274139</v>
      </c>
      <c r="CZ104" s="60">
        <f t="shared" si="96"/>
        <v>348.17941150148209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0.55519470040632835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0.55519470040632835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6.9935897435897401</v>
      </c>
      <c r="N105" s="14">
        <f>IF('Données projet'!$A$36&gt;35,N104+M105-V104,IF(A105&lt;'Données projet'!$A$36,$K$205^A105,IF(A105='Données projet'!$A$36,'Données projet'!$B$36,N104+M105-V104)))</f>
        <v>291.21153846153874</v>
      </c>
      <c r="O105" s="14">
        <f>N105*VLOOKUP('Données projet'!$B$9,Paramètres!$A$1:$I$89,3,0)*VLOOKUP('Données projet'!$B$9,Paramètres!$A$1:$I$89,5,0)</f>
        <v>263.48820000000023</v>
      </c>
      <c r="P105" s="14">
        <f t="shared" si="87"/>
        <v>63.465343539396862</v>
      </c>
      <c r="Q105" s="22">
        <f t="shared" si="107"/>
        <v>569.44408833111663</v>
      </c>
      <c r="R105" s="60">
        <f t="shared" si="55"/>
        <v>862.77742166445</v>
      </c>
      <c r="S105" s="60">
        <f ca="1">AVERAGE(OFFSET($R$3,0,0,'Données projet'!$E$9+1,1))-AVERAGE(OFFSET($H$3,0,0,'Données projet'!$E$9+1,1))</f>
        <v>319.72731970820928</v>
      </c>
      <c r="T105" s="60">
        <f t="shared" si="88"/>
        <v>279.93992813630513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6.2</v>
      </c>
      <c r="AI105" s="14">
        <f>IF('Données projet'!$A$62&gt;35,AI104+AH105-AQ104,IF(A105&lt;'Données projet'!$A$62,$AF$205^A105,IF(A105='Données projet'!$A$62,'Données projet'!$B$62,AI104+AH105-AQ104)))</f>
        <v>314.40000000000009</v>
      </c>
      <c r="AJ105" s="14">
        <f>AI105*VLOOKUP('Données projet'!$B$10,Paramètres!$A$1:$I$89,3,0)*VLOOKUP('Données projet'!$B$10,Paramètres!$A$1:$I$89,5,0)</f>
        <v>318.80160000000012</v>
      </c>
      <c r="AK105" s="14">
        <f t="shared" si="89"/>
        <v>75.10394881252212</v>
      </c>
      <c r="AL105" s="22">
        <f t="shared" si="58"/>
        <v>686.05216418180953</v>
      </c>
      <c r="AM105" s="60">
        <f t="shared" si="59"/>
        <v>979.38549751514279</v>
      </c>
      <c r="AN105" s="60">
        <f ca="1">AVERAGE(OFFSET($AM$3,0,0,'Données projet'!$E$10+1,1))-AVERAGE(OFFSET($H$3,0,0,'Données projet'!$E$10+1,1))</f>
        <v>505.64100207870439</v>
      </c>
      <c r="AO105" s="60">
        <f t="shared" si="90"/>
        <v>371.76229669709249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0.61305809154548319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0.61305809154548319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-2.8421709430404007E-13</v>
      </c>
      <c r="BE105" s="14">
        <f>BD105*VLOOKUP('Données projet'!$B$11,Paramètres!$A$1:$I$89,3,0)*VLOOKUP('Données projet'!$B$11,Paramètres!$A$1:$I$89,5,0)</f>
        <v>-2.2612312022829427E-13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353.26636241468884</v>
      </c>
      <c r="BJ105" s="60">
        <f t="shared" si="92"/>
        <v>345.4750813433123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0.82585822991207403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0.82585822991207403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3.5897435897435797</v>
      </c>
      <c r="BY105" s="13">
        <f>IF('Données projet'!$A$114&gt;35,BY104+BX105-CG104,IF(A105&lt;'Données projet'!$A$114,$BV$205^A105,IF(A105='Données projet'!$A$114,'Données projet'!$B$114,BY104+BX105-CG104)))</f>
        <v>337.30769230769249</v>
      </c>
      <c r="BZ105" s="14">
        <f>BY105*VLOOKUP('Données projet'!$B$12,Paramètres!$A$1:$I$89,3,0)*VLOOKUP('Données projet'!$B$12,Paramètres!$A$1:$I$89,5,0)</f>
        <v>226.2660000000001</v>
      </c>
      <c r="CA105" s="14">
        <f t="shared" si="93"/>
        <v>55.47453591859076</v>
      </c>
      <c r="CB105" s="22">
        <f t="shared" si="64"/>
        <v>490.69810005821245</v>
      </c>
      <c r="CC105" s="60">
        <f t="shared" si="65"/>
        <v>784.03143339154576</v>
      </c>
      <c r="CD105" s="60">
        <f ca="1">AVERAGE(OFFSET($CC$3,0,0,'Données projet'!$E$12+1,1))-AVERAGE(OFFSET($H$3,0,0,'Données projet'!$E$12+1,1))</f>
        <v>362.1372269575329</v>
      </c>
      <c r="CE105" s="60">
        <f t="shared" si="94"/>
        <v>308.1559670593121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0.41588333752288065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0.41588333752288065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5.4</v>
      </c>
      <c r="CT105" s="13">
        <f>IF('Données projet'!$A$140&gt;35,CT104+CS105-DB104,IF(A105&lt;'Données projet'!$A$140,$CQ$205^A105,IF(A105='Données projet'!$A$140,'Données projet'!$B$140,CT104+CS105-DB104)))</f>
        <v>288.80000000000013</v>
      </c>
      <c r="CU105" s="18">
        <f>CT105*VLOOKUP('Données projet'!$B$13,Paramètres!$A$1:$I$89,3,0)*VLOOKUP('Données projet'!$B$13,Paramètres!$A$1:$I$89,5,0)</f>
        <v>310.86432000000013</v>
      </c>
      <c r="CV105" s="14">
        <f t="shared" si="95"/>
        <v>73.449305328718694</v>
      </c>
      <c r="CW105" s="22">
        <f t="shared" si="67"/>
        <v>669.3462307808519</v>
      </c>
      <c r="CX105" s="60">
        <f t="shared" si="68"/>
        <v>962.67956411418527</v>
      </c>
      <c r="CY105" s="60">
        <f ca="1">AVERAGE(OFFSET($CX$3,0,0,'Données projet'!$E$13+1,1))-AVERAGE(OFFSET($H$3,0,0,'Données projet'!$E$13+1,1))</f>
        <v>488.44916315274139</v>
      </c>
      <c r="CZ105" s="60">
        <f t="shared" si="96"/>
        <v>348.17941150148209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0.54001287212729687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0.54001287212729687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6.9935897435897401</v>
      </c>
      <c r="N106" s="14">
        <f>IF('Données projet'!$A$36&gt;35,N105+M106-V105,IF(A106&lt;'Données projet'!$A$36,$K$205^A106,IF(A106='Données projet'!$A$36,'Données projet'!$B$36,N105+M106-V105)))</f>
        <v>298.20512820512846</v>
      </c>
      <c r="O106" s="14">
        <f>N106*VLOOKUP('Données projet'!$B$9,Paramètres!$A$1:$I$89,3,0)*VLOOKUP('Données projet'!$B$9,Paramètres!$A$1:$I$89,5,0)</f>
        <v>269.81600000000026</v>
      </c>
      <c r="P106" s="14">
        <f t="shared" si="87"/>
        <v>64.810218294809729</v>
      </c>
      <c r="Q106" s="22">
        <f t="shared" si="107"/>
        <v>582.80733019679406</v>
      </c>
      <c r="R106" s="60">
        <f t="shared" si="55"/>
        <v>876.14066353012731</v>
      </c>
      <c r="S106" s="60">
        <f ca="1">AVERAGE(OFFSET($R$3,0,0,'Données projet'!$E$9+1,1))-AVERAGE(OFFSET($H$3,0,0,'Données projet'!$E$9+1,1))</f>
        <v>319.72731970820928</v>
      </c>
      <c r="T106" s="60">
        <f t="shared" si="88"/>
        <v>279.93992813630513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6.2</v>
      </c>
      <c r="AI106" s="14">
        <f>IF('Données projet'!$A$62&gt;35,AI105+AH106-AQ105,IF(A106&lt;'Données projet'!$A$62,$AF$205^A106,IF(A106='Données projet'!$A$62,'Données projet'!$B$62,AI105+AH106-AQ105)))</f>
        <v>320.60000000000008</v>
      </c>
      <c r="AJ106" s="14">
        <f>AI106*VLOOKUP('Données projet'!$B$10,Paramètres!$A$1:$I$89,3,0)*VLOOKUP('Données projet'!$B$10,Paramètres!$A$1:$I$89,5,0)</f>
        <v>325.08840000000015</v>
      </c>
      <c r="AK106" s="14">
        <f t="shared" si="89"/>
        <v>76.411120176279823</v>
      </c>
      <c r="AL106" s="22">
        <f t="shared" si="58"/>
        <v>699.2783309736875</v>
      </c>
      <c r="AM106" s="60">
        <f t="shared" si="59"/>
        <v>992.61166430702087</v>
      </c>
      <c r="AN106" s="60">
        <f ca="1">AVERAGE(OFFSET($AM$3,0,0,'Données projet'!$E$10+1,1))-AVERAGE(OFFSET($H$3,0,0,'Données projet'!$E$10+1,1))</f>
        <v>505.64100207870439</v>
      </c>
      <c r="AO106" s="60">
        <f t="shared" si="90"/>
        <v>371.76229669709249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0.59629398579284809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0.59629398579284809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-2.8421709430404007E-13</v>
      </c>
      <c r="BE106" s="14">
        <f>BD106*VLOOKUP('Données projet'!$B$11,Paramètres!$A$1:$I$89,3,0)*VLOOKUP('Données projet'!$B$11,Paramètres!$A$1:$I$89,5,0)</f>
        <v>-2.2612312022829427E-13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353.26636241468884</v>
      </c>
      <c r="BJ106" s="60">
        <f t="shared" si="92"/>
        <v>345.4750813433123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0.80327509318513157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0.80327509318513157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3.5897435897435797</v>
      </c>
      <c r="BY106" s="13">
        <f>IF('Données projet'!$A$114&gt;35,BY105+BX106-CG105,IF(A106&lt;'Données projet'!$A$114,$BV$205^A106,IF(A106='Données projet'!$A$114,'Données projet'!$B$114,BY105+BX106-CG105)))</f>
        <v>340.89743589743608</v>
      </c>
      <c r="BZ106" s="14">
        <f>BY106*VLOOKUP('Données projet'!$B$12,Paramètres!$A$1:$I$89,3,0)*VLOOKUP('Données projet'!$B$12,Paramètres!$A$1:$I$89,5,0)</f>
        <v>228.67400000000015</v>
      </c>
      <c r="CA106" s="14">
        <f t="shared" si="93"/>
        <v>55.99587292006332</v>
      </c>
      <c r="CB106" s="22">
        <f t="shared" si="64"/>
        <v>495.80002866911053</v>
      </c>
      <c r="CC106" s="60">
        <f t="shared" si="65"/>
        <v>789.13336200244385</v>
      </c>
      <c r="CD106" s="60">
        <f ca="1">AVERAGE(OFFSET($CC$3,0,0,'Données projet'!$E$12+1,1))-AVERAGE(OFFSET($H$3,0,0,'Données projet'!$E$12+1,1))</f>
        <v>362.1372269575329</v>
      </c>
      <c r="CE106" s="60">
        <f t="shared" si="94"/>
        <v>308.1559670593121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0.4045109857879633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0.4045109857879633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5.4</v>
      </c>
      <c r="CT106" s="13">
        <f>IF('Données projet'!$A$140&gt;35,CT105+CS106-DB105,IF(A106&lt;'Données projet'!$A$140,$CQ$205^A106,IF(A106='Données projet'!$A$140,'Données projet'!$B$140,CT105+CS106-DB105)))</f>
        <v>294.2000000000001</v>
      </c>
      <c r="CU106" s="18">
        <f>CT106*VLOOKUP('Données projet'!$B$13,Paramètres!$A$1:$I$89,3,0)*VLOOKUP('Données projet'!$B$13,Paramètres!$A$1:$I$89,5,0)</f>
        <v>316.6768800000001</v>
      </c>
      <c r="CV106" s="14">
        <f t="shared" si="95"/>
        <v>74.661494394575968</v>
      </c>
      <c r="CW106" s="22">
        <f t="shared" si="67"/>
        <v>681.58100207055327</v>
      </c>
      <c r="CX106" s="60">
        <f t="shared" si="68"/>
        <v>974.91433540388653</v>
      </c>
      <c r="CY106" s="60">
        <f ca="1">AVERAGE(OFFSET($CX$3,0,0,'Données projet'!$E$13+1,1))-AVERAGE(OFFSET($H$3,0,0,'Données projet'!$E$13+1,1))</f>
        <v>488.44916315274139</v>
      </c>
      <c r="CZ106" s="60">
        <f t="shared" si="96"/>
        <v>348.17941150148209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0.52524619174093323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0.52524619174093323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6.9935897435897401</v>
      </c>
      <c r="N107" s="14">
        <f>IF('Données projet'!$A$36&gt;35,N106+M107-V106,IF(A107&lt;'Données projet'!$A$36,$K$205^A107,IF(A107='Données projet'!$A$36,'Données projet'!$B$36,N106+M107-V106)))</f>
        <v>305.19871794871818</v>
      </c>
      <c r="O107" s="14">
        <f>N107*VLOOKUP('Données projet'!$B$9,Paramètres!$A$1:$I$89,3,0)*VLOOKUP('Données projet'!$B$9,Paramètres!$A$1:$I$89,5,0)</f>
        <v>276.14380000000023</v>
      </c>
      <c r="P107" s="14">
        <f t="shared" si="87"/>
        <v>66.151426401533882</v>
      </c>
      <c r="Q107" s="22">
        <f t="shared" si="107"/>
        <v>596.16418598267194</v>
      </c>
      <c r="R107" s="60">
        <f t="shared" si="55"/>
        <v>889.49751931600531</v>
      </c>
      <c r="S107" s="60">
        <f ca="1">AVERAGE(OFFSET($R$3,0,0,'Données projet'!$E$9+1,1))-AVERAGE(OFFSET($H$3,0,0,'Données projet'!$E$9+1,1))</f>
        <v>319.72731970820928</v>
      </c>
      <c r="T107" s="60">
        <f t="shared" si="88"/>
        <v>279.93992813630513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6.2</v>
      </c>
      <c r="AI107" s="14">
        <f>IF('Données projet'!$A$62&gt;35,AI106+AH107-AQ106,IF(A107&lt;'Données projet'!$A$62,$AF$205^A107,IF(A107='Données projet'!$A$62,'Données projet'!$B$62,AI106+AH107-AQ106)))</f>
        <v>326.80000000000007</v>
      </c>
      <c r="AJ107" s="14">
        <f>AI107*VLOOKUP('Données projet'!$B$10,Paramètres!$A$1:$I$89,3,0)*VLOOKUP('Données projet'!$B$10,Paramètres!$A$1:$I$89,5,0)</f>
        <v>331.37520000000006</v>
      </c>
      <c r="AK107" s="14">
        <f t="shared" si="89"/>
        <v>77.715352174616896</v>
      </c>
      <c r="AL107" s="22">
        <f t="shared" si="58"/>
        <v>712.49937837079108</v>
      </c>
      <c r="AM107" s="60">
        <f t="shared" si="59"/>
        <v>1005.8327117041244</v>
      </c>
      <c r="AN107" s="60">
        <f ca="1">AVERAGE(OFFSET($AM$3,0,0,'Données projet'!$E$10+1,1))-AVERAGE(OFFSET($H$3,0,0,'Données projet'!$E$10+1,1))</f>
        <v>505.64100207870439</v>
      </c>
      <c r="AO107" s="60">
        <f t="shared" si="90"/>
        <v>371.76229669709249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0.57998829539360475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0.57998829539360475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-2.8421709430404007E-13</v>
      </c>
      <c r="BE107" s="14">
        <f>BD107*VLOOKUP('Données projet'!$B$11,Paramètres!$A$1:$I$89,3,0)*VLOOKUP('Données projet'!$B$11,Paramètres!$A$1:$I$89,5,0)</f>
        <v>-2.2612312022829427E-13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353.26636241468884</v>
      </c>
      <c r="BJ107" s="60">
        <f t="shared" si="92"/>
        <v>345.4750813433123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0.7813094935195829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0.7813094935195829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3.5897435897435797</v>
      </c>
      <c r="BY107" s="13">
        <f>IF('Données projet'!$A$114&gt;35,BY106+BX107-CG106,IF(A107&lt;'Données projet'!$A$114,$BV$205^A107,IF(A107='Données projet'!$A$114,'Données projet'!$B$114,BY106+BX107-CG106)))</f>
        <v>344.48717948717967</v>
      </c>
      <c r="BZ107" s="14">
        <f>BY107*VLOOKUP('Données projet'!$B$12,Paramètres!$A$1:$I$89,3,0)*VLOOKUP('Données projet'!$B$12,Paramètres!$A$1:$I$89,5,0)</f>
        <v>231.08200000000014</v>
      </c>
      <c r="CA107" s="14">
        <f t="shared" si="93"/>
        <v>56.516571285269613</v>
      </c>
      <c r="CB107" s="22">
        <f t="shared" si="64"/>
        <v>500.90084498851155</v>
      </c>
      <c r="CC107" s="60">
        <f t="shared" si="65"/>
        <v>794.23417832184487</v>
      </c>
      <c r="CD107" s="60">
        <f ca="1">AVERAGE(OFFSET($CC$3,0,0,'Données projet'!$E$12+1,1))-AVERAGE(OFFSET($H$3,0,0,'Données projet'!$E$12+1,1))</f>
        <v>362.1372269575329</v>
      </c>
      <c r="CE107" s="60">
        <f t="shared" si="94"/>
        <v>308.1559670593121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0.39344961160928321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0.39344961160928321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5.4</v>
      </c>
      <c r="CT107" s="13">
        <f>IF('Données projet'!$A$140&gt;35,CT106+CS107-DB106,IF(A107&lt;'Données projet'!$A$140,$CQ$205^A107,IF(A107='Données projet'!$A$140,'Données projet'!$B$140,CT106+CS107-DB106)))</f>
        <v>299.60000000000008</v>
      </c>
      <c r="CU107" s="18">
        <f>CT107*VLOOKUP('Données projet'!$B$13,Paramètres!$A$1:$I$89,3,0)*VLOOKUP('Données projet'!$B$13,Paramètres!$A$1:$I$89,5,0)</f>
        <v>322.48944000000006</v>
      </c>
      <c r="CV107" s="14">
        <f t="shared" si="95"/>
        <v>75.871096222556744</v>
      </c>
      <c r="CW107" s="22">
        <f t="shared" si="67"/>
        <v>693.81126725428646</v>
      </c>
      <c r="CX107" s="60">
        <f t="shared" si="68"/>
        <v>987.14460058761983</v>
      </c>
      <c r="CY107" s="60">
        <f ca="1">AVERAGE(OFFSET($CX$3,0,0,'Données projet'!$E$13+1,1))-AVERAGE(OFFSET($H$3,0,0,'Données projet'!$E$13+1,1))</f>
        <v>488.44916315274139</v>
      </c>
      <c r="CZ107" s="60">
        <f t="shared" si="96"/>
        <v>348.17941150148209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0.51088330700628071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0.51088330700628071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6.9935897435897401</v>
      </c>
      <c r="N108" s="14">
        <f>IF('Données projet'!$A$36&gt;35,N107+M108-V107,IF(A108&lt;'Données projet'!$A$36,$K$205^A108,IF(A108='Données projet'!$A$36,'Données projet'!$B$36,N107+M108-V107)))</f>
        <v>312.19230769230791</v>
      </c>
      <c r="O108" s="14">
        <f>N108*VLOOKUP('Données projet'!$B$9,Paramètres!$A$1:$I$89,3,0)*VLOOKUP('Données projet'!$B$9,Paramètres!$A$1:$I$89,5,0)</f>
        <v>282.47160000000019</v>
      </c>
      <c r="P108" s="14">
        <f t="shared" si="87"/>
        <v>67.489061551962138</v>
      </c>
      <c r="Q108" s="22">
        <f t="shared" si="107"/>
        <v>609.51481886966769</v>
      </c>
      <c r="R108" s="60">
        <f t="shared" si="55"/>
        <v>902.84815220300106</v>
      </c>
      <c r="S108" s="60">
        <f ca="1">AVERAGE(OFFSET($R$3,0,0,'Données projet'!$E$9+1,1))-AVERAGE(OFFSET($H$3,0,0,'Données projet'!$E$9+1,1))</f>
        <v>319.72731970820928</v>
      </c>
      <c r="T108" s="60">
        <f t="shared" si="88"/>
        <v>279.93992813630513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6.2</v>
      </c>
      <c r="AH108" s="13">
        <f t="array" ref="AH108">INDEX(AG:AG,MIN(IF(ISNUMBER(AG108:AG304),ROW(AG108:AG304),"")))</f>
        <v>6.2</v>
      </c>
      <c r="AI108" s="14">
        <f>IF('Données projet'!$A$62&gt;35,AI107+AH108-AQ107,IF(A108&lt;'Données projet'!$A$62,$AF$205^A108,IF(A108='Données projet'!$A$62,'Données projet'!$B$62,AI107+AH108-AQ107)))</f>
        <v>333.00000000000006</v>
      </c>
      <c r="AJ108" s="14">
        <f>AI108*VLOOKUP('Données projet'!$B$10,Paramètres!$A$1:$I$89,3,0)*VLOOKUP('Données projet'!$B$10,Paramètres!$A$1:$I$89,5,0)</f>
        <v>337.66200000000009</v>
      </c>
      <c r="AK108" s="14">
        <f t="shared" si="89"/>
        <v>79.016707002632685</v>
      </c>
      <c r="AL108" s="22">
        <f t="shared" si="58"/>
        <v>725.71541469625208</v>
      </c>
      <c r="AM108" s="60">
        <f t="shared" si="59"/>
        <v>1019.0487480295853</v>
      </c>
      <c r="AN108" s="60">
        <f ca="1">AVERAGE(OFFSET($AM$3,0,0,'Données projet'!$E$10+1,1))-AVERAGE(OFFSET($H$3,0,0,'Données projet'!$E$10+1,1))</f>
        <v>505.64100207870439</v>
      </c>
      <c r="AO108" s="60">
        <f t="shared" si="90"/>
        <v>371.76229669709249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0.5641284849558077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0.5641284849558077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-2.8421709430404007E-13</v>
      </c>
      <c r="BE108" s="14">
        <f>BD108*VLOOKUP('Données projet'!$B$11,Paramètres!$A$1:$I$89,3,0)*VLOOKUP('Données projet'!$B$11,Paramètres!$A$1:$I$89,5,0)</f>
        <v>-2.2612312022829427E-13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353.26636241468884</v>
      </c>
      <c r="BJ108" s="60">
        <f t="shared" si="92"/>
        <v>345.4750813433123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0.75994454433200931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0.75994454433200931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348.07692307692304</v>
      </c>
      <c r="BW108" s="13">
        <f>VLOOKUP(A108,'Données projet'!$A$113:$I$133,9,0)</f>
        <v>3.5897435897435797</v>
      </c>
      <c r="BX108" s="13">
        <f t="array" ref="BX108">INDEX(BW:BW,MIN(IF(ISNUMBER(BW108:BW304),ROW(BW108:BW304),"")))</f>
        <v>3.5897435897435797</v>
      </c>
      <c r="BY108" s="13">
        <f>IF('Données projet'!$A$114&gt;35,BY107+BX108-CG107,IF(A108&lt;'Données projet'!$A$114,$BV$205^A108,IF(A108='Données projet'!$A$114,'Données projet'!$B$114,BY107+BX108-CG107)))</f>
        <v>348.07692307692326</v>
      </c>
      <c r="BZ108" s="14">
        <f>BY108*VLOOKUP('Données projet'!$B$12,Paramètres!$A$1:$I$89,3,0)*VLOOKUP('Données projet'!$B$12,Paramètres!$A$1:$I$89,5,0)</f>
        <v>233.49000000000012</v>
      </c>
      <c r="CA108" s="14">
        <f t="shared" si="93"/>
        <v>57.036638439547325</v>
      </c>
      <c r="CB108" s="22">
        <f t="shared" si="64"/>
        <v>506.00056194887856</v>
      </c>
      <c r="CC108" s="60">
        <f t="shared" si="65"/>
        <v>799.33389528221187</v>
      </c>
      <c r="CD108" s="60">
        <f ca="1">AVERAGE(OFFSET($CC$3,0,0,'Données projet'!$E$12+1,1))-AVERAGE(OFFSET($H$3,0,0,'Données projet'!$E$12+1,1))</f>
        <v>362.1372269575329</v>
      </c>
      <c r="CE108" s="60">
        <f t="shared" si="94"/>
        <v>308.1559670593121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0.3826907112892115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0.3826907112892115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305</v>
      </c>
      <c r="CR108" s="13">
        <f>VLOOKUP(A108,'Données projet'!$A$139:$I$159,9,0)</f>
        <v>5.4</v>
      </c>
      <c r="CS108" s="13">
        <f t="array" ref="CS108">INDEX(CR:CR,MIN(IF(ISNUMBER(CR108:CR304),ROW(CR108:CR304),"")))</f>
        <v>5.4</v>
      </c>
      <c r="CT108" s="13">
        <f>IF('Données projet'!$A$140&gt;35,CT107+CS108-DB107,IF(A108&lt;'Données projet'!$A$140,$CQ$205^A108,IF(A108='Données projet'!$A$140,'Données projet'!$B$140,CT107+CS108-DB107)))</f>
        <v>305.00000000000006</v>
      </c>
      <c r="CU108" s="18">
        <f>CT108*VLOOKUP('Données projet'!$B$13,Paramètres!$A$1:$I$89,3,0)*VLOOKUP('Données projet'!$B$13,Paramètres!$A$1:$I$89,5,0)</f>
        <v>328.30200000000002</v>
      </c>
      <c r="CV108" s="14">
        <f t="shared" si="95"/>
        <v>77.078162824242838</v>
      </c>
      <c r="CW108" s="22">
        <f t="shared" si="67"/>
        <v>706.03711691888964</v>
      </c>
      <c r="CX108" s="60">
        <f t="shared" si="68"/>
        <v>999.37045025222301</v>
      </c>
      <c r="CY108" s="60">
        <f ca="1">AVERAGE(OFFSET($CX$3,0,0,'Données projet'!$E$13+1,1))-AVERAGE(OFFSET($H$3,0,0,'Données projet'!$E$13+1,1))</f>
        <v>488.44916315274139</v>
      </c>
      <c r="CZ108" s="60">
        <f t="shared" si="96"/>
        <v>348.17941150148209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0.49691317611000846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0.49691317611000846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6.9935897435897401</v>
      </c>
      <c r="N109" s="14">
        <f>IF('Données projet'!$A$36&gt;35,N108+M109-V108,IF(A109&lt;'Données projet'!$A$36,$K$205^A109,IF(A109='Données projet'!$A$36,'Données projet'!$B$36,N108+M109-V108)))</f>
        <v>319.18589743589763</v>
      </c>
      <c r="O109" s="14">
        <f>N109*VLOOKUP('Données projet'!$B$9,Paramètres!$A$1:$I$89,3,0)*VLOOKUP('Données projet'!$B$9,Paramètres!$A$1:$I$89,5,0)</f>
        <v>288.79940000000016</v>
      </c>
      <c r="P109" s="14">
        <f t="shared" si="87"/>
        <v>68.823213001142449</v>
      </c>
      <c r="Q109" s="22">
        <f t="shared" si="107"/>
        <v>622.85938431032332</v>
      </c>
      <c r="R109" s="60">
        <f t="shared" si="55"/>
        <v>916.19271764365658</v>
      </c>
      <c r="S109" s="60">
        <f ca="1">AVERAGE(OFFSET($R$3,0,0,'Données projet'!$E$9+1,1))-AVERAGE(OFFSET($H$3,0,0,'Données projet'!$E$9+1,1))</f>
        <v>319.72731970820928</v>
      </c>
      <c r="T109" s="60">
        <f t="shared" si="88"/>
        <v>279.93992813630513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5.8</v>
      </c>
      <c r="AI109" s="14">
        <f>IF('Données projet'!$A$62&gt;35,AI108+AH109-AQ108,IF(A109&lt;'Données projet'!$A$62,$AF$205^A109,IF(A109='Données projet'!$A$62,'Données projet'!$B$62,AI108+AH109-AQ108)))</f>
        <v>338.80000000000007</v>
      </c>
      <c r="AJ109" s="14">
        <f>AI109*VLOOKUP('Données projet'!$B$10,Paramètres!$A$1:$I$89,3,0)*VLOOKUP('Données projet'!$B$10,Paramètres!$A$1:$I$89,5,0)</f>
        <v>343.54320000000013</v>
      </c>
      <c r="AK109" s="14">
        <f t="shared" si="89"/>
        <v>80.231551691470756</v>
      </c>
      <c r="AL109" s="22">
        <f t="shared" si="58"/>
        <v>738.07435919597845</v>
      </c>
      <c r="AM109" s="60">
        <f t="shared" si="59"/>
        <v>1031.4076925293118</v>
      </c>
      <c r="AN109" s="60">
        <f ca="1">AVERAGE(OFFSET($AM$3,0,0,'Données projet'!$E$10+1,1))-AVERAGE(OFFSET($H$3,0,0,'Données projet'!$E$10+1,1))</f>
        <v>505.64100207870439</v>
      </c>
      <c r="AO109" s="60">
        <f t="shared" si="90"/>
        <v>371.76229669709249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0.54870236186846344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0.54870236186846344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-2.8421709430404007E-13</v>
      </c>
      <c r="BE109" s="14">
        <f>BD109*VLOOKUP('Données projet'!$B$11,Paramètres!$A$1:$I$89,3,0)*VLOOKUP('Données projet'!$B$11,Paramètres!$A$1:$I$89,5,0)</f>
        <v>-2.2612312022829427E-13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353.26636241468884</v>
      </c>
      <c r="BJ109" s="60">
        <f t="shared" si="92"/>
        <v>345.4750813433123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0.73916382080350385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0.73916382080350385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3.7179487179487181</v>
      </c>
      <c r="BY109" s="13">
        <f>IF('Données projet'!$A$114&gt;35,BY108+BX109-CG108,IF(A109&lt;'Données projet'!$A$114,$BV$205^A109,IF(A109='Données projet'!$A$114,'Données projet'!$B$114,BY108+BX109-CG108)))</f>
        <v>351.79487179487199</v>
      </c>
      <c r="BZ109" s="14">
        <f>BY109*VLOOKUP('Données projet'!$B$12,Paramètres!$A$1:$I$89,3,0)*VLOOKUP('Données projet'!$B$12,Paramètres!$A$1:$I$89,5,0)</f>
        <v>235.98400000000012</v>
      </c>
      <c r="CA109" s="14">
        <f t="shared" si="93"/>
        <v>57.574621739155809</v>
      </c>
      <c r="CB109" s="22">
        <f t="shared" si="64"/>
        <v>511.28126619569656</v>
      </c>
      <c r="CC109" s="60">
        <f t="shared" si="65"/>
        <v>804.61459952902987</v>
      </c>
      <c r="CD109" s="60">
        <f ca="1">AVERAGE(OFFSET($CC$3,0,0,'Données projet'!$E$12+1,1))-AVERAGE(OFFSET($H$3,0,0,'Données projet'!$E$12+1,1))</f>
        <v>362.1372269575329</v>
      </c>
      <c r="CE109" s="60">
        <f t="shared" si="94"/>
        <v>308.1559670593121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0.37222601366417818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0.37222601366417818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5.2</v>
      </c>
      <c r="CT109" s="13">
        <f>IF('Données projet'!$A$140&gt;35,CT108+CS109-DB108,IF(A109&lt;'Données projet'!$A$140,$CQ$205^A109,IF(A109='Données projet'!$A$140,'Données projet'!$B$140,CT108+CS109-DB108)))</f>
        <v>310.20000000000005</v>
      </c>
      <c r="CU109" s="18">
        <f>CT109*VLOOKUP('Données projet'!$B$13,Paramètres!$A$1:$I$89,3,0)*VLOOKUP('Données projet'!$B$13,Paramètres!$A$1:$I$89,5,0)</f>
        <v>333.89928000000003</v>
      </c>
      <c r="CV109" s="14">
        <f t="shared" si="95"/>
        <v>78.238173885559831</v>
      </c>
      <c r="CW109" s="22">
        <f t="shared" si="67"/>
        <v>717.80606551735002</v>
      </c>
      <c r="CX109" s="60">
        <f t="shared" si="68"/>
        <v>1011.1393988506834</v>
      </c>
      <c r="CY109" s="60">
        <f ca="1">AVERAGE(OFFSET($CX$3,0,0,'Données projet'!$E$13+1,1))-AVERAGE(OFFSET($H$3,0,0,'Données projet'!$E$13+1,1))</f>
        <v>488.44916315274139</v>
      </c>
      <c r="CZ109" s="60">
        <f t="shared" si="96"/>
        <v>348.17941150148209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0.48332505917775204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0.48332505917775204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6.9935897435897401</v>
      </c>
      <c r="N110" s="14">
        <f>IF('Données projet'!$A$36&gt;35,N109+M110-V109,IF(A110&lt;'Données projet'!$A$36,$K$205^A110,IF(A110='Données projet'!$A$36,'Données projet'!$B$36,N109+M110-V109)))</f>
        <v>326.17948717948735</v>
      </c>
      <c r="O110" s="14">
        <f>N110*VLOOKUP('Données projet'!$B$9,Paramètres!$A$1:$I$89,3,0)*VLOOKUP('Données projet'!$B$9,Paramètres!$A$1:$I$89,5,0)</f>
        <v>295.12720000000013</v>
      </c>
      <c r="P110" s="14">
        <f t="shared" si="87"/>
        <v>70.153965869482519</v>
      </c>
      <c r="Q110" s="22">
        <f t="shared" si="107"/>
        <v>636.19803055601562</v>
      </c>
      <c r="R110" s="60">
        <f t="shared" si="55"/>
        <v>929.531363889349</v>
      </c>
      <c r="S110" s="60">
        <f ca="1">AVERAGE(OFFSET($R$3,0,0,'Données projet'!$E$9+1,1))-AVERAGE(OFFSET($H$3,0,0,'Données projet'!$E$9+1,1))</f>
        <v>319.72731970820928</v>
      </c>
      <c r="T110" s="60">
        <f t="shared" si="88"/>
        <v>279.93992813630513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5.8</v>
      </c>
      <c r="AI110" s="14">
        <f>IF('Données projet'!$A$62&gt;35,AI109+AH110-AQ109,IF(A110&lt;'Données projet'!$A$62,$AF$205^A110,IF(A110='Données projet'!$A$62,'Données projet'!$B$62,AI109+AH110-AQ109)))</f>
        <v>344.60000000000008</v>
      </c>
      <c r="AJ110" s="14">
        <f>AI110*VLOOKUP('Données projet'!$B$10,Paramètres!$A$1:$I$89,3,0)*VLOOKUP('Données projet'!$B$10,Paramètres!$A$1:$I$89,5,0)</f>
        <v>349.42440000000011</v>
      </c>
      <c r="AK110" s="14">
        <f t="shared" si="89"/>
        <v>81.443977868981179</v>
      </c>
      <c r="AL110" s="22">
        <f t="shared" si="58"/>
        <v>750.42909145514238</v>
      </c>
      <c r="AM110" s="60">
        <f t="shared" si="59"/>
        <v>1043.7624247884758</v>
      </c>
      <c r="AN110" s="60">
        <f ca="1">AVERAGE(OFFSET($AM$3,0,0,'Données projet'!$E$10+1,1))-AVERAGE(OFFSET($H$3,0,0,'Données projet'!$E$10+1,1))</f>
        <v>505.64100207870439</v>
      </c>
      <c r="AO110" s="60">
        <f t="shared" si="90"/>
        <v>371.76229669709249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0.53369806692816713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0.53369806692816713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-2.8421709430404007E-13</v>
      </c>
      <c r="BE110" s="14">
        <f>BD110*VLOOKUP('Données projet'!$B$11,Paramètres!$A$1:$I$89,3,0)*VLOOKUP('Données projet'!$B$11,Paramètres!$A$1:$I$89,5,0)</f>
        <v>-2.2612312022829427E-13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353.26636241468884</v>
      </c>
      <c r="BJ110" s="60">
        <f t="shared" si="92"/>
        <v>345.4750813433123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0.71895134725269605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0.71895134725269605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3.7179487179487181</v>
      </c>
      <c r="BY110" s="13">
        <f>IF('Données projet'!$A$114&gt;35,BY109+BX110-CG109,IF(A110&lt;'Données projet'!$A$114,$BV$205^A110,IF(A110='Données projet'!$A$114,'Données projet'!$B$114,BY109+BX110-CG109)))</f>
        <v>355.51282051282072</v>
      </c>
      <c r="BZ110" s="14">
        <f>BY110*VLOOKUP('Données projet'!$B$12,Paramètres!$A$1:$I$89,3,0)*VLOOKUP('Données projet'!$B$12,Paramètres!$A$1:$I$89,5,0)</f>
        <v>238.47800000000015</v>
      </c>
      <c r="CA110" s="14">
        <f t="shared" si="93"/>
        <v>58.11194361908256</v>
      </c>
      <c r="CB110" s="22">
        <f t="shared" si="64"/>
        <v>516.5608184699023</v>
      </c>
      <c r="CC110" s="60">
        <f t="shared" si="65"/>
        <v>809.89415180323567</v>
      </c>
      <c r="CD110" s="60">
        <f ca="1">AVERAGE(OFFSET($CC$3,0,0,'Données projet'!$E$12+1,1))-AVERAGE(OFFSET($H$3,0,0,'Données projet'!$E$12+1,1))</f>
        <v>362.1372269575329</v>
      </c>
      <c r="CE110" s="60">
        <f t="shared" si="94"/>
        <v>308.1559670593121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0.36204747374601592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0.36204747374601592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5.2</v>
      </c>
      <c r="CT110" s="13">
        <f>IF('Données projet'!$A$140&gt;35,CT109+CS110-DB109,IF(A110&lt;'Données projet'!$A$140,$CQ$205^A110,IF(A110='Données projet'!$A$140,'Données projet'!$B$140,CT109+CS110-DB109)))</f>
        <v>315.40000000000003</v>
      </c>
      <c r="CU110" s="18">
        <f>CT110*VLOOKUP('Données projet'!$B$13,Paramètres!$A$1:$I$89,3,0)*VLOOKUP('Données projet'!$B$13,Paramètres!$A$1:$I$89,5,0)</f>
        <v>339.49656000000004</v>
      </c>
      <c r="CV110" s="14">
        <f t="shared" si="95"/>
        <v>79.395923561784997</v>
      </c>
      <c r="CW110" s="22">
        <f t="shared" si="67"/>
        <v>729.57107553677554</v>
      </c>
      <c r="CX110" s="60">
        <f t="shared" si="68"/>
        <v>1022.9044088701089</v>
      </c>
      <c r="CY110" s="60">
        <f ca="1">AVERAGE(OFFSET($CX$3,0,0,'Données projet'!$E$13+1,1))-AVERAGE(OFFSET($H$3,0,0,'Données projet'!$E$13+1,1))</f>
        <v>488.44916315274139</v>
      </c>
      <c r="CZ110" s="60">
        <f t="shared" si="96"/>
        <v>348.17941150148209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0.4701085100175762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0.4701085100175762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6.9935897435897401</v>
      </c>
      <c r="N111" s="14">
        <f>IF('Données projet'!$A$36&gt;35,N110+M111-V110,IF(A111&lt;'Données projet'!$A$36,$K$205^A111,IF(A111='Données projet'!$A$36,'Données projet'!$B$36,N110+M111-V110)))</f>
        <v>333.17307692307708</v>
      </c>
      <c r="O111" s="14">
        <f>N111*VLOOKUP('Données projet'!$B$9,Paramètres!$A$1:$I$89,3,0)*VLOOKUP('Données projet'!$B$9,Paramètres!$A$1:$I$89,5,0)</f>
        <v>301.45500000000015</v>
      </c>
      <c r="P111" s="14">
        <f t="shared" si="87"/>
        <v>71.481401418760271</v>
      </c>
      <c r="Q111" s="22">
        <f t="shared" si="107"/>
        <v>649.53089913767428</v>
      </c>
      <c r="R111" s="60">
        <f t="shared" si="55"/>
        <v>942.86423247100765</v>
      </c>
      <c r="S111" s="60">
        <f ca="1">AVERAGE(OFFSET($R$3,0,0,'Données projet'!$E$9+1,1))-AVERAGE(OFFSET($H$3,0,0,'Données projet'!$E$9+1,1))</f>
        <v>319.72731970820928</v>
      </c>
      <c r="T111" s="60">
        <f t="shared" si="88"/>
        <v>279.93992813630513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5.8</v>
      </c>
      <c r="AI111" s="14">
        <f>IF('Données projet'!$A$62&gt;35,AI110+AH111-AQ110,IF(A111&lt;'Données projet'!$A$62,$AF$205^A111,IF(A111='Données projet'!$A$62,'Données projet'!$B$62,AI110+AH111-AQ110)))</f>
        <v>350.40000000000009</v>
      </c>
      <c r="AJ111" s="14">
        <f>AI111*VLOOKUP('Données projet'!$B$10,Paramètres!$A$1:$I$89,3,0)*VLOOKUP('Données projet'!$B$10,Paramètres!$A$1:$I$89,5,0)</f>
        <v>355.30560000000014</v>
      </c>
      <c r="AK111" s="14">
        <f t="shared" si="89"/>
        <v>82.654030939428409</v>
      </c>
      <c r="AL111" s="22">
        <f t="shared" si="58"/>
        <v>762.77969055283802</v>
      </c>
      <c r="AM111" s="60">
        <f t="shared" si="59"/>
        <v>1056.1130238861713</v>
      </c>
      <c r="AN111" s="60">
        <f ca="1">AVERAGE(OFFSET($AM$3,0,0,'Données projet'!$E$10+1,1))-AVERAGE(OFFSET($H$3,0,0,'Données projet'!$E$10+1,1))</f>
        <v>505.64100207870439</v>
      </c>
      <c r="AO111" s="60">
        <f t="shared" si="90"/>
        <v>371.76229669709249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0.51910406522205488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0.51910406522205488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-2.8421709430404007E-13</v>
      </c>
      <c r="BE111" s="14">
        <f>BD111*VLOOKUP('Données projet'!$B$11,Paramètres!$A$1:$I$89,3,0)*VLOOKUP('Données projet'!$B$11,Paramètres!$A$1:$I$89,5,0)</f>
        <v>-2.2612312022829427E-13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353.26636241468884</v>
      </c>
      <c r="BJ111" s="60">
        <f t="shared" si="92"/>
        <v>345.4750813433123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0.69929158485406295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0.69929158485406295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3.7179487179487181</v>
      </c>
      <c r="BY111" s="13">
        <f>IF('Données projet'!$A$114&gt;35,BY110+BX111-CG110,IF(A111&lt;'Données projet'!$A$114,$BV$205^A111,IF(A111='Données projet'!$A$114,'Données projet'!$B$114,BY110+BX111-CG110)))</f>
        <v>359.23076923076945</v>
      </c>
      <c r="BZ111" s="14">
        <f>BY111*VLOOKUP('Données projet'!$B$12,Paramètres!$A$1:$I$89,3,0)*VLOOKUP('Données projet'!$B$12,Paramètres!$A$1:$I$89,5,0)</f>
        <v>240.97200000000018</v>
      </c>
      <c r="CA111" s="14">
        <f t="shared" si="93"/>
        <v>58.648611797183598</v>
      </c>
      <c r="CB111" s="22">
        <f t="shared" si="64"/>
        <v>521.83923221342832</v>
      </c>
      <c r="CC111" s="60">
        <f t="shared" si="65"/>
        <v>815.17256554676169</v>
      </c>
      <c r="CD111" s="60">
        <f ca="1">AVERAGE(OFFSET($CC$3,0,0,'Données projet'!$E$12+1,1))-AVERAGE(OFFSET($H$3,0,0,'Données projet'!$E$12+1,1))</f>
        <v>362.1372269575329</v>
      </c>
      <c r="CE111" s="60">
        <f t="shared" si="94"/>
        <v>308.1559670593121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0.35214726653718192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0.35214726653718192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5.2</v>
      </c>
      <c r="CT111" s="13">
        <f>IF('Données projet'!$A$140&gt;35,CT110+CS111-DB110,IF(A111&lt;'Données projet'!$A$140,$CQ$205^A111,IF(A111='Données projet'!$A$140,'Données projet'!$B$140,CT110+CS111-DB110)))</f>
        <v>320.60000000000002</v>
      </c>
      <c r="CU111" s="18">
        <f>CT111*VLOOKUP('Données projet'!$B$13,Paramètres!$A$1:$I$89,3,0)*VLOOKUP('Données projet'!$B$13,Paramètres!$A$1:$I$89,5,0)</f>
        <v>345.09384</v>
      </c>
      <c r="CV111" s="14">
        <f t="shared" si="95"/>
        <v>80.551453440052555</v>
      </c>
      <c r="CW111" s="22">
        <f t="shared" si="67"/>
        <v>741.33221940809153</v>
      </c>
      <c r="CX111" s="60">
        <f t="shared" si="68"/>
        <v>1034.6655527414248</v>
      </c>
      <c r="CY111" s="60">
        <f ca="1">AVERAGE(OFFSET($CX$3,0,0,'Données projet'!$E$13+1,1))-AVERAGE(OFFSET($H$3,0,0,'Données projet'!$E$13+1,1))</f>
        <v>488.44916315274139</v>
      </c>
      <c r="CZ111" s="60">
        <f t="shared" si="96"/>
        <v>348.17941150148209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0.45725336808921346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0.45725336808921346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>
        <f>VLOOKUP(A112,'Données projet'!$A$35:$I$55,2,0)</f>
        <v>340.16666666666663</v>
      </c>
      <c r="L112" s="13">
        <f>VLOOKUP(A112,'Données projet'!$A$35:$I$55,9,0)</f>
        <v>6.9935897435897401</v>
      </c>
      <c r="M112" s="13">
        <f t="array" ref="M112">INDEX(L:L,MIN(IF(ISNUMBER(L112:L308),ROW(L112:L308),"")))</f>
        <v>6.9935897435897401</v>
      </c>
      <c r="N112" s="14">
        <f>IF('Données projet'!$A$36&gt;35,N111+M112-V111,IF(A112&lt;'Données projet'!$A$36,$K$205^A112,IF(A112='Données projet'!$A$36,'Données projet'!$B$36,N111+M112-V111)))</f>
        <v>340.1666666666668</v>
      </c>
      <c r="O112" s="14">
        <f>N112*VLOOKUP('Données projet'!$B$9,Paramètres!$A$1:$I$89,3,0)*VLOOKUP('Données projet'!$B$9,Paramètres!$A$1:$I$89,5,0)</f>
        <v>307.78280000000012</v>
      </c>
      <c r="P112" s="14">
        <f t="shared" si="87"/>
        <v>72.805597304306232</v>
      </c>
      <c r="Q112" s="22">
        <f t="shared" si="107"/>
        <v>662.85812530500016</v>
      </c>
      <c r="R112" s="60">
        <f t="shared" si="55"/>
        <v>956.19145863833342</v>
      </c>
      <c r="S112" s="60">
        <f ca="1">AVERAGE(OFFSET($R$3,0,0,'Données projet'!$E$9+1,1))-AVERAGE(OFFSET($H$3,0,0,'Données projet'!$E$9+1,1))</f>
        <v>319.72731970820928</v>
      </c>
      <c r="T112" s="60">
        <f t="shared" si="88"/>
        <v>279.93992813630513</v>
      </c>
      <c r="U112" s="16">
        <f>IF(ISNA(VLOOKUP(A112,'Données projet'!$A$35:$I$55,3,0)),0,VLOOKUP(A112,'Données projet'!$A$35:$I$55,3,0))</f>
        <v>10</v>
      </c>
      <c r="V112" s="16">
        <f>IF(ISNA(VLOOKUP(A112,'Données projet'!$A$35:$I$55,4,0)),0,VLOOKUP(A112,'Données projet'!$A$35:$I$55,4,0))</f>
        <v>51.28846153846154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5.8</v>
      </c>
      <c r="AI112" s="14">
        <f>IF('Données projet'!$A$62&gt;35,AI111+AH112-AQ111,IF(A112&lt;'Données projet'!$A$62,$AF$205^A112,IF(A112='Données projet'!$A$62,'Données projet'!$B$62,AI111+AH112-AQ111)))</f>
        <v>356.2000000000001</v>
      </c>
      <c r="AJ112" s="14">
        <f>AI112*VLOOKUP('Données projet'!$B$10,Paramètres!$A$1:$I$89,3,0)*VLOOKUP('Données projet'!$B$10,Paramètres!$A$1:$I$89,5,0)</f>
        <v>361.18680000000012</v>
      </c>
      <c r="AK112" s="14">
        <f t="shared" si="89"/>
        <v>83.86175471780156</v>
      </c>
      <c r="AL112" s="22">
        <f t="shared" si="58"/>
        <v>775.12623280017124</v>
      </c>
      <c r="AM112" s="60">
        <f t="shared" si="59"/>
        <v>1068.4595661335045</v>
      </c>
      <c r="AN112" s="60">
        <f ca="1">AVERAGE(OFFSET($AM$3,0,0,'Données projet'!$E$10+1,1))-AVERAGE(OFFSET($H$3,0,0,'Données projet'!$E$10+1,1))</f>
        <v>505.64100207870439</v>
      </c>
      <c r="AO112" s="60">
        <f t="shared" si="90"/>
        <v>371.76229669709249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0.50490913726006148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0.50490913726006148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-2.8421709430404007E-13</v>
      </c>
      <c r="BE112" s="14">
        <f>BD112*VLOOKUP('Données projet'!$B$11,Paramètres!$A$1:$I$89,3,0)*VLOOKUP('Données projet'!$B$11,Paramètres!$A$1:$I$89,5,0)</f>
        <v>-2.2612312022829427E-13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353.26636241468884</v>
      </c>
      <c r="BJ112" s="60">
        <f t="shared" si="92"/>
        <v>345.4750813433123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0.68016941969208244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0.68016941969208244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3.7179487179487181</v>
      </c>
      <c r="BY112" s="13">
        <f>IF('Données projet'!$A$114&gt;35,BY111+BX112-CG111,IF(A112&lt;'Données projet'!$A$114,$BV$205^A112,IF(A112='Données projet'!$A$114,'Données projet'!$B$114,BY111+BX112-CG111)))</f>
        <v>362.94871794871818</v>
      </c>
      <c r="BZ112" s="14">
        <f>BY112*VLOOKUP('Données projet'!$B$12,Paramètres!$A$1:$I$89,3,0)*VLOOKUP('Données projet'!$B$12,Paramètres!$A$1:$I$89,5,0)</f>
        <v>243.46600000000015</v>
      </c>
      <c r="CA112" s="14">
        <f t="shared" si="93"/>
        <v>59.184633822354165</v>
      </c>
      <c r="CB112" s="22">
        <f t="shared" si="64"/>
        <v>527.11652057393383</v>
      </c>
      <c r="CC112" s="60">
        <f t="shared" si="65"/>
        <v>820.4498539072672</v>
      </c>
      <c r="CD112" s="60">
        <f ca="1">AVERAGE(OFFSET($CC$3,0,0,'Données projet'!$E$12+1,1))-AVERAGE(OFFSET($H$3,0,0,'Données projet'!$E$12+1,1))</f>
        <v>362.1372269575329</v>
      </c>
      <c r="CE112" s="60">
        <f t="shared" si="94"/>
        <v>308.1559670593121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0.34251778101510277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0.34251778101510277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5.2</v>
      </c>
      <c r="CT112" s="13">
        <f>IF('Données projet'!$A$140&gt;35,CT111+CS112-DB111,IF(A112&lt;'Données projet'!$A$140,$CQ$205^A112,IF(A112='Données projet'!$A$140,'Données projet'!$B$140,CT111+CS112-DB111)))</f>
        <v>325.8</v>
      </c>
      <c r="CU112" s="18">
        <f>CT112*VLOOKUP('Données projet'!$B$13,Paramètres!$A$1:$I$89,3,0)*VLOOKUP('Données projet'!$B$13,Paramètres!$A$1:$I$89,5,0)</f>
        <v>350.69112000000001</v>
      </c>
      <c r="CV112" s="14">
        <f t="shared" si="95"/>
        <v>81.704803681089643</v>
      </c>
      <c r="CW112" s="22">
        <f t="shared" si="67"/>
        <v>753.08956707789775</v>
      </c>
      <c r="CX112" s="60">
        <f t="shared" si="68"/>
        <v>1046.422900411231</v>
      </c>
      <c r="CY112" s="60">
        <f ca="1">AVERAGE(OFFSET($CX$3,0,0,'Données projet'!$E$13+1,1))-AVERAGE(OFFSET($H$3,0,0,'Données projet'!$E$13+1,1))</f>
        <v>488.44916315274139</v>
      </c>
      <c r="CZ112" s="60">
        <f t="shared" si="96"/>
        <v>348.17941150148209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0.44474975069290434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0.44474975069290434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6.8461538461538511</v>
      </c>
      <c r="N113" s="14">
        <f>IF('Données projet'!$A$36&gt;35,N112+M113-V112,IF(A113&lt;'Données projet'!$A$36,$K$205^A113,IF(A113='Données projet'!$A$36,'Données projet'!$B$36,N112+M113-V112)))</f>
        <v>295.72435897435912</v>
      </c>
      <c r="O113" s="14">
        <f>N113*VLOOKUP('Données projet'!$B$9,Paramètres!$A$1:$I$89,3,0)*VLOOKUP('Données projet'!$B$9,Paramètres!$A$1:$I$89,5,0)</f>
        <v>267.57140000000015</v>
      </c>
      <c r="P113" s="14">
        <f t="shared" si="87"/>
        <v>64.333588350286448</v>
      </c>
      <c r="Q113" s="22">
        <f t="shared" si="107"/>
        <v>578.06785471008243</v>
      </c>
      <c r="R113" s="60">
        <f t="shared" si="55"/>
        <v>871.40118804341569</v>
      </c>
      <c r="S113" s="60">
        <f ca="1">AVERAGE(OFFSET($R$3,0,0,'Données projet'!$E$9+1,1))-AVERAGE(OFFSET($H$3,0,0,'Données projet'!$E$9+1,1))</f>
        <v>319.72731970820928</v>
      </c>
      <c r="T113" s="60">
        <f t="shared" si="88"/>
        <v>279.93992813630513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362</v>
      </c>
      <c r="AG113" s="13">
        <f>VLOOKUP(A113,'Données projet'!$A$61:$I$81,9,0)</f>
        <v>5.8</v>
      </c>
      <c r="AH113" s="13">
        <f t="array" ref="AH113">INDEX(AG:AG,MIN(IF(ISNUMBER(AG113:AG309),ROW(AG113:AG309),"")))</f>
        <v>5.8</v>
      </c>
      <c r="AI113" s="14">
        <f>IF('Données projet'!$A$62&gt;35,AI112+AH113-AQ112,IF(A113&lt;'Données projet'!$A$62,$AF$205^A113,IF(A113='Données projet'!$A$62,'Données projet'!$B$62,AI112+AH113-AQ112)))</f>
        <v>362.00000000000011</v>
      </c>
      <c r="AJ113" s="14">
        <f>AI113*VLOOKUP('Données projet'!$B$10,Paramètres!$A$1:$I$89,3,0)*VLOOKUP('Données projet'!$B$10,Paramètres!$A$1:$I$89,5,0)</f>
        <v>367.0680000000001</v>
      </c>
      <c r="AK113" s="14">
        <f t="shared" si="89"/>
        <v>85.067191510398061</v>
      </c>
      <c r="AL113" s="22">
        <f t="shared" si="58"/>
        <v>787.46879188061018</v>
      </c>
      <c r="AM113" s="60">
        <f t="shared" si="59"/>
        <v>1080.8021252139436</v>
      </c>
      <c r="AN113" s="60">
        <f ca="1">AVERAGE(OFFSET($AM$3,0,0,'Données projet'!$E$10+1,1))-AVERAGE(OFFSET($H$3,0,0,'Données projet'!$E$10+1,1))</f>
        <v>505.64100207870439</v>
      </c>
      <c r="AO113" s="60">
        <f t="shared" si="90"/>
        <v>371.76229669709249</v>
      </c>
      <c r="AP113" s="16">
        <f>IF(ISNA(VLOOKUP(A113,'Données projet'!$A$61:$I$81,3,0)),0,VLOOKUP(A113,'Données projet'!$A$61:$I$81,3,0))</f>
        <v>10</v>
      </c>
      <c r="AQ113" s="16">
        <f>IF(ISNA(VLOOKUP(A113,'Données projet'!$A$61:$I$81,4,0)),0,VLOOKUP(A113,'Données projet'!$A$61:$I$81,4,0))</f>
        <v>47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0.49110237034966758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0.49110237034966758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-2.8421709430404007E-13</v>
      </c>
      <c r="BE113" s="14">
        <f>BD113*VLOOKUP('Données projet'!$B$11,Paramètres!$A$1:$I$89,3,0)*VLOOKUP('Données projet'!$B$11,Paramètres!$A$1:$I$89,5,0)</f>
        <v>-2.2612312022829427E-13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353.26636241468884</v>
      </c>
      <c r="BJ113" s="60">
        <f t="shared" si="92"/>
        <v>345.4750813433123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0.6615701511420472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0.6615701511420472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366.66666666666663</v>
      </c>
      <c r="BW113" s="13">
        <f>VLOOKUP(A113,'Données projet'!$A$113:$I$133,9,0)</f>
        <v>3.7179487179487181</v>
      </c>
      <c r="BX113" s="13">
        <f t="array" ref="BX113">INDEX(BW:BW,MIN(IF(ISNUMBER(BW113:BW309),ROW(BW113:BW309),"")))</f>
        <v>3.7179487179487181</v>
      </c>
      <c r="BY113" s="13">
        <f>IF('Données projet'!$A$114&gt;35,BY112+BX113-CG112,IF(A113&lt;'Données projet'!$A$114,$BV$205^A113,IF(A113='Données projet'!$A$114,'Données projet'!$B$114,BY112+BX113-CG112)))</f>
        <v>366.66666666666691</v>
      </c>
      <c r="BZ113" s="14">
        <f>BY113*VLOOKUP('Données projet'!$B$12,Paramètres!$A$1:$I$89,3,0)*VLOOKUP('Données projet'!$B$12,Paramètres!$A$1:$I$89,5,0)</f>
        <v>245.96000000000018</v>
      </c>
      <c r="CA113" s="14">
        <f t="shared" si="93"/>
        <v>59.720017079919756</v>
      </c>
      <c r="CB113" s="22">
        <f t="shared" si="64"/>
        <v>532.39269641419389</v>
      </c>
      <c r="CC113" s="60">
        <f t="shared" si="65"/>
        <v>825.72602974752726</v>
      </c>
      <c r="CD113" s="60">
        <f ca="1">AVERAGE(OFFSET($CC$3,0,0,'Données projet'!$E$12+1,1))-AVERAGE(OFFSET($H$3,0,0,'Données projet'!$E$12+1,1))</f>
        <v>362.1372269575329</v>
      </c>
      <c r="CE113" s="60">
        <f t="shared" si="94"/>
        <v>308.1559670593121</v>
      </c>
      <c r="CF113" s="16">
        <f>IF(ISNA(VLOOKUP(A113,'Données projet'!$A$113:$I$133,3,0)),0,VLOOKUP(A113,'Données projet'!$A$113:$I$133,3,0))</f>
        <v>10</v>
      </c>
      <c r="CG113" s="16">
        <f>IF(ISNA(VLOOKUP(A113,'Données projet'!$A$113:$I$133,4,0)),0,VLOOKUP(A113,'Données projet'!$A$113:$I$133,4,0))</f>
        <v>366.66666666666663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0.33315161428101753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0.33315161428101753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331</v>
      </c>
      <c r="CR113" s="13">
        <f>VLOOKUP(A113,'Données projet'!$A$139:$I$159,9,0)</f>
        <v>5.2</v>
      </c>
      <c r="CS113" s="13">
        <f t="array" ref="CS113">INDEX(CR:CR,MIN(IF(ISNUMBER(CR113:CR309),ROW(CR113:CR309),"")))</f>
        <v>5.2</v>
      </c>
      <c r="CT113" s="13">
        <f>IF('Données projet'!$A$140&gt;35,CT112+CS113-DB112,IF(A113&lt;'Données projet'!$A$140,$CQ$205^A113,IF(A113='Données projet'!$A$140,'Données projet'!$B$140,CT112+CS113-DB112)))</f>
        <v>331</v>
      </c>
      <c r="CU113" s="18">
        <f>CT113*VLOOKUP('Données projet'!$B$13,Paramètres!$A$1:$I$89,3,0)*VLOOKUP('Données projet'!$B$13,Paramètres!$A$1:$I$89,5,0)</f>
        <v>356.28839999999997</v>
      </c>
      <c r="CV113" s="14">
        <f t="shared" si="95"/>
        <v>82.856013090111389</v>
      </c>
      <c r="CW113" s="22">
        <f t="shared" si="67"/>
        <v>764.84318613194398</v>
      </c>
      <c r="CX113" s="60">
        <f t="shared" si="68"/>
        <v>1058.1765194652774</v>
      </c>
      <c r="CY113" s="60">
        <f ca="1">AVERAGE(OFFSET($CX$3,0,0,'Données projet'!$E$13+1,1))-AVERAGE(OFFSET($H$3,0,0,'Données projet'!$E$13+1,1))</f>
        <v>488.44916315274139</v>
      </c>
      <c r="CZ113" s="60">
        <f t="shared" si="96"/>
        <v>348.17941150148209</v>
      </c>
      <c r="DA113" s="16">
        <f>IF(ISNA(VLOOKUP(A113,'Données projet'!$A$139:$I$159,3,0)),0,VLOOKUP(A113,'Données projet'!$A$139:$I$159,3,0))</f>
        <v>10</v>
      </c>
      <c r="DB113" s="16">
        <f>IF(ISNA(VLOOKUP(A113,'Données projet'!$A$139:$I$159,4,0)),0,VLOOKUP(A113,'Données projet'!$A$139:$I$159,4,0))</f>
        <v>40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0.43258804537183398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0.43258804537183398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6.8461538461538511</v>
      </c>
      <c r="N114" s="14">
        <f>IF('Données projet'!$A$36&gt;35,N113+M114-V113,IF(A114&lt;'Données projet'!$A$36,$K$205^A114,IF(A114='Données projet'!$A$36,'Données projet'!$B$36,N113+M114-V113)))</f>
        <v>302.57051282051299</v>
      </c>
      <c r="O114" s="14">
        <f>N114*VLOOKUP('Données projet'!$B$9,Paramètres!$A$1:$I$89,3,0)*VLOOKUP('Données projet'!$B$9,Paramètres!$A$1:$I$89,5,0)</f>
        <v>273.76580000000013</v>
      </c>
      <c r="P114" s="14">
        <f t="shared" si="87"/>
        <v>65.647821692657857</v>
      </c>
      <c r="Q114" s="22">
        <f t="shared" si="107"/>
        <v>591.14539111471265</v>
      </c>
      <c r="R114" s="60">
        <f t="shared" si="55"/>
        <v>884.47872444804602</v>
      </c>
      <c r="S114" s="60">
        <f ca="1">AVERAGE(OFFSET($R$3,0,0,'Données projet'!$E$9+1,1))-AVERAGE(OFFSET($H$3,0,0,'Données projet'!$E$9+1,1))</f>
        <v>319.72731970820928</v>
      </c>
      <c r="T114" s="60">
        <f t="shared" si="88"/>
        <v>279.93992813630513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5</v>
      </c>
      <c r="AI114" s="14">
        <f>IF('Données projet'!$A$62&gt;35,AI113+AH114-AQ113,IF(A114&lt;'Données projet'!$A$62,$AF$205^A114,IF(A114='Données projet'!$A$62,'Données projet'!$B$62,AI113+AH114-AQ113)))</f>
        <v>320.00000000000011</v>
      </c>
      <c r="AJ114" s="14">
        <f>AI114*VLOOKUP('Données projet'!$B$10,Paramètres!$A$1:$I$89,3,0)*VLOOKUP('Données projet'!$B$10,Paramètres!$A$1:$I$89,5,0)</f>
        <v>324.48000000000013</v>
      </c>
      <c r="AK114" s="14">
        <f t="shared" si="89"/>
        <v>76.284749200165578</v>
      </c>
      <c r="AL114" s="22">
        <f t="shared" si="58"/>
        <v>697.99860485695535</v>
      </c>
      <c r="AM114" s="60">
        <f t="shared" si="59"/>
        <v>991.33193819028861</v>
      </c>
      <c r="AN114" s="60">
        <f ca="1">AVERAGE(OFFSET($AM$3,0,0,'Données projet'!$E$10+1,1))-AVERAGE(OFFSET($H$3,0,0,'Données projet'!$E$10+1,1))</f>
        <v>505.64100207870439</v>
      </c>
      <c r="AO114" s="60">
        <f t="shared" si="90"/>
        <v>371.76229669709249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0.47767315020650469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0.47767315020650469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-2.8421709430404007E-13</v>
      </c>
      <c r="BE114" s="14">
        <f>BD114*VLOOKUP('Données projet'!$B$11,Paramètres!$A$1:$I$89,3,0)*VLOOKUP('Données projet'!$B$11,Paramètres!$A$1:$I$89,5,0)</f>
        <v>-2.2612312022829427E-13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353.26636241468884</v>
      </c>
      <c r="BJ114" s="60">
        <f t="shared" si="92"/>
        <v>345.4750813433123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0.64347948056860571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0.64347948056860571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2.8421709430404007E-13</v>
      </c>
      <c r="BZ114" s="14">
        <f>BY114*VLOOKUP('Données projet'!$B$12,Paramètres!$A$1:$I$89,3,0)*VLOOKUP('Données projet'!$B$12,Paramètres!$A$1:$I$89,5,0)</f>
        <v>1.9065282685915009E-13</v>
      </c>
      <c r="CA114" s="14">
        <f t="shared" si="93"/>
        <v>2.6568987209435707E-12</v>
      </c>
      <c r="CB114" s="22">
        <f t="shared" si="64"/>
        <v>4.959485612423072E-12</v>
      </c>
      <c r="CC114" s="60">
        <f t="shared" si="65"/>
        <v>293.33333333333826</v>
      </c>
      <c r="CD114" s="60">
        <f ca="1">AVERAGE(OFFSET($CC$3,0,0,'Données projet'!$E$12+1,1))-AVERAGE(OFFSET($H$3,0,0,'Données projet'!$E$12+1,1))</f>
        <v>362.1372269575329</v>
      </c>
      <c r="CE114" s="60">
        <f t="shared" si="94"/>
        <v>308.1559670593121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0.32404156586882116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0.32404156586882116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4.5999999999999996</v>
      </c>
      <c r="CT114" s="13">
        <f>IF('Données projet'!$A$140&gt;35,CT113+CS114-DB113,IF(A114&lt;'Données projet'!$A$140,$CQ$205^A114,IF(A114='Données projet'!$A$140,'Données projet'!$B$140,CT113+CS114-DB113)))</f>
        <v>295.60000000000002</v>
      </c>
      <c r="CU114" s="18">
        <f>CT114*VLOOKUP('Données projet'!$B$13,Paramètres!$A$1:$I$89,3,0)*VLOOKUP('Données projet'!$B$13,Paramètres!$A$1:$I$89,5,0)</f>
        <v>318.18384000000003</v>
      </c>
      <c r="CV114" s="14">
        <f t="shared" si="95"/>
        <v>74.975341168547914</v>
      </c>
      <c r="CW114" s="22">
        <f t="shared" si="67"/>
        <v>684.75224053522095</v>
      </c>
      <c r="CX114" s="60">
        <f t="shared" si="68"/>
        <v>978.08557386855432</v>
      </c>
      <c r="CY114" s="60">
        <f ca="1">AVERAGE(OFFSET($CX$3,0,0,'Données projet'!$E$13+1,1))-AVERAGE(OFFSET($H$3,0,0,'Données projet'!$E$13+1,1))</f>
        <v>488.44916315274139</v>
      </c>
      <c r="CZ114" s="60">
        <f t="shared" si="96"/>
        <v>348.17941150148209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0.42075890252232456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0.42075890252232456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6.8461538461538511</v>
      </c>
      <c r="N115" s="14">
        <f>IF('Données projet'!$A$36&gt;35,N114+M115-V114,IF(A115&lt;'Données projet'!$A$36,$K$205^A115,IF(A115='Données projet'!$A$36,'Données projet'!$B$36,N114+M115-V114)))</f>
        <v>309.41666666666686</v>
      </c>
      <c r="O115" s="14">
        <f>N115*VLOOKUP('Données projet'!$B$9,Paramètres!$A$1:$I$89,3,0)*VLOOKUP('Données projet'!$B$9,Paramètres!$A$1:$I$89,5,0)</f>
        <v>279.96020000000016</v>
      </c>
      <c r="P115" s="14">
        <f t="shared" si="87"/>
        <v>66.958597927408931</v>
      </c>
      <c r="Q115" s="22">
        <f t="shared" si="107"/>
        <v>604.21690639023745</v>
      </c>
      <c r="R115" s="60">
        <f t="shared" si="55"/>
        <v>897.55023972357071</v>
      </c>
      <c r="S115" s="60">
        <f ca="1">AVERAGE(OFFSET($R$3,0,0,'Données projet'!$E$9+1,1))-AVERAGE(OFFSET($H$3,0,0,'Données projet'!$E$9+1,1))</f>
        <v>319.72731970820928</v>
      </c>
      <c r="T115" s="60">
        <f t="shared" si="88"/>
        <v>279.93992813630513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5</v>
      </c>
      <c r="AI115" s="14">
        <f>IF('Données projet'!$A$62&gt;35,AI114+AH115-AQ114,IF(A115&lt;'Données projet'!$A$62,$AF$205^A115,IF(A115='Données projet'!$A$62,'Données projet'!$B$62,AI114+AH115-AQ114)))</f>
        <v>325.00000000000011</v>
      </c>
      <c r="AJ115" s="14">
        <f>AI115*VLOOKUP('Données projet'!$B$10,Paramètres!$A$1:$I$89,3,0)*VLOOKUP('Données projet'!$B$10,Paramètres!$A$1:$I$89,5,0)</f>
        <v>329.55000000000013</v>
      </c>
      <c r="AK115" s="14">
        <f t="shared" si="89"/>
        <v>77.337003282690645</v>
      </c>
      <c r="AL115" s="22">
        <f t="shared" si="58"/>
        <v>708.661530717353</v>
      </c>
      <c r="AM115" s="60">
        <f t="shared" si="59"/>
        <v>1001.9948640506864</v>
      </c>
      <c r="AN115" s="60">
        <f ca="1">AVERAGE(OFFSET($AM$3,0,0,'Données projet'!$E$10+1,1))-AVERAGE(OFFSET($H$3,0,0,'Données projet'!$E$10+1,1))</f>
        <v>505.64100207870439</v>
      </c>
      <c r="AO115" s="60">
        <f t="shared" si="90"/>
        <v>371.76229669709249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0.4646111527943686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0.4646111527943686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-2.8421709430404007E-13</v>
      </c>
      <c r="BE115" s="14">
        <f>BD115*VLOOKUP('Données projet'!$B$11,Paramètres!$A$1:$I$89,3,0)*VLOOKUP('Données projet'!$B$11,Paramètres!$A$1:$I$89,5,0)</f>
        <v>-2.2612312022829427E-13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353.26636241468884</v>
      </c>
      <c r="BJ115" s="60">
        <f t="shared" si="92"/>
        <v>345.4750813433123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0.62588350033334195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0.62588350033334195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2.8421709430404007E-13</v>
      </c>
      <c r="BZ115" s="14">
        <f>BY115*VLOOKUP('Données projet'!$B$12,Paramètres!$A$1:$I$89,3,0)*VLOOKUP('Données projet'!$B$12,Paramètres!$A$1:$I$89,5,0)</f>
        <v>1.9065282685915009E-13</v>
      </c>
      <c r="CA115" s="14">
        <f t="shared" si="93"/>
        <v>2.6568987209435707E-12</v>
      </c>
      <c r="CB115" s="22">
        <f t="shared" si="64"/>
        <v>4.959485612423072E-12</v>
      </c>
      <c r="CC115" s="60">
        <f t="shared" si="65"/>
        <v>293.33333333333826</v>
      </c>
      <c r="CD115" s="60">
        <f ca="1">AVERAGE(OFFSET($CC$3,0,0,'Données projet'!$E$12+1,1))-AVERAGE(OFFSET($H$3,0,0,'Données projet'!$E$12+1,1))</f>
        <v>362.1372269575329</v>
      </c>
      <c r="CE115" s="60">
        <f t="shared" si="94"/>
        <v>308.1559670593121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0.31518063220953291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0.31518063220953291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4.5999999999999996</v>
      </c>
      <c r="CT115" s="13">
        <f>IF('Données projet'!$A$140&gt;35,CT114+CS115-DB114,IF(A115&lt;'Données projet'!$A$140,$CQ$205^A115,IF(A115='Données projet'!$A$140,'Données projet'!$B$140,CT114+CS115-DB114)))</f>
        <v>300.20000000000005</v>
      </c>
      <c r="CU115" s="18">
        <f>CT115*VLOOKUP('Données projet'!$B$13,Paramètres!$A$1:$I$89,3,0)*VLOOKUP('Données projet'!$B$13,Paramètres!$A$1:$I$89,5,0)</f>
        <v>323.13528000000002</v>
      </c>
      <c r="CV115" s="14">
        <f t="shared" si="95"/>
        <v>76.005338998123818</v>
      </c>
      <c r="CW115" s="22">
        <f t="shared" si="67"/>
        <v>695.16991142173231</v>
      </c>
      <c r="CX115" s="60">
        <f t="shared" si="68"/>
        <v>988.50324475506568</v>
      </c>
      <c r="CY115" s="60">
        <f ca="1">AVERAGE(OFFSET($CX$3,0,0,'Données projet'!$E$13+1,1))-AVERAGE(OFFSET($H$3,0,0,'Données projet'!$E$13+1,1))</f>
        <v>488.44916315274139</v>
      </c>
      <c r="CZ115" s="60">
        <f t="shared" si="96"/>
        <v>348.17941150148209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0.40925322820610255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0.40925322820610255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6.8461538461538511</v>
      </c>
      <c r="N116" s="14">
        <f>IF('Données projet'!$A$36&gt;35,N115+M116-V115,IF(A116&lt;'Données projet'!$A$36,$K$205^A116,IF(A116='Données projet'!$A$36,'Données projet'!$B$36,N115+M116-V115)))</f>
        <v>316.26282051282072</v>
      </c>
      <c r="O116" s="14">
        <f>N116*VLOOKUP('Données projet'!$B$9,Paramètres!$A$1:$I$89,3,0)*VLOOKUP('Données projet'!$B$9,Paramètres!$A$1:$I$89,5,0)</f>
        <v>286.15460000000019</v>
      </c>
      <c r="P116" s="14">
        <f t="shared" si="87"/>
        <v>68.266002354364261</v>
      </c>
      <c r="Q116" s="22">
        <f t="shared" si="107"/>
        <v>617.28254910051817</v>
      </c>
      <c r="R116" s="60">
        <f t="shared" si="55"/>
        <v>910.61588243385154</v>
      </c>
      <c r="S116" s="60">
        <f ca="1">AVERAGE(OFFSET($R$3,0,0,'Données projet'!$E$9+1,1))-AVERAGE(OFFSET($H$3,0,0,'Données projet'!$E$9+1,1))</f>
        <v>319.72731970820928</v>
      </c>
      <c r="T116" s="60">
        <f t="shared" si="88"/>
        <v>279.93992813630513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5</v>
      </c>
      <c r="AI116" s="14">
        <f>IF('Données projet'!$A$62&gt;35,AI115+AH116-AQ115,IF(A116&lt;'Données projet'!$A$62,$AF$205^A116,IF(A116='Données projet'!$A$62,'Données projet'!$B$62,AI115+AH116-AQ115)))</f>
        <v>330.00000000000011</v>
      </c>
      <c r="AJ116" s="14">
        <f>AI116*VLOOKUP('Données projet'!$B$10,Paramètres!$A$1:$I$89,3,0)*VLOOKUP('Données projet'!$B$10,Paramètres!$A$1:$I$89,5,0)</f>
        <v>334.62000000000012</v>
      </c>
      <c r="AK116" s="14">
        <f t="shared" si="89"/>
        <v>78.387374628661505</v>
      </c>
      <c r="AL116" s="22">
        <f t="shared" si="58"/>
        <v>719.32117747825225</v>
      </c>
      <c r="AM116" s="60">
        <f t="shared" si="59"/>
        <v>1012.6545108115856</v>
      </c>
      <c r="AN116" s="60">
        <f ca="1">AVERAGE(OFFSET($AM$3,0,0,'Données projet'!$E$10+1,1))-AVERAGE(OFFSET($H$3,0,0,'Données projet'!$E$10+1,1))</f>
        <v>505.64100207870439</v>
      </c>
      <c r="AO116" s="60">
        <f t="shared" si="90"/>
        <v>371.76229669709249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0.45190633638836797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0.45190633638836797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-2.8421709430404007E-13</v>
      </c>
      <c r="BE116" s="14">
        <f>BD116*VLOOKUP('Données projet'!$B$11,Paramètres!$A$1:$I$89,3,0)*VLOOKUP('Données projet'!$B$11,Paramètres!$A$1:$I$89,5,0)</f>
        <v>-2.2612312022829427E-13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353.26636241468884</v>
      </c>
      <c r="BJ116" s="60">
        <f t="shared" si="92"/>
        <v>345.4750813433123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0.60876868310294385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0.60876868310294385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2.8421709430404007E-13</v>
      </c>
      <c r="BZ116" s="14">
        <f>BY116*VLOOKUP('Données projet'!$B$12,Paramètres!$A$1:$I$89,3,0)*VLOOKUP('Données projet'!$B$12,Paramètres!$A$1:$I$89,5,0)</f>
        <v>1.9065282685915009E-13</v>
      </c>
      <c r="CA116" s="14">
        <f t="shared" si="93"/>
        <v>2.6568987209435707E-12</v>
      </c>
      <c r="CB116" s="22">
        <f t="shared" si="64"/>
        <v>4.959485612423072E-12</v>
      </c>
      <c r="CC116" s="60">
        <f t="shared" si="65"/>
        <v>293.33333333333826</v>
      </c>
      <c r="CD116" s="60">
        <f ca="1">AVERAGE(OFFSET($CC$3,0,0,'Données projet'!$E$12+1,1))-AVERAGE(OFFSET($H$3,0,0,'Données projet'!$E$12+1,1))</f>
        <v>362.1372269575329</v>
      </c>
      <c r="CE116" s="60">
        <f t="shared" si="94"/>
        <v>308.1559670593121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0.30656200124713412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0.30656200124713412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4.5999999999999996</v>
      </c>
      <c r="CT116" s="13">
        <f>IF('Données projet'!$A$140&gt;35,CT115+CS116-DB115,IF(A116&lt;'Données projet'!$A$140,$CQ$205^A116,IF(A116='Données projet'!$A$140,'Données projet'!$B$140,CT115+CS116-DB115)))</f>
        <v>304.80000000000007</v>
      </c>
      <c r="CU116" s="18">
        <f>CT116*VLOOKUP('Données projet'!$B$13,Paramètres!$A$1:$I$89,3,0)*VLOOKUP('Données projet'!$B$13,Paramètres!$A$1:$I$89,5,0)</f>
        <v>328.08672000000007</v>
      </c>
      <c r="CV116" s="14">
        <f t="shared" si="95"/>
        <v>77.033501273745159</v>
      </c>
      <c r="CW116" s="22">
        <f t="shared" si="67"/>
        <v>705.5843853851062</v>
      </c>
      <c r="CX116" s="60">
        <f t="shared" si="68"/>
        <v>998.91771871843957</v>
      </c>
      <c r="CY116" s="60">
        <f ca="1">AVERAGE(OFFSET($CX$3,0,0,'Données projet'!$E$13+1,1))-AVERAGE(OFFSET($H$3,0,0,'Données projet'!$E$13+1,1))</f>
        <v>488.44916315274139</v>
      </c>
      <c r="CZ116" s="60">
        <f t="shared" si="96"/>
        <v>348.17941150148209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0.39806217715911474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0.39806217715911474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6.8461538461538511</v>
      </c>
      <c r="N117" s="14">
        <f>IF('Données projet'!$A$36&gt;35,N116+M117-V116,IF(A117&lt;'Données projet'!$A$36,$K$205^A117,IF(A117='Données projet'!$A$36,'Données projet'!$B$36,N116+M117-V116)))</f>
        <v>323.10897435897459</v>
      </c>
      <c r="O117" s="14">
        <f>N117*VLOOKUP('Données projet'!$B$9,Paramètres!$A$1:$I$89,3,0)*VLOOKUP('Données projet'!$B$9,Paramètres!$A$1:$I$89,5,0)</f>
        <v>292.34900000000022</v>
      </c>
      <c r="P117" s="14">
        <f t="shared" si="87"/>
        <v>69.570116369442928</v>
      </c>
      <c r="Q117" s="22">
        <f t="shared" si="107"/>
        <v>630.34246101011342</v>
      </c>
      <c r="R117" s="60">
        <f t="shared" si="55"/>
        <v>923.6757943434468</v>
      </c>
      <c r="S117" s="60">
        <f ca="1">AVERAGE(OFFSET($R$3,0,0,'Données projet'!$E$9+1,1))-AVERAGE(OFFSET($H$3,0,0,'Données projet'!$E$9+1,1))</f>
        <v>319.72731970820928</v>
      </c>
      <c r="T117" s="60">
        <f t="shared" si="88"/>
        <v>279.93992813630513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5</v>
      </c>
      <c r="AI117" s="14">
        <f>IF('Données projet'!$A$62&gt;35,AI116+AH117-AQ116,IF(A117&lt;'Données projet'!$A$62,$AF$205^A117,IF(A117='Données projet'!$A$62,'Données projet'!$B$62,AI116+AH117-AQ116)))</f>
        <v>335.00000000000011</v>
      </c>
      <c r="AJ117" s="14">
        <f>AI117*VLOOKUP('Données projet'!$B$10,Paramètres!$A$1:$I$89,3,0)*VLOOKUP('Données projet'!$B$10,Paramètres!$A$1:$I$89,5,0)</f>
        <v>339.69000000000017</v>
      </c>
      <c r="AK117" s="14">
        <f t="shared" si="89"/>
        <v>79.435895059237609</v>
      </c>
      <c r="AL117" s="22">
        <f t="shared" si="58"/>
        <v>729.97760056150582</v>
      </c>
      <c r="AM117" s="60">
        <f t="shared" si="59"/>
        <v>1023.3109338948391</v>
      </c>
      <c r="AN117" s="60">
        <f ca="1">AVERAGE(OFFSET($AM$3,0,0,'Données projet'!$E$10+1,1))-AVERAGE(OFFSET($H$3,0,0,'Données projet'!$E$10+1,1))</f>
        <v>505.64100207870439</v>
      </c>
      <c r="AO117" s="60">
        <f t="shared" si="90"/>
        <v>371.76229669709249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0.43954893385510668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0.43954893385510668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-2.8421709430404007E-13</v>
      </c>
      <c r="BE117" s="14">
        <f>BD117*VLOOKUP('Données projet'!$B$11,Paramètres!$A$1:$I$89,3,0)*VLOOKUP('Données projet'!$B$11,Paramètres!$A$1:$I$89,5,0)</f>
        <v>-2.2612312022829427E-13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353.26636241468884</v>
      </c>
      <c r="BJ117" s="60">
        <f t="shared" si="92"/>
        <v>345.4750813433123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0.59212187144974016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0.59212187144974016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2.8421709430404007E-13</v>
      </c>
      <c r="BZ117" s="14">
        <f>BY117*VLOOKUP('Données projet'!$B$12,Paramètres!$A$1:$I$89,3,0)*VLOOKUP('Données projet'!$B$12,Paramètres!$A$1:$I$89,5,0)</f>
        <v>1.9065282685915009E-13</v>
      </c>
      <c r="CA117" s="14">
        <f t="shared" si="93"/>
        <v>2.6568987209435707E-12</v>
      </c>
      <c r="CB117" s="22">
        <f t="shared" si="64"/>
        <v>4.959485612423072E-12</v>
      </c>
      <c r="CC117" s="60">
        <f t="shared" si="65"/>
        <v>293.33333333333826</v>
      </c>
      <c r="CD117" s="60">
        <f ca="1">AVERAGE(OFFSET($CC$3,0,0,'Données projet'!$E$12+1,1))-AVERAGE(OFFSET($H$3,0,0,'Données projet'!$E$12+1,1))</f>
        <v>362.1372269575329</v>
      </c>
      <c r="CE117" s="60">
        <f t="shared" si="94"/>
        <v>308.1559670593121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0.29817904720163624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0.29817904720163624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4.5999999999999996</v>
      </c>
      <c r="CT117" s="13">
        <f>IF('Données projet'!$A$140&gt;35,CT116+CS117-DB116,IF(A117&lt;'Données projet'!$A$140,$CQ$205^A117,IF(A117='Données projet'!$A$140,'Données projet'!$B$140,CT116+CS117-DB116)))</f>
        <v>309.40000000000009</v>
      </c>
      <c r="CU117" s="18">
        <f>CT117*VLOOKUP('Données projet'!$B$13,Paramètres!$A$1:$I$89,3,0)*VLOOKUP('Données projet'!$B$13,Paramètres!$A$1:$I$89,5,0)</f>
        <v>333.03816000000006</v>
      </c>
      <c r="CV117" s="14">
        <f t="shared" si="95"/>
        <v>78.059858897060195</v>
      </c>
      <c r="CW117" s="22">
        <f t="shared" si="67"/>
        <v>715.9957162457132</v>
      </c>
      <c r="CX117" s="60">
        <f t="shared" si="68"/>
        <v>1009.3290495790466</v>
      </c>
      <c r="CY117" s="60">
        <f ca="1">AVERAGE(OFFSET($CX$3,0,0,'Données projet'!$E$13+1,1))-AVERAGE(OFFSET($H$3,0,0,'Données projet'!$E$13+1,1))</f>
        <v>488.44916315274139</v>
      </c>
      <c r="CZ117" s="60">
        <f t="shared" si="96"/>
        <v>348.17941150148209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0.38717714599151865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0.38717714599151865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6.8461538461538511</v>
      </c>
      <c r="N118" s="14">
        <f>IF('Données projet'!$A$36&gt;35,N117+M118-V117,IF(A118&lt;'Données projet'!$A$36,$K$205^A118,IF(A118='Données projet'!$A$36,'Données projet'!$B$36,N117+M118-V117)))</f>
        <v>329.95512820512846</v>
      </c>
      <c r="O118" s="14">
        <f>N118*VLOOKUP('Données projet'!$B$9,Paramètres!$A$1:$I$89,3,0)*VLOOKUP('Données projet'!$B$9,Paramètres!$A$1:$I$89,5,0)</f>
        <v>298.54340000000025</v>
      </c>
      <c r="P118" s="14">
        <f t="shared" si="87"/>
        <v>70.871017722198957</v>
      </c>
      <c r="Q118" s="22">
        <f t="shared" si="107"/>
        <v>643.39677753283024</v>
      </c>
      <c r="R118" s="60">
        <f t="shared" si="55"/>
        <v>936.73011086616361</v>
      </c>
      <c r="S118" s="60">
        <f ca="1">AVERAGE(OFFSET($R$3,0,0,'Données projet'!$E$9+1,1))-AVERAGE(OFFSET($H$3,0,0,'Données projet'!$E$9+1,1))</f>
        <v>319.72731970820928</v>
      </c>
      <c r="T118" s="60">
        <f t="shared" si="88"/>
        <v>279.93992813630513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5</v>
      </c>
      <c r="AI118" s="14">
        <f>IF('Données projet'!$A$62&gt;35,AI117+AH118-AQ117,IF(A118&lt;'Données projet'!$A$62,$AF$205^A118,IF(A118='Données projet'!$A$62,'Données projet'!$B$62,AI117+AH118-AQ117)))</f>
        <v>340.00000000000011</v>
      </c>
      <c r="AJ118" s="14">
        <f>AI118*VLOOKUP('Données projet'!$B$10,Paramètres!$A$1:$I$89,3,0)*VLOOKUP('Données projet'!$B$10,Paramètres!$A$1:$I$89,5,0)</f>
        <v>344.76000000000016</v>
      </c>
      <c r="AK118" s="14">
        <f t="shared" si="89"/>
        <v>80.482595391170619</v>
      </c>
      <c r="AL118" s="22">
        <f t="shared" si="58"/>
        <v>740.63085363962239</v>
      </c>
      <c r="AM118" s="60">
        <f t="shared" si="59"/>
        <v>1033.9641869729558</v>
      </c>
      <c r="AN118" s="60">
        <f ca="1">AVERAGE(OFFSET($AM$3,0,0,'Données projet'!$E$10+1,1))-AVERAGE(OFFSET($H$3,0,0,'Données projet'!$E$10+1,1))</f>
        <v>505.64100207870439</v>
      </c>
      <c r="AO118" s="60">
        <f t="shared" si="90"/>
        <v>371.76229669709249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0.42752944514396496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0.42752944514396496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-2.8421709430404007E-13</v>
      </c>
      <c r="BE118" s="14">
        <f>BD118*VLOOKUP('Données projet'!$B$11,Paramètres!$A$1:$I$89,3,0)*VLOOKUP('Données projet'!$B$11,Paramètres!$A$1:$I$89,5,0)</f>
        <v>-2.2612312022829427E-13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353.26636241468884</v>
      </c>
      <c r="BJ118" s="60">
        <f t="shared" si="92"/>
        <v>345.4750813433123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0.57593026773661116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0.57593026773661116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2.8421709430404007E-13</v>
      </c>
      <c r="BZ118" s="14">
        <f>BY118*VLOOKUP('Données projet'!$B$12,Paramètres!$A$1:$I$89,3,0)*VLOOKUP('Données projet'!$B$12,Paramètres!$A$1:$I$89,5,0)</f>
        <v>1.9065282685915009E-13</v>
      </c>
      <c r="CA118" s="14">
        <f t="shared" si="93"/>
        <v>2.6568987209435707E-12</v>
      </c>
      <c r="CB118" s="22">
        <f t="shared" si="64"/>
        <v>4.959485612423072E-12</v>
      </c>
      <c r="CC118" s="60">
        <f t="shared" si="65"/>
        <v>293.33333333333826</v>
      </c>
      <c r="CD118" s="60">
        <f ca="1">AVERAGE(OFFSET($CC$3,0,0,'Données projet'!$E$12+1,1))-AVERAGE(OFFSET($H$3,0,0,'Données projet'!$E$12+1,1))</f>
        <v>362.1372269575329</v>
      </c>
      <c r="CE118" s="60">
        <f t="shared" si="94"/>
        <v>308.1559670593121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0.29002532547535292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0.29002532547535292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4.5999999999999996</v>
      </c>
      <c r="CT118" s="13">
        <f>IF('Données projet'!$A$140&gt;35,CT117+CS118-DB117,IF(A118&lt;'Données projet'!$A$140,$CQ$205^A118,IF(A118='Données projet'!$A$140,'Données projet'!$B$140,CT117+CS118-DB117)))</f>
        <v>314.00000000000011</v>
      </c>
      <c r="CU118" s="18">
        <f>CT118*VLOOKUP('Données projet'!$B$13,Paramètres!$A$1:$I$89,3,0)*VLOOKUP('Données projet'!$B$13,Paramètres!$A$1:$I$89,5,0)</f>
        <v>337.98960000000011</v>
      </c>
      <c r="CV118" s="14">
        <f t="shared" si="95"/>
        <v>79.084441798114071</v>
      </c>
      <c r="CW118" s="22">
        <f t="shared" si="67"/>
        <v>726.40395613171552</v>
      </c>
      <c r="CX118" s="60">
        <f t="shared" si="68"/>
        <v>1019.7372894650489</v>
      </c>
      <c r="CY118" s="60">
        <f ca="1">AVERAGE(OFFSET($CX$3,0,0,'Données projet'!$E$13+1,1))-AVERAGE(OFFSET($H$3,0,0,'Données projet'!$E$13+1,1))</f>
        <v>488.44916315274139</v>
      </c>
      <c r="CZ118" s="60">
        <f t="shared" si="96"/>
        <v>348.17941150148209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0.37658976657361937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0.37658976657361937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6.8461538461538511</v>
      </c>
      <c r="N119" s="14">
        <f>IF('Données projet'!$A$36&gt;35,N118+M119-V118,IF(A119&lt;'Données projet'!$A$36,$K$205^A119,IF(A119='Données projet'!$A$36,'Données projet'!$B$36,N118+M119-V118)))</f>
        <v>336.80128205128233</v>
      </c>
      <c r="O119" s="14">
        <f>N119*VLOOKUP('Données projet'!$B$9,Paramètres!$A$1:$I$89,3,0)*VLOOKUP('Données projet'!$B$9,Paramètres!$A$1:$I$89,5,0)</f>
        <v>304.73780000000022</v>
      </c>
      <c r="P119" s="14">
        <f t="shared" si="87"/>
        <v>72.168780751383082</v>
      </c>
      <c r="Q119" s="22">
        <f t="shared" si="107"/>
        <v>656.44562814199264</v>
      </c>
      <c r="R119" s="60">
        <f t="shared" si="55"/>
        <v>949.77896147532601</v>
      </c>
      <c r="S119" s="60">
        <f ca="1">AVERAGE(OFFSET($R$3,0,0,'Données projet'!$E$9+1,1))-AVERAGE(OFFSET($H$3,0,0,'Données projet'!$E$9+1,1))</f>
        <v>319.72731970820928</v>
      </c>
      <c r="T119" s="60">
        <f t="shared" si="88"/>
        <v>279.93992813630513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5</v>
      </c>
      <c r="AI119" s="14">
        <f>IF('Données projet'!$A$62&gt;35,AI118+AH119-AQ118,IF(A119&lt;'Données projet'!$A$62,$AF$205^A119,IF(A119='Données projet'!$A$62,'Données projet'!$B$62,AI118+AH119-AQ118)))</f>
        <v>345.00000000000011</v>
      </c>
      <c r="AJ119" s="14">
        <f>AI119*VLOOKUP('Données projet'!$B$10,Paramètres!$A$1:$I$89,3,0)*VLOOKUP('Données projet'!$B$10,Paramètres!$A$1:$I$89,5,0)</f>
        <v>349.83000000000015</v>
      </c>
      <c r="AK119" s="14">
        <f t="shared" si="89"/>
        <v>81.527505482803917</v>
      </c>
      <c r="AL119" s="22">
        <f t="shared" si="58"/>
        <v>751.28098871588372</v>
      </c>
      <c r="AM119" s="60">
        <f t="shared" si="59"/>
        <v>1044.614322049217</v>
      </c>
      <c r="AN119" s="60">
        <f ca="1">AVERAGE(OFFSET($AM$3,0,0,'Données projet'!$E$10+1,1))-AVERAGE(OFFSET($H$3,0,0,'Données projet'!$E$10+1,1))</f>
        <v>505.64100207870439</v>
      </c>
      <c r="AO119" s="60">
        <f t="shared" si="90"/>
        <v>371.76229669709249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0.41583862998370685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0.41583862998370685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-2.8421709430404007E-13</v>
      </c>
      <c r="BE119" s="14">
        <f>BD119*VLOOKUP('Données projet'!$B$11,Paramètres!$A$1:$I$89,3,0)*VLOOKUP('Données projet'!$B$11,Paramètres!$A$1:$I$89,5,0)</f>
        <v>-2.2612312022829427E-13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353.26636241468884</v>
      </c>
      <c r="BJ119" s="60">
        <f t="shared" si="92"/>
        <v>345.4750813433123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0.56018142427849704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0.56018142427849704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2.8421709430404007E-13</v>
      </c>
      <c r="BZ119" s="14">
        <f>BY119*VLOOKUP('Données projet'!$B$12,Paramètres!$A$1:$I$89,3,0)*VLOOKUP('Données projet'!$B$12,Paramètres!$A$1:$I$89,5,0)</f>
        <v>1.9065282685915009E-13</v>
      </c>
      <c r="CA119" s="14">
        <f t="shared" si="93"/>
        <v>2.6568987209435707E-12</v>
      </c>
      <c r="CB119" s="22">
        <f t="shared" si="64"/>
        <v>4.959485612423072E-12</v>
      </c>
      <c r="CC119" s="60">
        <f t="shared" si="65"/>
        <v>293.33333333333826</v>
      </c>
      <c r="CD119" s="60">
        <f ca="1">AVERAGE(OFFSET($CC$3,0,0,'Données projet'!$E$12+1,1))-AVERAGE(OFFSET($H$3,0,0,'Données projet'!$E$12+1,1))</f>
        <v>362.1372269575329</v>
      </c>
      <c r="CE119" s="60">
        <f t="shared" si="94"/>
        <v>308.1559670593121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0.28209456769846042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0.28209456769846042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4.5999999999999996</v>
      </c>
      <c r="CT119" s="13">
        <f>IF('Données projet'!$A$140&gt;35,CT118+CS119-DB118,IF(A119&lt;'Données projet'!$A$140,$CQ$205^A119,IF(A119='Données projet'!$A$140,'Données projet'!$B$140,CT118+CS119-DB118)))</f>
        <v>318.60000000000014</v>
      </c>
      <c r="CU119" s="18">
        <f>CT119*VLOOKUP('Données projet'!$B$13,Paramètres!$A$1:$I$89,3,0)*VLOOKUP('Données projet'!$B$13,Paramètres!$A$1:$I$89,5,0)</f>
        <v>342.94104000000016</v>
      </c>
      <c r="CV119" s="14">
        <f t="shared" si="95"/>
        <v>80.107278979674945</v>
      </c>
      <c r="CW119" s="22">
        <f t="shared" si="67"/>
        <v>736.80915555626746</v>
      </c>
      <c r="CX119" s="60">
        <f t="shared" si="68"/>
        <v>1030.1424888896008</v>
      </c>
      <c r="CY119" s="60">
        <f ca="1">AVERAGE(OFFSET($CX$3,0,0,'Données projet'!$E$13+1,1))-AVERAGE(OFFSET($H$3,0,0,'Données projet'!$E$13+1,1))</f>
        <v>488.44916315274139</v>
      </c>
      <c r="CZ119" s="60">
        <f t="shared" si="96"/>
        <v>348.17941150148209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0.36629189960266861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0.36629189960266861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6.8461538461538511</v>
      </c>
      <c r="N120" s="14">
        <f>IF('Données projet'!$A$36&gt;35,N119+M120-V119,IF(A120&lt;'Données projet'!$A$36,$K$205^A120,IF(A120='Données projet'!$A$36,'Données projet'!$B$36,N119+M120-V119)))</f>
        <v>343.6474358974362</v>
      </c>
      <c r="O120" s="14">
        <f>N120*VLOOKUP('Données projet'!$B$9,Paramètres!$A$1:$I$89,3,0)*VLOOKUP('Données projet'!$B$9,Paramètres!$A$1:$I$89,5,0)</f>
        <v>310.93220000000031</v>
      </c>
      <c r="P120" s="14">
        <f t="shared" si="87"/>
        <v>73.463476600811546</v>
      </c>
      <c r="Q120" s="22">
        <f t="shared" si="107"/>
        <v>669.48913674641392</v>
      </c>
      <c r="R120" s="60">
        <f t="shared" si="55"/>
        <v>962.82247007974729</v>
      </c>
      <c r="S120" s="60">
        <f ca="1">AVERAGE(OFFSET($R$3,0,0,'Données projet'!$E$9+1,1))-AVERAGE(OFFSET($H$3,0,0,'Données projet'!$E$9+1,1))</f>
        <v>319.72731970820928</v>
      </c>
      <c r="T120" s="60">
        <f t="shared" si="88"/>
        <v>279.93992813630513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5</v>
      </c>
      <c r="AI120" s="14">
        <f>IF('Données projet'!$A$62&gt;35,AI119+AH120-AQ119,IF(A120&lt;'Données projet'!$A$62,$AF$205^A120,IF(A120='Données projet'!$A$62,'Données projet'!$B$62,AI119+AH120-AQ119)))</f>
        <v>350.00000000000011</v>
      </c>
      <c r="AJ120" s="14">
        <f>AI120*VLOOKUP('Données projet'!$B$10,Paramètres!$A$1:$I$89,3,0)*VLOOKUP('Données projet'!$B$10,Paramètres!$A$1:$I$89,5,0)</f>
        <v>354.90000000000015</v>
      </c>
      <c r="AK120" s="14">
        <f t="shared" si="89"/>
        <v>82.570654277328188</v>
      </c>
      <c r="AL120" s="22">
        <f t="shared" si="58"/>
        <v>761.9280561996801</v>
      </c>
      <c r="AM120" s="60">
        <f t="shared" si="59"/>
        <v>1055.2613895330135</v>
      </c>
      <c r="AN120" s="60">
        <f ca="1">AVERAGE(OFFSET($AM$3,0,0,'Données projet'!$E$10+1,1))-AVERAGE(OFFSET($H$3,0,0,'Données projet'!$E$10+1,1))</f>
        <v>505.64100207870439</v>
      </c>
      <c r="AO120" s="60">
        <f t="shared" si="90"/>
        <v>371.76229669709249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0.40446750077879923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0.40446750077879923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-2.8421709430404007E-13</v>
      </c>
      <c r="BE120" s="14">
        <f>BD120*VLOOKUP('Données projet'!$B$11,Paramètres!$A$1:$I$89,3,0)*VLOOKUP('Données projet'!$B$11,Paramètres!$A$1:$I$89,5,0)</f>
        <v>-2.2612312022829427E-13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353.26636241468884</v>
      </c>
      <c r="BJ120" s="60">
        <f t="shared" si="92"/>
        <v>345.4750813433123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0.54486323377294077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0.54486323377294077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2.8421709430404007E-13</v>
      </c>
      <c r="BZ120" s="14">
        <f>BY120*VLOOKUP('Données projet'!$B$12,Paramètres!$A$1:$I$89,3,0)*VLOOKUP('Données projet'!$B$12,Paramètres!$A$1:$I$89,5,0)</f>
        <v>1.9065282685915009E-13</v>
      </c>
      <c r="CA120" s="14">
        <f t="shared" si="93"/>
        <v>2.6568987209435707E-12</v>
      </c>
      <c r="CB120" s="22">
        <f t="shared" si="64"/>
        <v>4.959485612423072E-12</v>
      </c>
      <c r="CC120" s="60">
        <f t="shared" si="65"/>
        <v>293.33333333333826</v>
      </c>
      <c r="CD120" s="60">
        <f ca="1">AVERAGE(OFFSET($CC$3,0,0,'Données projet'!$E$12+1,1))-AVERAGE(OFFSET($H$3,0,0,'Données projet'!$E$12+1,1))</f>
        <v>362.1372269575329</v>
      </c>
      <c r="CE120" s="60">
        <f t="shared" si="94"/>
        <v>308.1559670593121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0.27438067691003742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0.27438067691003742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4.5999999999999996</v>
      </c>
      <c r="CT120" s="13">
        <f>IF('Données projet'!$A$140&gt;35,CT119+CS120-DB119,IF(A120&lt;'Données projet'!$A$140,$CQ$205^A120,IF(A120='Données projet'!$A$140,'Données projet'!$B$140,CT119+CS120-DB119)))</f>
        <v>323.20000000000016</v>
      </c>
      <c r="CU120" s="18">
        <f>CT120*VLOOKUP('Données projet'!$B$13,Paramètres!$A$1:$I$89,3,0)*VLOOKUP('Données projet'!$B$13,Paramètres!$A$1:$I$89,5,0)</f>
        <v>347.89248000000015</v>
      </c>
      <c r="CV120" s="14">
        <f t="shared" si="95"/>
        <v>81.128398558927827</v>
      </c>
      <c r="CW120" s="22">
        <f t="shared" si="67"/>
        <v>747.21136349013284</v>
      </c>
      <c r="CX120" s="60">
        <f t="shared" si="68"/>
        <v>1040.5446968234662</v>
      </c>
      <c r="CY120" s="60">
        <f ca="1">AVERAGE(OFFSET($CX$3,0,0,'Données projet'!$E$13+1,1))-AVERAGE(OFFSET($H$3,0,0,'Données projet'!$E$13+1,1))</f>
        <v>488.44916315274139</v>
      </c>
      <c r="CZ120" s="60">
        <f t="shared" si="96"/>
        <v>348.17941150148209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0.3562756283455798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0.3562756283455798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6.8461538461538511</v>
      </c>
      <c r="N121" s="14">
        <f>IF('Données projet'!$A$36&gt;35,N120+M121-V120,IF(A121&lt;'Données projet'!$A$36,$K$205^A121,IF(A121='Données projet'!$A$36,'Données projet'!$B$36,N120+M121-V120)))</f>
        <v>350.49358974359006</v>
      </c>
      <c r="O121" s="14">
        <f>N121*VLOOKUP('Données projet'!$B$9,Paramètres!$A$1:$I$89,3,0)*VLOOKUP('Données projet'!$B$9,Paramètres!$A$1:$I$89,5,0)</f>
        <v>317.12660000000028</v>
      </c>
      <c r="P121" s="14">
        <f t="shared" si="87"/>
        <v>74.755173417545677</v>
      </c>
      <c r="Q121" s="22">
        <f t="shared" si="107"/>
        <v>682.5274220355592</v>
      </c>
      <c r="R121" s="60">
        <f t="shared" si="55"/>
        <v>975.86075536889257</v>
      </c>
      <c r="S121" s="60">
        <f ca="1">AVERAGE(OFFSET($R$3,0,0,'Données projet'!$E$9+1,1))-AVERAGE(OFFSET($H$3,0,0,'Données projet'!$E$9+1,1))</f>
        <v>319.72731970820928</v>
      </c>
      <c r="T121" s="60">
        <f t="shared" si="88"/>
        <v>279.93992813630513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5</v>
      </c>
      <c r="AI121" s="14">
        <f>IF('Données projet'!$A$62&gt;35,AI120+AH121-AQ120,IF(A121&lt;'Données projet'!$A$62,$AF$205^A121,IF(A121='Données projet'!$A$62,'Données projet'!$B$62,AI120+AH121-AQ120)))</f>
        <v>355.00000000000011</v>
      </c>
      <c r="AJ121" s="14">
        <f>AI121*VLOOKUP('Données projet'!$B$10,Paramètres!$A$1:$I$89,3,0)*VLOOKUP('Données projet'!$B$10,Paramètres!$A$1:$I$89,5,0)</f>
        <v>359.97000000000014</v>
      </c>
      <c r="AK121" s="14">
        <f t="shared" si="89"/>
        <v>83.612069843495902</v>
      </c>
      <c r="AL121" s="22">
        <f t="shared" si="58"/>
        <v>772.5721049774221</v>
      </c>
      <c r="AM121" s="60">
        <f t="shared" si="59"/>
        <v>1065.9054383107555</v>
      </c>
      <c r="AN121" s="60">
        <f ca="1">AVERAGE(OFFSET($AM$3,0,0,'Données projet'!$E$10+1,1))-AVERAGE(OFFSET($H$3,0,0,'Données projet'!$E$10+1,1))</f>
        <v>505.64100207870439</v>
      </c>
      <c r="AO121" s="60">
        <f t="shared" si="90"/>
        <v>371.76229669709249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0.3934073156999815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0.3934073156999815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-2.8421709430404007E-13</v>
      </c>
      <c r="BE121" s="14">
        <f>BD121*VLOOKUP('Données projet'!$B$11,Paramètres!$A$1:$I$89,3,0)*VLOOKUP('Données projet'!$B$11,Paramètres!$A$1:$I$89,5,0)</f>
        <v>-2.2612312022829427E-13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353.26636241468884</v>
      </c>
      <c r="BJ121" s="60">
        <f t="shared" si="92"/>
        <v>345.4750813433123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0.52996391999230752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0.52996391999230752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2.8421709430404007E-13</v>
      </c>
      <c r="BZ121" s="14">
        <f>BY121*VLOOKUP('Données projet'!$B$12,Paramètres!$A$1:$I$89,3,0)*VLOOKUP('Données projet'!$B$12,Paramètres!$A$1:$I$89,5,0)</f>
        <v>1.9065282685915009E-13</v>
      </c>
      <c r="CA121" s="14">
        <f t="shared" si="93"/>
        <v>2.6568987209435707E-12</v>
      </c>
      <c r="CB121" s="22">
        <f t="shared" si="64"/>
        <v>4.959485612423072E-12</v>
      </c>
      <c r="CC121" s="60">
        <f t="shared" si="65"/>
        <v>293.33333333333826</v>
      </c>
      <c r="CD121" s="60">
        <f ca="1">AVERAGE(OFFSET($CC$3,0,0,'Données projet'!$E$12+1,1))-AVERAGE(OFFSET($H$3,0,0,'Données projet'!$E$12+1,1))</f>
        <v>362.1372269575329</v>
      </c>
      <c r="CE121" s="60">
        <f t="shared" si="94"/>
        <v>308.1559670593121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0.26687772287087974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0.26687772287087974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4.5999999999999996</v>
      </c>
      <c r="CT121" s="13">
        <f>IF('Données projet'!$A$140&gt;35,CT120+CS121-DB120,IF(A121&lt;'Données projet'!$A$140,$CQ$205^A121,IF(A121='Données projet'!$A$140,'Données projet'!$B$140,CT120+CS121-DB120)))</f>
        <v>327.80000000000018</v>
      </c>
      <c r="CU121" s="18">
        <f>CT121*VLOOKUP('Données projet'!$B$13,Paramètres!$A$1:$I$89,3,0)*VLOOKUP('Données projet'!$B$13,Paramètres!$A$1:$I$89,5,0)</f>
        <v>352.8439200000002</v>
      </c>
      <c r="CV121" s="14">
        <f t="shared" si="95"/>
        <v>82.147827806726838</v>
      </c>
      <c r="CW121" s="22">
        <f t="shared" si="67"/>
        <v>757.61062743004959</v>
      </c>
      <c r="CX121" s="60">
        <f t="shared" si="68"/>
        <v>1050.9439607633828</v>
      </c>
      <c r="CY121" s="60">
        <f ca="1">AVERAGE(OFFSET($CX$3,0,0,'Données projet'!$E$13+1,1))-AVERAGE(OFFSET($H$3,0,0,'Données projet'!$E$13+1,1))</f>
        <v>488.44916315274139</v>
      </c>
      <c r="CZ121" s="60">
        <f t="shared" si="96"/>
        <v>348.17941150148209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0.34653325255274892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0.34653325255274892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>
        <f>VLOOKUP(A122,'Données projet'!$A$35:$I$55,2,0)</f>
        <v>357.33974358974359</v>
      </c>
      <c r="L122" s="13">
        <f>VLOOKUP(A122,'Données projet'!$A$35:$I$55,9,0)</f>
        <v>6.8461538461538511</v>
      </c>
      <c r="M122" s="13">
        <f t="array" ref="M122">INDEX(L:L,MIN(IF(ISNUMBER(L122:L318),ROW(L122:L318),"")))</f>
        <v>6.8461538461538511</v>
      </c>
      <c r="N122" s="14">
        <f>IF('Données projet'!$A$36&gt;35,N121+M122-V121,IF(A122&lt;'Données projet'!$A$36,$K$205^A122,IF(A122='Données projet'!$A$36,'Données projet'!$B$36,N121+M122-V121)))</f>
        <v>357.33974358974393</v>
      </c>
      <c r="O122" s="14">
        <f>N122*VLOOKUP('Données projet'!$B$9,Paramètres!$A$1:$I$89,3,0)*VLOOKUP('Données projet'!$B$9,Paramètres!$A$1:$I$89,5,0)</f>
        <v>323.32100000000031</v>
      </c>
      <c r="P122" s="14">
        <f t="shared" si="87"/>
        <v>76.043936534151129</v>
      </c>
      <c r="Q122" s="22">
        <f t="shared" si="107"/>
        <v>695.56059779698035</v>
      </c>
      <c r="R122" s="60">
        <f t="shared" si="55"/>
        <v>988.8939311303136</v>
      </c>
      <c r="S122" s="60">
        <f ca="1">AVERAGE(OFFSET($R$3,0,0,'Données projet'!$E$9+1,1))-AVERAGE(OFFSET($H$3,0,0,'Données projet'!$E$9+1,1))</f>
        <v>319.72731970820928</v>
      </c>
      <c r="T122" s="60">
        <f t="shared" si="88"/>
        <v>279.93992813630513</v>
      </c>
      <c r="U122" s="16">
        <f>IF(ISNA(VLOOKUP(A122,'Données projet'!$A$35:$I$55,3,0)),0,VLOOKUP(A122,'Données projet'!$A$35:$I$55,3,0))</f>
        <v>11</v>
      </c>
      <c r="V122" s="16">
        <f>IF(ISNA(VLOOKUP(A122,'Données projet'!$A$35:$I$55,4,0)),0,VLOOKUP(A122,'Données projet'!$A$35:$I$55,4,0))</f>
        <v>150.02564102564102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5</v>
      </c>
      <c r="AI122" s="14">
        <f>IF('Données projet'!$A$62&gt;35,AI121+AH122-AQ121,IF(A122&lt;'Données projet'!$A$62,$AF$205^A122,IF(A122='Données projet'!$A$62,'Données projet'!$B$62,AI121+AH122-AQ121)))</f>
        <v>360.00000000000011</v>
      </c>
      <c r="AJ122" s="14">
        <f>AI122*VLOOKUP('Données projet'!$B$10,Paramètres!$A$1:$I$89,3,0)*VLOOKUP('Données projet'!$B$10,Paramètres!$A$1:$I$89,5,0)</f>
        <v>365.04000000000013</v>
      </c>
      <c r="AK122" s="14">
        <f t="shared" si="89"/>
        <v>84.651779413976413</v>
      </c>
      <c r="AL122" s="22">
        <f t="shared" si="58"/>
        <v>783.21318247934244</v>
      </c>
      <c r="AM122" s="60">
        <f t="shared" si="59"/>
        <v>1076.5465158126758</v>
      </c>
      <c r="AN122" s="60">
        <f ca="1">AVERAGE(OFFSET($AM$3,0,0,'Données projet'!$E$10+1,1))-AVERAGE(OFFSET($H$3,0,0,'Données projet'!$E$10+1,1))</f>
        <v>505.64100207870439</v>
      </c>
      <c r="AO122" s="60">
        <f t="shared" si="90"/>
        <v>371.76229669709249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0.38264957196377392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0.38264957196377392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-2.8421709430404007E-13</v>
      </c>
      <c r="BE122" s="14">
        <f>BD122*VLOOKUP('Données projet'!$B$11,Paramètres!$A$1:$I$89,3,0)*VLOOKUP('Données projet'!$B$11,Paramètres!$A$1:$I$89,5,0)</f>
        <v>-2.2612312022829427E-13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353.26636241468884</v>
      </c>
      <c r="BJ122" s="60">
        <f t="shared" si="92"/>
        <v>345.4750813433123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0.51547202873052655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0.51547202873052655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2.8421709430404007E-13</v>
      </c>
      <c r="BZ122" s="14">
        <f>BY122*VLOOKUP('Données projet'!$B$12,Paramètres!$A$1:$I$89,3,0)*VLOOKUP('Données projet'!$B$12,Paramètres!$A$1:$I$89,5,0)</f>
        <v>1.9065282685915009E-13</v>
      </c>
      <c r="CA122" s="14">
        <f t="shared" si="93"/>
        <v>2.6568987209435707E-12</v>
      </c>
      <c r="CB122" s="22">
        <f t="shared" si="64"/>
        <v>4.959485612423072E-12</v>
      </c>
      <c r="CC122" s="60">
        <f t="shared" si="65"/>
        <v>293.33333333333826</v>
      </c>
      <c r="CD122" s="60">
        <f ca="1">AVERAGE(OFFSET($CC$3,0,0,'Données projet'!$E$12+1,1))-AVERAGE(OFFSET($H$3,0,0,'Données projet'!$E$12+1,1))</f>
        <v>362.1372269575329</v>
      </c>
      <c r="CE122" s="60">
        <f t="shared" si="94"/>
        <v>308.1559670593121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0.25957993750448605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0.25957993750448605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4.5999999999999996</v>
      </c>
      <c r="CT122" s="13">
        <f>IF('Données projet'!$A$140&gt;35,CT121+CS122-DB121,IF(A122&lt;'Données projet'!$A$140,$CQ$205^A122,IF(A122='Données projet'!$A$140,'Données projet'!$B$140,CT121+CS122-DB121)))</f>
        <v>332.4000000000002</v>
      </c>
      <c r="CU122" s="18">
        <f>CT122*VLOOKUP('Données projet'!$B$13,Paramètres!$A$1:$I$89,3,0)*VLOOKUP('Données projet'!$B$13,Paramètres!$A$1:$I$89,5,0)</f>
        <v>357.79536000000024</v>
      </c>
      <c r="CV122" s="14">
        <f t="shared" si="95"/>
        <v>83.165593184582193</v>
      </c>
      <c r="CW122" s="22">
        <f t="shared" si="67"/>
        <v>768.00699346314775</v>
      </c>
      <c r="CX122" s="60">
        <f t="shared" si="68"/>
        <v>1061.3403267964811</v>
      </c>
      <c r="CY122" s="60">
        <f ca="1">AVERAGE(OFFSET($CX$3,0,0,'Données projet'!$E$13+1,1))-AVERAGE(OFFSET($H$3,0,0,'Données projet'!$E$13+1,1))</f>
        <v>488.44916315274139</v>
      </c>
      <c r="CZ122" s="60">
        <f t="shared" si="96"/>
        <v>348.17941150148209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0.33705728253830225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0.33705728253830225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3.8301282051282044</v>
      </c>
      <c r="N123" s="14">
        <f>IF('Données projet'!$A$36&gt;35,N122+M123-V122,IF(A123&lt;'Données projet'!$A$36,$K$205^A123,IF(A123='Données projet'!$A$36,'Données projet'!$B$36,N122+M123-V122)))</f>
        <v>211.14423076923114</v>
      </c>
      <c r="O123" s="14">
        <f>N123*VLOOKUP('Données projet'!$B$9,Paramètres!$A$1:$I$89,3,0)*VLOOKUP('Données projet'!$B$9,Paramètres!$A$1:$I$89,5,0)</f>
        <v>191.04330000000033</v>
      </c>
      <c r="P123" s="14">
        <f t="shared" si="87"/>
        <v>47.770538104647549</v>
      </c>
      <c r="Q123" s="22">
        <f t="shared" si="107"/>
        <v>415.93410136559504</v>
      </c>
      <c r="R123" s="60">
        <f t="shared" si="55"/>
        <v>709.26743469892835</v>
      </c>
      <c r="S123" s="60">
        <f ca="1">AVERAGE(OFFSET($R$3,0,0,'Données projet'!$E$9+1,1))-AVERAGE(OFFSET($H$3,0,0,'Données projet'!$E$9+1,1))</f>
        <v>319.72731970820928</v>
      </c>
      <c r="T123" s="60">
        <f t="shared" si="88"/>
        <v>279.93992813630513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365</v>
      </c>
      <c r="AG123" s="13">
        <f>VLOOKUP(A123,'Données projet'!$A$61:$I$81,9,0)</f>
        <v>5</v>
      </c>
      <c r="AH123" s="13">
        <f t="array" ref="AH123">INDEX(AG:AG,MIN(IF(ISNUMBER(AG123:AG319),ROW(AG123:AG319),"")))</f>
        <v>5</v>
      </c>
      <c r="AI123" s="14">
        <f>IF('Données projet'!$A$62&gt;35,AI122+AH123-AQ122,IF(A123&lt;'Données projet'!$A$62,$AF$205^A123,IF(A123='Données projet'!$A$62,'Données projet'!$B$62,AI122+AH123-AQ122)))</f>
        <v>365.00000000000011</v>
      </c>
      <c r="AJ123" s="14">
        <f>AI123*VLOOKUP('Données projet'!$B$10,Paramètres!$A$1:$I$89,3,0)*VLOOKUP('Données projet'!$B$10,Paramètres!$A$1:$I$89,5,0)</f>
        <v>370.11000000000013</v>
      </c>
      <c r="AK123" s="14">
        <f t="shared" si="89"/>
        <v>85.68980942152028</v>
      </c>
      <c r="AL123" s="22">
        <f t="shared" si="58"/>
        <v>793.8513347424813</v>
      </c>
      <c r="AM123" s="60">
        <f t="shared" si="59"/>
        <v>1087.1846680758147</v>
      </c>
      <c r="AN123" s="60">
        <f ca="1">AVERAGE(OFFSET($AM$3,0,0,'Données projet'!$E$10+1,1))-AVERAGE(OFFSET($H$3,0,0,'Données projet'!$E$10+1,1))</f>
        <v>505.64100207870439</v>
      </c>
      <c r="AO123" s="60">
        <f t="shared" si="90"/>
        <v>371.76229669709249</v>
      </c>
      <c r="AP123" s="16">
        <f>IF(ISNA(VLOOKUP(A123,'Données projet'!$A$61:$I$81,3,0)),0,VLOOKUP(A123,'Données projet'!$A$61:$I$81,3,0))</f>
        <v>11</v>
      </c>
      <c r="AQ123" s="16">
        <f>IF(ISNA(VLOOKUP(A123,'Données projet'!$A$61:$I$81,4,0)),0,VLOOKUP(A123,'Données projet'!$A$61:$I$81,4,0))</f>
        <v>365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0.37218599929575807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0.37218599929575807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-2.8421709430404007E-13</v>
      </c>
      <c r="BE123" s="14">
        <f>BD123*VLOOKUP('Données projet'!$B$11,Paramètres!$A$1:$I$89,3,0)*VLOOKUP('Données projet'!$B$11,Paramètres!$A$1:$I$89,5,0)</f>
        <v>-2.2612312022829427E-13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353.26636241468884</v>
      </c>
      <c r="BJ123" s="60">
        <f t="shared" si="92"/>
        <v>345.4750813433123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0.50137641899739449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0.50137641899739449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2.8421709430404007E-13</v>
      </c>
      <c r="BZ123" s="14">
        <f>BY123*VLOOKUP('Données projet'!$B$12,Paramètres!$A$1:$I$89,3,0)*VLOOKUP('Données projet'!$B$12,Paramètres!$A$1:$I$89,5,0)</f>
        <v>1.9065282685915009E-13</v>
      </c>
      <c r="CA123" s="14">
        <f t="shared" si="93"/>
        <v>2.6568987209435707E-12</v>
      </c>
      <c r="CB123" s="22">
        <f t="shared" si="64"/>
        <v>4.959485612423072E-12</v>
      </c>
      <c r="CC123" s="60">
        <f t="shared" si="65"/>
        <v>293.33333333333826</v>
      </c>
      <c r="CD123" s="60">
        <f ca="1">AVERAGE(OFFSET($CC$3,0,0,'Données projet'!$E$12+1,1))-AVERAGE(OFFSET($H$3,0,0,'Données projet'!$E$12+1,1))</f>
        <v>362.1372269575329</v>
      </c>
      <c r="CE123" s="60">
        <f t="shared" si="94"/>
        <v>308.1559670593121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0.25248171046271023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0.25248171046271023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337</v>
      </c>
      <c r="CR123" s="13">
        <f>VLOOKUP(A123,'Données projet'!$A$139:$I$159,9,0)</f>
        <v>4.5999999999999996</v>
      </c>
      <c r="CS123" s="13">
        <f t="array" ref="CS123">INDEX(CR:CR,MIN(IF(ISNUMBER(CR123:CR319),ROW(CR123:CR319),"")))</f>
        <v>4.5999999999999996</v>
      </c>
      <c r="CT123" s="13">
        <f>IF('Données projet'!$A$140&gt;35,CT122+CS123-DB122,IF(A123&lt;'Données projet'!$A$140,$CQ$205^A123,IF(A123='Données projet'!$A$140,'Données projet'!$B$140,CT122+CS123-DB122)))</f>
        <v>337.00000000000023</v>
      </c>
      <c r="CU123" s="18">
        <f>CT123*VLOOKUP('Données projet'!$B$13,Paramètres!$A$1:$I$89,3,0)*VLOOKUP('Données projet'!$B$13,Paramètres!$A$1:$I$89,5,0)</f>
        <v>362.74680000000023</v>
      </c>
      <c r="CV123" s="14">
        <f t="shared" si="95"/>
        <v>84.181720379540678</v>
      </c>
      <c r="CW123" s="22">
        <f t="shared" si="67"/>
        <v>778.40050632770044</v>
      </c>
      <c r="CX123" s="60">
        <f t="shared" si="68"/>
        <v>1071.7338396610337</v>
      </c>
      <c r="CY123" s="60">
        <f ca="1">AVERAGE(OFFSET($CX$3,0,0,'Données projet'!$E$13+1,1))-AVERAGE(OFFSET($H$3,0,0,'Données projet'!$E$13+1,1))</f>
        <v>488.44916315274139</v>
      </c>
      <c r="CZ123" s="60">
        <f t="shared" si="96"/>
        <v>348.17941150148209</v>
      </c>
      <c r="DA123" s="16">
        <f>IF(ISNA(VLOOKUP(A123,'Données projet'!$A$139:$I$159,3,0)),0,VLOOKUP(A123,'Données projet'!$A$139:$I$159,3,0))</f>
        <v>11</v>
      </c>
      <c r="DB123" s="16">
        <f>IF(ISNA(VLOOKUP(A123,'Données projet'!$A$139:$I$159,4,0)),0,VLOOKUP(A123,'Données projet'!$A$139:$I$159,4,0))</f>
        <v>337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0.32784043342222025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0.32784043342222025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3.8301282051282044</v>
      </c>
      <c r="N124" s="14">
        <f>IF('Données projet'!$A$36&gt;35,N123+M124-V123,IF(A124&lt;'Données projet'!$A$36,$K$205^A124,IF(A124='Données projet'!$A$36,'Données projet'!$B$36,N123+M124-V123)))</f>
        <v>214.97435897435935</v>
      </c>
      <c r="O124" s="14">
        <f>N124*VLOOKUP('Données projet'!$B$9,Paramètres!$A$1:$I$89,3,0)*VLOOKUP('Données projet'!$B$9,Paramètres!$A$1:$I$89,5,0)</f>
        <v>194.50880000000032</v>
      </c>
      <c r="P124" s="14">
        <f t="shared" si="87"/>
        <v>48.535419780989194</v>
      </c>
      <c r="Q124" s="22">
        <f t="shared" si="107"/>
        <v>423.30201611855676</v>
      </c>
      <c r="R124" s="60">
        <f t="shared" si="55"/>
        <v>716.63534945189008</v>
      </c>
      <c r="S124" s="60">
        <f ca="1">AVERAGE(OFFSET($R$3,0,0,'Données projet'!$E$9+1,1))-AVERAGE(OFFSET($H$3,0,0,'Données projet'!$E$9+1,1))</f>
        <v>319.72731970820928</v>
      </c>
      <c r="T124" s="60">
        <f t="shared" si="88"/>
        <v>279.93992813630513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1.1527845344971866E-13</v>
      </c>
      <c r="AK124" s="14">
        <f t="shared" si="89"/>
        <v>1.7033846239409443E-12</v>
      </c>
      <c r="AL124" s="22">
        <f t="shared" si="58"/>
        <v>3.1675048597887374E-12</v>
      </c>
      <c r="AM124" s="60">
        <f t="shared" si="59"/>
        <v>293.3333333333365</v>
      </c>
      <c r="AN124" s="60">
        <f ca="1">AVERAGE(OFFSET($AM$3,0,0,'Données projet'!$E$10+1,1))-AVERAGE(OFFSET($H$3,0,0,'Données projet'!$E$10+1,1))</f>
        <v>505.64100207870439</v>
      </c>
      <c r="AO124" s="60">
        <f t="shared" si="90"/>
        <v>371.76229669709249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0.36200855357260453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0.36200855357260453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-2.8421709430404007E-13</v>
      </c>
      <c r="BE124" s="14">
        <f>BD124*VLOOKUP('Données projet'!$B$11,Paramètres!$A$1:$I$89,3,0)*VLOOKUP('Données projet'!$B$11,Paramètres!$A$1:$I$89,5,0)</f>
        <v>-2.2612312022829427E-13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353.26636241468884</v>
      </c>
      <c r="BJ124" s="60">
        <f t="shared" si="92"/>
        <v>345.4750813433123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0.48766625445367079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0.48766625445367079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2.8421709430404007E-13</v>
      </c>
      <c r="BZ124" s="14">
        <f>BY124*VLOOKUP('Données projet'!$B$12,Paramètres!$A$1:$I$89,3,0)*VLOOKUP('Données projet'!$B$12,Paramètres!$A$1:$I$89,5,0)</f>
        <v>1.9065282685915009E-13</v>
      </c>
      <c r="CA124" s="14">
        <f t="shared" si="93"/>
        <v>2.6568987209435707E-12</v>
      </c>
      <c r="CB124" s="22">
        <f t="shared" si="64"/>
        <v>4.959485612423072E-12</v>
      </c>
      <c r="CC124" s="60">
        <f t="shared" si="65"/>
        <v>293.33333333333826</v>
      </c>
      <c r="CD124" s="60">
        <f ca="1">AVERAGE(OFFSET($CC$3,0,0,'Données projet'!$E$12+1,1))-AVERAGE(OFFSET($H$3,0,0,'Données projet'!$E$12+1,1))</f>
        <v>362.1372269575329</v>
      </c>
      <c r="CE124" s="60">
        <f t="shared" si="94"/>
        <v>308.1559670593121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0.24557758481267131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0.24557758481267131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2.2737367544323206E-13</v>
      </c>
      <c r="CU124" s="18">
        <f>CT124*VLOOKUP('Données projet'!$B$13,Paramètres!$A$1:$I$89,3,0)*VLOOKUP('Données projet'!$B$13,Paramètres!$A$1:$I$89,5,0)</f>
        <v>2.4474502424709499E-13</v>
      </c>
      <c r="CV124" s="14">
        <f t="shared" si="95"/>
        <v>3.3129863113888576E-12</v>
      </c>
      <c r="CW124" s="22">
        <f t="shared" si="67"/>
        <v>6.1963820762326169E-12</v>
      </c>
      <c r="CX124" s="60">
        <f t="shared" si="68"/>
        <v>293.33333333333951</v>
      </c>
      <c r="CY124" s="60">
        <f ca="1">AVERAGE(OFFSET($CX$3,0,0,'Données projet'!$E$13+1,1))-AVERAGE(OFFSET($H$3,0,0,'Données projet'!$E$13+1,1))</f>
        <v>488.44916315274139</v>
      </c>
      <c r="CZ124" s="60">
        <f t="shared" si="96"/>
        <v>348.17941150148209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0.3188756195299105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0.3188756195299105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3.8301282051282044</v>
      </c>
      <c r="N125" s="14">
        <f>IF('Données projet'!$A$36&gt;35,N124+M125-V124,IF(A125&lt;'Données projet'!$A$36,$K$205^A125,IF(A125='Données projet'!$A$36,'Données projet'!$B$36,N124+M125-V124)))</f>
        <v>218.80448717948755</v>
      </c>
      <c r="O125" s="14">
        <f>N125*VLOOKUP('Données projet'!$B$9,Paramètres!$A$1:$I$89,3,0)*VLOOKUP('Données projet'!$B$9,Paramètres!$A$1:$I$89,5,0)</f>
        <v>197.97430000000034</v>
      </c>
      <c r="P125" s="14">
        <f t="shared" si="87"/>
        <v>49.29871675417845</v>
      </c>
      <c r="Q125" s="22">
        <f t="shared" si="107"/>
        <v>430.66717084686138</v>
      </c>
      <c r="R125" s="60">
        <f t="shared" si="55"/>
        <v>724.00050418019464</v>
      </c>
      <c r="S125" s="60">
        <f ca="1">AVERAGE(OFFSET($R$3,0,0,'Données projet'!$E$9+1,1))-AVERAGE(OFFSET($H$3,0,0,'Données projet'!$E$9+1,1))</f>
        <v>319.72731970820928</v>
      </c>
      <c r="T125" s="60">
        <f t="shared" si="88"/>
        <v>279.93992813630513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1.1527845344971866E-13</v>
      </c>
      <c r="AK125" s="14">
        <f t="shared" si="89"/>
        <v>1.7033846239409443E-12</v>
      </c>
      <c r="AL125" s="22">
        <f t="shared" si="58"/>
        <v>3.1675048597887374E-12</v>
      </c>
      <c r="AM125" s="60">
        <f t="shared" si="59"/>
        <v>293.3333333333365</v>
      </c>
      <c r="AN125" s="60">
        <f ca="1">AVERAGE(OFFSET($AM$3,0,0,'Données projet'!$E$10+1,1))-AVERAGE(OFFSET($H$3,0,0,'Données projet'!$E$10+1,1))</f>
        <v>505.64100207870439</v>
      </c>
      <c r="AO125" s="60">
        <f t="shared" si="90"/>
        <v>371.76229669709249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0.3521094106379592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0.3521094106379592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-2.8421709430404007E-13</v>
      </c>
      <c r="BE125" s="14">
        <f>BD125*VLOOKUP('Données projet'!$B$11,Paramètres!$A$1:$I$89,3,0)*VLOOKUP('Données projet'!$B$11,Paramètres!$A$1:$I$89,5,0)</f>
        <v>-2.2612312022829427E-13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353.26636241468884</v>
      </c>
      <c r="BJ125" s="60">
        <f t="shared" si="92"/>
        <v>345.4750813433123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0.4743309950803814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0.4743309950803814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2.8421709430404007E-13</v>
      </c>
      <c r="BZ125" s="14">
        <f>BY125*VLOOKUP('Données projet'!$B$12,Paramètres!$A$1:$I$89,3,0)*VLOOKUP('Données projet'!$B$12,Paramètres!$A$1:$I$89,5,0)</f>
        <v>1.9065282685915009E-13</v>
      </c>
      <c r="CA125" s="14">
        <f t="shared" si="93"/>
        <v>2.6568987209435707E-12</v>
      </c>
      <c r="CB125" s="22">
        <f t="shared" si="64"/>
        <v>4.959485612423072E-12</v>
      </c>
      <c r="CC125" s="60">
        <f t="shared" si="65"/>
        <v>293.33333333333826</v>
      </c>
      <c r="CD125" s="60">
        <f ca="1">AVERAGE(OFFSET($CC$3,0,0,'Données projet'!$E$12+1,1))-AVERAGE(OFFSET($H$3,0,0,'Données projet'!$E$12+1,1))</f>
        <v>362.1372269575329</v>
      </c>
      <c r="CE125" s="60">
        <f t="shared" si="94"/>
        <v>308.1559670593121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0.23886225284160489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0.23886225284160489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2.2737367544323206E-13</v>
      </c>
      <c r="CU125" s="18">
        <f>CT125*VLOOKUP('Données projet'!$B$13,Paramètres!$A$1:$I$89,3,0)*VLOOKUP('Données projet'!$B$13,Paramètres!$A$1:$I$89,5,0)</f>
        <v>2.4474502424709499E-13</v>
      </c>
      <c r="CV125" s="14">
        <f t="shared" si="95"/>
        <v>3.3129863113888576E-12</v>
      </c>
      <c r="CW125" s="22">
        <f t="shared" si="67"/>
        <v>6.1963820762326169E-12</v>
      </c>
      <c r="CX125" s="60">
        <f t="shared" si="68"/>
        <v>293.33333333333951</v>
      </c>
      <c r="CY125" s="60">
        <f ca="1">AVERAGE(OFFSET($CX$3,0,0,'Données projet'!$E$13+1,1))-AVERAGE(OFFSET($H$3,0,0,'Données projet'!$E$13+1,1))</f>
        <v>488.44916315274139</v>
      </c>
      <c r="CZ125" s="60">
        <f t="shared" si="96"/>
        <v>348.17941150148209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0.3101559489449251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0.3101559489449251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>
        <f>VLOOKUP(A126,'Données projet'!$A$35:$I$55,2,0)</f>
        <v>222.63461538461539</v>
      </c>
      <c r="L126" s="13">
        <f>VLOOKUP(A126,'Données projet'!$A$35:$I$55,9,0)</f>
        <v>3.8301282051282044</v>
      </c>
      <c r="M126" s="13">
        <f t="array" ref="M126">INDEX(L:L,MIN(IF(ISNUMBER(L126:L322),ROW(L126:L322),"")))</f>
        <v>3.8301282051282044</v>
      </c>
      <c r="N126" s="14">
        <f>IF('Données projet'!$A$36&gt;35,N125+M126-V125,IF(A126&lt;'Données projet'!$A$36,$K$205^A126,IF(A126='Données projet'!$A$36,'Données projet'!$B$36,N125+M126-V125)))</f>
        <v>222.63461538461576</v>
      </c>
      <c r="O126" s="14">
        <f>N126*VLOOKUP('Données projet'!$B$9,Paramètres!$A$1:$I$89,3,0)*VLOOKUP('Données projet'!$B$9,Paramètres!$A$1:$I$89,5,0)</f>
        <v>201.4398000000003</v>
      </c>
      <c r="P126" s="14">
        <f t="shared" si="87"/>
        <v>50.06045996470457</v>
      </c>
      <c r="Q126" s="22">
        <f t="shared" si="107"/>
        <v>438.02961943852762</v>
      </c>
      <c r="R126" s="60">
        <f t="shared" si="55"/>
        <v>731.36295277186093</v>
      </c>
      <c r="S126" s="60">
        <f ca="1">AVERAGE(OFFSET($R$3,0,0,'Données projet'!$E$9+1,1))-AVERAGE(OFFSET($H$3,0,0,'Données projet'!$E$9+1,1))</f>
        <v>319.72731970820928</v>
      </c>
      <c r="T126" s="60">
        <f t="shared" si="88"/>
        <v>279.93992813630513</v>
      </c>
      <c r="U126" s="16">
        <f>IF(ISNA(VLOOKUP(A126,'Données projet'!$A$35:$I$55,3,0)),0,VLOOKUP(A126,'Données projet'!$A$35:$I$55,3,0))</f>
        <v>12</v>
      </c>
      <c r="V126" s="16">
        <f>IF(ISNA(VLOOKUP(A126,'Données projet'!$A$35:$I$55,4,0)),0,VLOOKUP(A126,'Données projet'!$A$35:$I$55,4,0))</f>
        <v>77.17307692307692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1.1527845344971866E-13</v>
      </c>
      <c r="AK126" s="14">
        <f t="shared" si="89"/>
        <v>1.7033846239409443E-12</v>
      </c>
      <c r="AL126" s="22">
        <f t="shared" si="58"/>
        <v>3.1675048597887374E-12</v>
      </c>
      <c r="AM126" s="60">
        <f t="shared" si="59"/>
        <v>293.3333333333365</v>
      </c>
      <c r="AN126" s="60">
        <f ca="1">AVERAGE(OFFSET($AM$3,0,0,'Données projet'!$E$10+1,1))-AVERAGE(OFFSET($H$3,0,0,'Données projet'!$E$10+1,1))</f>
        <v>505.64100207870439</v>
      </c>
      <c r="AO126" s="60">
        <f t="shared" si="90"/>
        <v>371.76229669709249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0.34248096028743508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0.34248096028743508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-2.8421709430404007E-13</v>
      </c>
      <c r="BE126" s="14">
        <f>BD126*VLOOKUP('Données projet'!$B$11,Paramètres!$A$1:$I$89,3,0)*VLOOKUP('Données projet'!$B$11,Paramètres!$A$1:$I$89,5,0)</f>
        <v>-2.2612312022829427E-13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353.26636241468884</v>
      </c>
      <c r="BJ126" s="60">
        <f t="shared" si="92"/>
        <v>345.4750813433123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0.46136038907592541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0.46136038907592541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2.8421709430404007E-13</v>
      </c>
      <c r="BZ126" s="14">
        <f>BY126*VLOOKUP('Données projet'!$B$12,Paramètres!$A$1:$I$89,3,0)*VLOOKUP('Données projet'!$B$12,Paramètres!$A$1:$I$89,5,0)</f>
        <v>1.9065282685915009E-13</v>
      </c>
      <c r="CA126" s="14">
        <f t="shared" si="93"/>
        <v>2.6568987209435707E-12</v>
      </c>
      <c r="CB126" s="22">
        <f t="shared" si="64"/>
        <v>4.959485612423072E-12</v>
      </c>
      <c r="CC126" s="60">
        <f t="shared" si="65"/>
        <v>293.33333333333826</v>
      </c>
      <c r="CD126" s="60">
        <f ca="1">AVERAGE(OFFSET($CC$3,0,0,'Données projet'!$E$12+1,1))-AVERAGE(OFFSET($H$3,0,0,'Données projet'!$E$12+1,1))</f>
        <v>362.1372269575329</v>
      </c>
      <c r="CE126" s="60">
        <f t="shared" si="94"/>
        <v>308.1559670593121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0.23233055197643127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0.23233055197643127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2.2737367544323206E-13</v>
      </c>
      <c r="CU126" s="18">
        <f>CT126*VLOOKUP('Données projet'!$B$13,Paramètres!$A$1:$I$89,3,0)*VLOOKUP('Données projet'!$B$13,Paramètres!$A$1:$I$89,5,0)</f>
        <v>2.4474502424709499E-13</v>
      </c>
      <c r="CV126" s="14">
        <f t="shared" si="95"/>
        <v>3.3129863113888576E-12</v>
      </c>
      <c r="CW126" s="22">
        <f t="shared" si="67"/>
        <v>6.1963820762326169E-12</v>
      </c>
      <c r="CX126" s="60">
        <f t="shared" si="68"/>
        <v>293.33333333333951</v>
      </c>
      <c r="CY126" s="60">
        <f ca="1">AVERAGE(OFFSET($CX$3,0,0,'Données projet'!$E$13+1,1))-AVERAGE(OFFSET($H$3,0,0,'Données projet'!$E$13+1,1))</f>
        <v>488.44916315274139</v>
      </c>
      <c r="CZ126" s="60">
        <f t="shared" si="96"/>
        <v>348.17941150148209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0.30167471821063363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0.30167471821063363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2.3349358974358978</v>
      </c>
      <c r="N127" s="14">
        <f>IF('Données projet'!$A$36&gt;35,N126+M127-V126,IF(A127&lt;'Données projet'!$A$36,$K$205^A127,IF(A127='Données projet'!$A$36,'Données projet'!$B$36,N126+M127-V126)))</f>
        <v>147.79647435897476</v>
      </c>
      <c r="O127" s="14">
        <f>N127*VLOOKUP('Données projet'!$B$9,Paramètres!$A$1:$I$89,3,0)*VLOOKUP('Données projet'!$B$9,Paramètres!$A$1:$I$89,5,0)</f>
        <v>133.72625000000036</v>
      </c>
      <c r="P127" s="14">
        <f t="shared" si="87"/>
        <v>34.855965018185714</v>
      </c>
      <c r="Q127" s="22">
        <f t="shared" si="107"/>
        <v>293.61402449000741</v>
      </c>
      <c r="R127" s="60">
        <f t="shared" si="55"/>
        <v>586.94735782334078</v>
      </c>
      <c r="S127" s="60">
        <f ca="1">AVERAGE(OFFSET($R$3,0,0,'Données projet'!$E$9+1,1))-AVERAGE(OFFSET($H$3,0,0,'Données projet'!$E$9+1,1))</f>
        <v>319.72731970820928</v>
      </c>
      <c r="T127" s="60">
        <f t="shared" si="88"/>
        <v>279.93992813630513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1.1527845344971866E-13</v>
      </c>
      <c r="AK127" s="14">
        <f t="shared" si="89"/>
        <v>1.7033846239409443E-12</v>
      </c>
      <c r="AL127" s="22">
        <f t="shared" si="58"/>
        <v>3.1675048597887374E-12</v>
      </c>
      <c r="AM127" s="60">
        <f t="shared" si="59"/>
        <v>293.3333333333365</v>
      </c>
      <c r="AN127" s="60">
        <f ca="1">AVERAGE(OFFSET($AM$3,0,0,'Données projet'!$E$10+1,1))-AVERAGE(OFFSET($H$3,0,0,'Données projet'!$E$10+1,1))</f>
        <v>505.64100207870439</v>
      </c>
      <c r="AO127" s="60">
        <f t="shared" si="90"/>
        <v>371.76229669709249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0.3331158004180842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0.3331158004180842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-2.8421709430404007E-13</v>
      </c>
      <c r="BE127" s="14">
        <f>BD127*VLOOKUP('Données projet'!$B$11,Paramètres!$A$1:$I$89,3,0)*VLOOKUP('Données projet'!$B$11,Paramètres!$A$1:$I$89,5,0)</f>
        <v>-2.2612312022829427E-13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353.26636241468884</v>
      </c>
      <c r="BJ127" s="60">
        <f t="shared" si="92"/>
        <v>345.4750813433123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0.44874446497475584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0.44874446497475584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2.8421709430404007E-13</v>
      </c>
      <c r="BZ127" s="14">
        <f>BY127*VLOOKUP('Données projet'!$B$12,Paramètres!$A$1:$I$89,3,0)*VLOOKUP('Données projet'!$B$12,Paramètres!$A$1:$I$89,5,0)</f>
        <v>1.9065282685915009E-13</v>
      </c>
      <c r="CA127" s="14">
        <f t="shared" si="93"/>
        <v>2.6568987209435707E-12</v>
      </c>
      <c r="CB127" s="22">
        <f t="shared" si="64"/>
        <v>4.959485612423072E-12</v>
      </c>
      <c r="CC127" s="60">
        <f t="shared" si="65"/>
        <v>293.33333333333826</v>
      </c>
      <c r="CD127" s="60">
        <f ca="1">AVERAGE(OFFSET($CC$3,0,0,'Données projet'!$E$12+1,1))-AVERAGE(OFFSET($H$3,0,0,'Données projet'!$E$12+1,1))</f>
        <v>362.1372269575329</v>
      </c>
      <c r="CE127" s="60">
        <f t="shared" si="94"/>
        <v>308.1559670593121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0.22597746081490303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0.22597746081490303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2.2737367544323206E-13</v>
      </c>
      <c r="CU127" s="18">
        <f>CT127*VLOOKUP('Données projet'!$B$13,Paramètres!$A$1:$I$89,3,0)*VLOOKUP('Données projet'!$B$13,Paramètres!$A$1:$I$89,5,0)</f>
        <v>2.4474502424709499E-13</v>
      </c>
      <c r="CV127" s="14">
        <f t="shared" si="95"/>
        <v>3.3129863113888576E-12</v>
      </c>
      <c r="CW127" s="22">
        <f t="shared" si="67"/>
        <v>6.1963820762326169E-12</v>
      </c>
      <c r="CX127" s="60">
        <f t="shared" si="68"/>
        <v>293.33333333333951</v>
      </c>
      <c r="CY127" s="60">
        <f ca="1">AVERAGE(OFFSET($CX$3,0,0,'Données projet'!$E$13+1,1))-AVERAGE(OFFSET($H$3,0,0,'Données projet'!$E$13+1,1))</f>
        <v>488.44916315274139</v>
      </c>
      <c r="CZ127" s="60">
        <f t="shared" si="96"/>
        <v>348.17941150148209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0.2934254071767799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0.2934254071767799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2.3349358974358978</v>
      </c>
      <c r="N128" s="14">
        <f>IF('Données projet'!$A$36&gt;35,N127+M128-V127,IF(A128&lt;'Données projet'!$A$36,$K$205^A128,IF(A128='Données projet'!$A$36,'Données projet'!$B$36,N127+M128-V127)))</f>
        <v>150.13141025641067</v>
      </c>
      <c r="O128" s="14">
        <f>N128*VLOOKUP('Données projet'!$B$9,Paramètres!$A$1:$I$89,3,0)*VLOOKUP('Données projet'!$B$9,Paramètres!$A$1:$I$89,5,0)</f>
        <v>135.83890000000036</v>
      </c>
      <c r="P128" s="14">
        <f t="shared" si="87"/>
        <v>35.342088427890417</v>
      </c>
      <c r="Q128" s="22">
        <f t="shared" si="107"/>
        <v>298.14022151190977</v>
      </c>
      <c r="R128" s="60">
        <f t="shared" si="55"/>
        <v>591.47355484524314</v>
      </c>
      <c r="S128" s="60">
        <f ca="1">AVERAGE(OFFSET($R$3,0,0,'Données projet'!$E$9+1,1))-AVERAGE(OFFSET($H$3,0,0,'Données projet'!$E$9+1,1))</f>
        <v>319.72731970820928</v>
      </c>
      <c r="T128" s="60">
        <f t="shared" si="88"/>
        <v>279.93992813630513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1.1527845344971866E-13</v>
      </c>
      <c r="AK128" s="14">
        <f t="shared" si="89"/>
        <v>1.7033846239409443E-12</v>
      </c>
      <c r="AL128" s="22">
        <f t="shared" si="58"/>
        <v>3.1675048597887374E-12</v>
      </c>
      <c r="AM128" s="60">
        <f t="shared" si="59"/>
        <v>293.3333333333365</v>
      </c>
      <c r="AN128" s="60">
        <f ca="1">AVERAGE(OFFSET($AM$3,0,0,'Données projet'!$E$10+1,1))-AVERAGE(OFFSET($H$3,0,0,'Données projet'!$E$10+1,1))</f>
        <v>505.64100207870439</v>
      </c>
      <c r="AO128" s="60">
        <f t="shared" si="90"/>
        <v>371.76229669709249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0.32400673133785307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0.32400673133785307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-2.8421709430404007E-13</v>
      </c>
      <c r="BE128" s="14">
        <f>BD128*VLOOKUP('Données projet'!$B$11,Paramètres!$A$1:$I$89,3,0)*VLOOKUP('Données projet'!$B$11,Paramètres!$A$1:$I$89,5,0)</f>
        <v>-2.2612312022829427E-13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353.26636241468884</v>
      </c>
      <c r="BJ128" s="60">
        <f t="shared" si="92"/>
        <v>345.4750813433123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0.43647352398157535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0.43647352398157535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2.8421709430404007E-13</v>
      </c>
      <c r="BZ128" s="14">
        <f>BY128*VLOOKUP('Données projet'!$B$12,Paramètres!$A$1:$I$89,3,0)*VLOOKUP('Données projet'!$B$12,Paramètres!$A$1:$I$89,5,0)</f>
        <v>1.9065282685915009E-13</v>
      </c>
      <c r="CA128" s="14">
        <f t="shared" si="93"/>
        <v>2.6568987209435707E-12</v>
      </c>
      <c r="CB128" s="22">
        <f t="shared" si="64"/>
        <v>4.959485612423072E-12</v>
      </c>
      <c r="CC128" s="60">
        <f t="shared" si="65"/>
        <v>293.33333333333826</v>
      </c>
      <c r="CD128" s="60">
        <f ca="1">AVERAGE(OFFSET($CC$3,0,0,'Données projet'!$E$12+1,1))-AVERAGE(OFFSET($H$3,0,0,'Données projet'!$E$12+1,1))</f>
        <v>362.1372269575329</v>
      </c>
      <c r="CE128" s="60">
        <f t="shared" si="94"/>
        <v>308.1559670593121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0.21979809526528132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0.21979809526528132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2.2737367544323206E-13</v>
      </c>
      <c r="CU128" s="18">
        <f>CT128*VLOOKUP('Données projet'!$B$13,Paramètres!$A$1:$I$89,3,0)*VLOOKUP('Données projet'!$B$13,Paramètres!$A$1:$I$89,5,0)</f>
        <v>2.4474502424709499E-13</v>
      </c>
      <c r="CV128" s="14">
        <f t="shared" si="95"/>
        <v>3.3129863113888576E-12</v>
      </c>
      <c r="CW128" s="22">
        <f t="shared" si="67"/>
        <v>6.1963820762326169E-12</v>
      </c>
      <c r="CX128" s="60">
        <f t="shared" si="68"/>
        <v>293.33333333333951</v>
      </c>
      <c r="CY128" s="60">
        <f ca="1">AVERAGE(OFFSET($CX$3,0,0,'Données projet'!$E$13+1,1))-AVERAGE(OFFSET($H$3,0,0,'Données projet'!$E$13+1,1))</f>
        <v>488.44916315274139</v>
      </c>
      <c r="CZ128" s="60">
        <f t="shared" si="96"/>
        <v>348.17941150148209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0.28540167398695931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0.28540167398695931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2.3349358974358978</v>
      </c>
      <c r="N129" s="14">
        <f>IF('Données projet'!$A$36&gt;35,N128+M129-V128,IF(A129&lt;'Données projet'!$A$36,$K$205^A129,IF(A129='Données projet'!$A$36,'Données projet'!$B$36,N128+M129-V128)))</f>
        <v>152.46634615384659</v>
      </c>
      <c r="O129" s="14">
        <f>N129*VLOOKUP('Données projet'!$B$9,Paramètres!$A$1:$I$89,3,0)*VLOOKUP('Données projet'!$B$9,Paramètres!$A$1:$I$89,5,0)</f>
        <v>137.9515500000004</v>
      </c>
      <c r="P129" s="14">
        <f t="shared" si="87"/>
        <v>35.827332555199952</v>
      </c>
      <c r="Q129" s="22">
        <f t="shared" si="107"/>
        <v>302.66488711697389</v>
      </c>
      <c r="R129" s="60">
        <f t="shared" si="55"/>
        <v>595.99822045030714</v>
      </c>
      <c r="S129" s="60">
        <f ca="1">AVERAGE(OFFSET($R$3,0,0,'Données projet'!$E$9+1,1))-AVERAGE(OFFSET($H$3,0,0,'Données projet'!$E$9+1,1))</f>
        <v>319.72731970820928</v>
      </c>
      <c r="T129" s="60">
        <f t="shared" si="88"/>
        <v>279.93992813630513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1.1527845344971866E-13</v>
      </c>
      <c r="AK129" s="14">
        <f t="shared" si="89"/>
        <v>1.7033846239409443E-12</v>
      </c>
      <c r="AL129" s="22">
        <f t="shared" si="58"/>
        <v>3.1675048597887374E-12</v>
      </c>
      <c r="AM129" s="60">
        <f t="shared" si="59"/>
        <v>293.3333333333365</v>
      </c>
      <c r="AN129" s="60">
        <f ca="1">AVERAGE(OFFSET($AM$3,0,0,'Données projet'!$E$10+1,1))-AVERAGE(OFFSET($H$3,0,0,'Données projet'!$E$10+1,1))</f>
        <v>505.64100207870439</v>
      </c>
      <c r="AO129" s="60">
        <f t="shared" si="90"/>
        <v>371.76229669709249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0.31514675023064598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0.31514675023064598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-2.8421709430404007E-13</v>
      </c>
      <c r="BE129" s="14">
        <f>BD129*VLOOKUP('Données projet'!$B$11,Paramètres!$A$1:$I$89,3,0)*VLOOKUP('Données projet'!$B$11,Paramètres!$A$1:$I$89,5,0)</f>
        <v>-2.2612312022829427E-13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353.26636241468884</v>
      </c>
      <c r="BJ129" s="60">
        <f t="shared" si="92"/>
        <v>345.4750813433123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0.4245381325151541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0.4245381325151541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2.8421709430404007E-13</v>
      </c>
      <c r="BZ129" s="14">
        <f>BY129*VLOOKUP('Données projet'!$B$12,Paramètres!$A$1:$I$89,3,0)*VLOOKUP('Données projet'!$B$12,Paramètres!$A$1:$I$89,5,0)</f>
        <v>1.9065282685915009E-13</v>
      </c>
      <c r="CA129" s="14">
        <f t="shared" si="93"/>
        <v>2.6568987209435707E-12</v>
      </c>
      <c r="CB129" s="22">
        <f t="shared" si="64"/>
        <v>4.959485612423072E-12</v>
      </c>
      <c r="CC129" s="60">
        <f t="shared" si="65"/>
        <v>293.33333333333826</v>
      </c>
      <c r="CD129" s="60">
        <f ca="1">AVERAGE(OFFSET($CC$3,0,0,'Données projet'!$E$12+1,1))-AVERAGE(OFFSET($H$3,0,0,'Données projet'!$E$12+1,1))</f>
        <v>362.1372269575329</v>
      </c>
      <c r="CE129" s="60">
        <f t="shared" si="94"/>
        <v>308.1559670593121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0.21378770479157272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0.21378770479157272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2.2737367544323206E-13</v>
      </c>
      <c r="CU129" s="18">
        <f>CT129*VLOOKUP('Données projet'!$B$13,Paramètres!$A$1:$I$89,3,0)*VLOOKUP('Données projet'!$B$13,Paramètres!$A$1:$I$89,5,0)</f>
        <v>2.4474502424709499E-13</v>
      </c>
      <c r="CV129" s="14">
        <f t="shared" si="95"/>
        <v>3.3129863113888576E-12</v>
      </c>
      <c r="CW129" s="22">
        <f t="shared" si="67"/>
        <v>6.1963820762326169E-12</v>
      </c>
      <c r="CX129" s="60">
        <f t="shared" si="68"/>
        <v>293.33333333333951</v>
      </c>
      <c r="CY129" s="60">
        <f ca="1">AVERAGE(OFFSET($CX$3,0,0,'Données projet'!$E$13+1,1))-AVERAGE(OFFSET($H$3,0,0,'Données projet'!$E$13+1,1))</f>
        <v>488.44916315274139</v>
      </c>
      <c r="CZ129" s="60">
        <f t="shared" si="96"/>
        <v>348.17941150148209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0.27759735020316417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0.27759735020316417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>
        <f>VLOOKUP(A130,'Données projet'!$A$35:$I$55,2,0)</f>
        <v>154.80128205128204</v>
      </c>
      <c r="L130" s="13">
        <f>VLOOKUP(A130,'Données projet'!$A$35:$I$55,9,0)</f>
        <v>2.3349358974358978</v>
      </c>
      <c r="M130" s="13">
        <f t="array" ref="M130">INDEX(L:L,MIN(IF(ISNUMBER(L130:L326),ROW(L130:L326),"")))</f>
        <v>2.3349358974358978</v>
      </c>
      <c r="N130" s="14">
        <f>IF('Données projet'!$A$36&gt;35,N129+M130-V129,IF(A130&lt;'Données projet'!$A$36,$K$205^A130,IF(A130='Données projet'!$A$36,'Données projet'!$B$36,N129+M130-V129)))</f>
        <v>154.8012820512825</v>
      </c>
      <c r="O130" s="14">
        <f>N130*VLOOKUP('Données projet'!$B$9,Paramètres!$A$1:$I$89,3,0)*VLOOKUP('Données projet'!$B$9,Paramètres!$A$1:$I$89,5,0)</f>
        <v>140.0642000000004</v>
      </c>
      <c r="P130" s="14">
        <f t="shared" si="87"/>
        <v>36.311712421027494</v>
      </c>
      <c r="Q130" s="22">
        <f t="shared" si="107"/>
        <v>307.18804746662357</v>
      </c>
      <c r="R130" s="60">
        <f t="shared" si="55"/>
        <v>600.52138079995689</v>
      </c>
      <c r="S130" s="60">
        <f ca="1">AVERAGE(OFFSET($R$3,0,0,'Données projet'!$E$9+1,1))-AVERAGE(OFFSET($H$3,0,0,'Données projet'!$E$9+1,1))</f>
        <v>319.72731970820928</v>
      </c>
      <c r="T130" s="60">
        <f t="shared" si="88"/>
        <v>279.93992813630513</v>
      </c>
      <c r="U130" s="16">
        <f>IF(ISNA(VLOOKUP(A130,'Données projet'!$A$35:$I$55,3,0)),0,VLOOKUP(A130,'Données projet'!$A$35:$I$55,3,0))</f>
        <v>13</v>
      </c>
      <c r="V130" s="16">
        <f>IF(ISNA(VLOOKUP(A130,'Données projet'!$A$35:$I$55,4,0)),0,VLOOKUP(A130,'Données projet'!$A$35:$I$55,4,0))</f>
        <v>49.916666666666671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1.1527845344971866E-13</v>
      </c>
      <c r="AK130" s="14">
        <f t="shared" si="89"/>
        <v>1.7033846239409443E-12</v>
      </c>
      <c r="AL130" s="22">
        <f t="shared" si="58"/>
        <v>3.1675048597887374E-12</v>
      </c>
      <c r="AM130" s="60">
        <f t="shared" si="59"/>
        <v>293.3333333333365</v>
      </c>
      <c r="AN130" s="60">
        <f ca="1">AVERAGE(OFFSET($AM$3,0,0,'Données projet'!$E$10+1,1))-AVERAGE(OFFSET($H$3,0,0,'Données projet'!$E$10+1,1))</f>
        <v>505.64100207870439</v>
      </c>
      <c r="AO130" s="60">
        <f t="shared" si="90"/>
        <v>371.76229669709249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0.30652904577274165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0.30652904577274165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-2.8421709430404007E-13</v>
      </c>
      <c r="BE130" s="14">
        <f>BD130*VLOOKUP('Données projet'!$B$11,Paramètres!$A$1:$I$89,3,0)*VLOOKUP('Données projet'!$B$11,Paramètres!$A$1:$I$89,5,0)</f>
        <v>-2.2612312022829427E-13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353.26636241468884</v>
      </c>
      <c r="BJ130" s="60">
        <f t="shared" si="92"/>
        <v>345.4750813433123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0.41292911495603712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0.41292911495603712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2.8421709430404007E-13</v>
      </c>
      <c r="BZ130" s="14">
        <f>BY130*VLOOKUP('Données projet'!$B$12,Paramètres!$A$1:$I$89,3,0)*VLOOKUP('Données projet'!$B$12,Paramètres!$A$1:$I$89,5,0)</f>
        <v>1.9065282685915009E-13</v>
      </c>
      <c r="CA130" s="14">
        <f t="shared" si="93"/>
        <v>2.6568987209435707E-12</v>
      </c>
      <c r="CB130" s="22">
        <f t="shared" si="64"/>
        <v>4.959485612423072E-12</v>
      </c>
      <c r="CC130" s="60">
        <f t="shared" si="65"/>
        <v>293.33333333333826</v>
      </c>
      <c r="CD130" s="60">
        <f ca="1">AVERAGE(OFFSET($CC$3,0,0,'Données projet'!$E$12+1,1))-AVERAGE(OFFSET($H$3,0,0,'Données projet'!$E$12+1,1))</f>
        <v>362.1372269575329</v>
      </c>
      <c r="CE130" s="60">
        <f t="shared" si="94"/>
        <v>308.1559670593121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0.20794166876144038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0.20794166876144038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2.2737367544323206E-13</v>
      </c>
      <c r="CU130" s="18">
        <f>CT130*VLOOKUP('Données projet'!$B$13,Paramètres!$A$1:$I$89,3,0)*VLOOKUP('Données projet'!$B$13,Paramètres!$A$1:$I$89,5,0)</f>
        <v>2.4474502424709499E-13</v>
      </c>
      <c r="CV130" s="14">
        <f t="shared" si="95"/>
        <v>3.3129863113888576E-12</v>
      </c>
      <c r="CW130" s="22">
        <f t="shared" si="67"/>
        <v>6.1963820762326169E-12</v>
      </c>
      <c r="CX130" s="60">
        <f t="shared" si="68"/>
        <v>293.33333333333951</v>
      </c>
      <c r="CY130" s="60">
        <f ca="1">AVERAGE(OFFSET($CX$3,0,0,'Données projet'!$E$13+1,1))-AVERAGE(OFFSET($H$3,0,0,'Données projet'!$E$13+1,1))</f>
        <v>488.44916315274139</v>
      </c>
      <c r="CZ130" s="60">
        <f t="shared" si="96"/>
        <v>348.17941150148209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0.27000643606364844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0.27000643606364844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1.5064102564102591</v>
      </c>
      <c r="N131" s="14">
        <f>IF('Données projet'!$A$36&gt;35,N130+M131-V130,IF(A131&lt;'Données projet'!$A$36,$K$205^A131,IF(A131='Données projet'!$A$36,'Données projet'!$B$36,N130+M131-V130)))</f>
        <v>106.39102564102608</v>
      </c>
      <c r="O131" s="14">
        <f>N131*VLOOKUP('Données projet'!$B$9,Paramètres!$A$1:$I$89,3,0)*VLOOKUP('Données projet'!$B$9,Paramètres!$A$1:$I$89,5,0)</f>
        <v>96.26260000000039</v>
      </c>
      <c r="P131" s="14">
        <f t="shared" si="87"/>
        <v>26.069649320395914</v>
      </c>
      <c r="Q131" s="22">
        <f t="shared" ref="Q131:Q153" si="108">(O131+P131)*0.475*44/12</f>
        <v>213.06200089969022</v>
      </c>
      <c r="R131" s="60">
        <f t="shared" ref="R131:R194" si="109">Q131+(I131+J131)*44/12</f>
        <v>506.3953342330235</v>
      </c>
      <c r="S131" s="60">
        <f ca="1">AVERAGE(OFFSET($R$3,0,0,'Données projet'!$E$9+1,1))-AVERAGE(OFFSET($H$3,0,0,'Données projet'!$E$9+1,1))</f>
        <v>319.72731970820928</v>
      </c>
      <c r="T131" s="60">
        <f t="shared" si="88"/>
        <v>279.93992813630513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1.1527845344971866E-13</v>
      </c>
      <c r="AK131" s="14">
        <f t="shared" si="89"/>
        <v>1.7033846239409443E-12</v>
      </c>
      <c r="AL131" s="22">
        <f t="shared" si="58"/>
        <v>3.1675048597887374E-12</v>
      </c>
      <c r="AM131" s="60">
        <f t="shared" si="59"/>
        <v>293.3333333333365</v>
      </c>
      <c r="AN131" s="60">
        <f ca="1">AVERAGE(OFFSET($AM$3,0,0,'Données projet'!$E$10+1,1))-AVERAGE(OFFSET($H$3,0,0,'Données projet'!$E$10+1,1))</f>
        <v>505.64100207870439</v>
      </c>
      <c r="AO131" s="60">
        <f t="shared" si="90"/>
        <v>371.76229669709249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0.2981469928964241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0.2981469928964241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-2.8421709430404007E-13</v>
      </c>
      <c r="BE131" s="14">
        <f>BD131*VLOOKUP('Données projet'!$B$11,Paramètres!$A$1:$I$89,3,0)*VLOOKUP('Données projet'!$B$11,Paramètres!$A$1:$I$89,5,0)</f>
        <v>-2.2612312022829427E-13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353.26636241468884</v>
      </c>
      <c r="BJ131" s="60">
        <f t="shared" si="92"/>
        <v>345.4750813433123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0.4016375465925659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0.4016375465925659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2.8421709430404007E-13</v>
      </c>
      <c r="BZ131" s="14">
        <f>BY131*VLOOKUP('Données projet'!$B$12,Paramètres!$A$1:$I$89,3,0)*VLOOKUP('Données projet'!$B$12,Paramètres!$A$1:$I$89,5,0)</f>
        <v>1.9065282685915009E-13</v>
      </c>
      <c r="CA131" s="14">
        <f t="shared" si="93"/>
        <v>2.6568987209435707E-12</v>
      </c>
      <c r="CB131" s="22">
        <f t="shared" si="64"/>
        <v>4.959485612423072E-12</v>
      </c>
      <c r="CC131" s="60">
        <f t="shared" si="65"/>
        <v>293.33333333333826</v>
      </c>
      <c r="CD131" s="60">
        <f ca="1">AVERAGE(OFFSET($CC$3,0,0,'Données projet'!$E$12+1,1))-AVERAGE(OFFSET($H$3,0,0,'Données projet'!$E$12+1,1))</f>
        <v>362.1372269575329</v>
      </c>
      <c r="CE131" s="60">
        <f t="shared" si="94"/>
        <v>308.1559670593121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0.20225549289398168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0.20225549289398168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2.2737367544323206E-13</v>
      </c>
      <c r="CU131" s="18">
        <f>CT131*VLOOKUP('Données projet'!$B$13,Paramètres!$A$1:$I$89,3,0)*VLOOKUP('Données projet'!$B$13,Paramètres!$A$1:$I$89,5,0)</f>
        <v>2.4474502424709499E-13</v>
      </c>
      <c r="CV131" s="14">
        <f t="shared" si="95"/>
        <v>3.3129863113888576E-12</v>
      </c>
      <c r="CW131" s="22">
        <f t="shared" si="67"/>
        <v>6.1963820762326169E-12</v>
      </c>
      <c r="CX131" s="60">
        <f t="shared" si="68"/>
        <v>293.33333333333951</v>
      </c>
      <c r="CY131" s="60">
        <f ca="1">AVERAGE(OFFSET($CX$3,0,0,'Données projet'!$E$13+1,1))-AVERAGE(OFFSET($H$3,0,0,'Données projet'!$E$13+1,1))</f>
        <v>488.44916315274139</v>
      </c>
      <c r="CZ131" s="60">
        <f t="shared" si="96"/>
        <v>348.17941150148209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0.26262309587046662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0.26262309587046662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1.5064102564102591</v>
      </c>
      <c r="N132" s="14">
        <f>IF('Données projet'!$A$36&gt;35,N131+M132-V131,IF(A132&lt;'Données projet'!$A$36,$K$205^A132,IF(A132='Données projet'!$A$36,'Données projet'!$B$36,N131+M132-V131)))</f>
        <v>107.89743589743634</v>
      </c>
      <c r="O132" s="14">
        <f>N132*VLOOKUP('Données projet'!$B$9,Paramètres!$A$1:$I$89,3,0)*VLOOKUP('Données projet'!$B$9,Paramètres!$A$1:$I$89,5,0)</f>
        <v>97.625600000000389</v>
      </c>
      <c r="P132" s="14">
        <f t="shared" si="87"/>
        <v>26.395540798282429</v>
      </c>
      <c r="Q132" s="22">
        <f t="shared" si="108"/>
        <v>216.00348689034254</v>
      </c>
      <c r="R132" s="60">
        <f t="shared" si="109"/>
        <v>509.33682022367589</v>
      </c>
      <c r="S132" s="60">
        <f ca="1">AVERAGE(OFFSET($R$3,0,0,'Données projet'!$E$9+1,1))-AVERAGE(OFFSET($H$3,0,0,'Données projet'!$E$9+1,1))</f>
        <v>319.72731970820928</v>
      </c>
      <c r="T132" s="60">
        <f t="shared" si="88"/>
        <v>279.93992813630513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1.1527845344971866E-13</v>
      </c>
      <c r="AK132" s="14">
        <f t="shared" si="89"/>
        <v>1.7033846239409443E-12</v>
      </c>
      <c r="AL132" s="22">
        <f t="shared" ref="AL132:AL153" si="112">(AJ132+AK132)*0.475*44/12</f>
        <v>3.1675048597887374E-12</v>
      </c>
      <c r="AM132" s="60">
        <f t="shared" ref="AM132:AM195" si="113">AL132+(AD132+AE132)*44/12</f>
        <v>293.3333333333365</v>
      </c>
      <c r="AN132" s="60">
        <f ca="1">AVERAGE(OFFSET($AM$3,0,0,'Données projet'!$E$10+1,1))-AVERAGE(OFFSET($H$3,0,0,'Données projet'!$E$10+1,1))</f>
        <v>505.64100207870439</v>
      </c>
      <c r="AO132" s="60">
        <f t="shared" si="90"/>
        <v>371.76229669709249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0.28999414769680243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0.28999414769680243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-2.8421709430404007E-13</v>
      </c>
      <c r="BE132" s="14">
        <f>BD132*VLOOKUP('Données projet'!$B$11,Paramètres!$A$1:$I$89,3,0)*VLOOKUP('Données projet'!$B$11,Paramètres!$A$1:$I$89,5,0)</f>
        <v>-2.2612312022829427E-13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353.26636241468884</v>
      </c>
      <c r="BJ132" s="60">
        <f t="shared" si="92"/>
        <v>345.4750813433123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0.39065474675979156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0.39065474675979156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2.8421709430404007E-13</v>
      </c>
      <c r="BZ132" s="14">
        <f>BY132*VLOOKUP('Données projet'!$B$12,Paramètres!$A$1:$I$89,3,0)*VLOOKUP('Données projet'!$B$12,Paramètres!$A$1:$I$89,5,0)</f>
        <v>1.9065282685915009E-13</v>
      </c>
      <c r="CA132" s="14">
        <f t="shared" si="93"/>
        <v>2.6568987209435707E-12</v>
      </c>
      <c r="CB132" s="22">
        <f t="shared" ref="CB132:CB153" si="118">(BZ132+CA132)*0.475*44/12</f>
        <v>4.959485612423072E-12</v>
      </c>
      <c r="CC132" s="60">
        <f t="shared" ref="CC132:CC195" si="119">CB132+(BT132+BU132)*44/12</f>
        <v>293.33333333333826</v>
      </c>
      <c r="CD132" s="60">
        <f ca="1">AVERAGE(OFFSET($CC$3,0,0,'Données projet'!$E$12+1,1))-AVERAGE(OFFSET($H$3,0,0,'Données projet'!$E$12+1,1))</f>
        <v>362.1372269575329</v>
      </c>
      <c r="CE132" s="60">
        <f t="shared" si="94"/>
        <v>308.1559670593121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0.19672480580464163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0.19672480580464163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2.2737367544323206E-13</v>
      </c>
      <c r="CU132" s="18">
        <f>CT132*VLOOKUP('Données projet'!$B$13,Paramètres!$A$1:$I$89,3,0)*VLOOKUP('Données projet'!$B$13,Paramètres!$A$1:$I$89,5,0)</f>
        <v>2.4474502424709499E-13</v>
      </c>
      <c r="CV132" s="14">
        <f t="shared" si="95"/>
        <v>3.3129863113888576E-12</v>
      </c>
      <c r="CW132" s="22">
        <f t="shared" ref="CW132:CW153" si="121">(CU132+CV132)*0.475*44/12</f>
        <v>6.1963820762326169E-12</v>
      </c>
      <c r="CX132" s="60">
        <f t="shared" ref="CX132:CX195" si="122">CW132+(CO132+CP132)*44/12</f>
        <v>293.33333333333951</v>
      </c>
      <c r="CY132" s="60">
        <f ca="1">AVERAGE(OFFSET($CX$3,0,0,'Données projet'!$E$13+1,1))-AVERAGE(OFFSET($H$3,0,0,'Données projet'!$E$13+1,1))</f>
        <v>488.44916315274139</v>
      </c>
      <c r="CZ132" s="60">
        <f t="shared" si="96"/>
        <v>348.17941150148209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0.25544165350314035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0.25544165350314035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1.5064102564102591</v>
      </c>
      <c r="N133" s="14">
        <f>IF('Données projet'!$A$36&gt;35,N132+M133-V132,IF(A133&lt;'Données projet'!$A$36,$K$205^A133,IF(A133='Données projet'!$A$36,'Données projet'!$B$36,N132+M133-V132)))</f>
        <v>109.4038461538466</v>
      </c>
      <c r="O133" s="14">
        <f>N133*VLOOKUP('Données projet'!$B$9,Paramètres!$A$1:$I$89,3,0)*VLOOKUP('Données projet'!$B$9,Paramètres!$A$1:$I$89,5,0)</f>
        <v>98.988600000000403</v>
      </c>
      <c r="P133" s="14">
        <f t="shared" ref="P133:P196" si="141">EXP(-1.0587+0.8836*LN(O133)+0.284)</f>
        <v>26.720903075724081</v>
      </c>
      <c r="Q133" s="22">
        <f t="shared" si="108"/>
        <v>218.94405119022016</v>
      </c>
      <c r="R133" s="60">
        <f t="shared" si="109"/>
        <v>512.27738452355345</v>
      </c>
      <c r="S133" s="60">
        <f ca="1">AVERAGE(OFFSET($R$3,0,0,'Données projet'!$E$9+1,1))-AVERAGE(OFFSET($H$3,0,0,'Données projet'!$E$9+1,1))</f>
        <v>319.72731970820928</v>
      </c>
      <c r="T133" s="60">
        <f t="shared" ref="T133:T196" si="142">$T$3</f>
        <v>279.93992813630513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1.1527845344971866E-13</v>
      </c>
      <c r="AK133" s="14">
        <f t="shared" ref="AK133:AK153" si="143">EXP(-1.0587+0.8836*LN(AJ133)+0.284)</f>
        <v>1.7033846239409443E-12</v>
      </c>
      <c r="AL133" s="22">
        <f t="shared" si="112"/>
        <v>3.1675048597887374E-12</v>
      </c>
      <c r="AM133" s="60">
        <f t="shared" si="113"/>
        <v>293.3333333333365</v>
      </c>
      <c r="AN133" s="60">
        <f ca="1">AVERAGE(OFFSET($AM$3,0,0,'Données projet'!$E$10+1,1))-AVERAGE(OFFSET($H$3,0,0,'Données projet'!$E$10+1,1))</f>
        <v>505.64100207870439</v>
      </c>
      <c r="AO133" s="60">
        <f t="shared" ref="AO133:AO196" si="144">$AO$3</f>
        <v>371.76229669709249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0.2820642424779039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0.2820642424779039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-2.8421709430404007E-13</v>
      </c>
      <c r="BE133" s="14">
        <f>BD133*VLOOKUP('Données projet'!$B$11,Paramètres!$A$1:$I$89,3,0)*VLOOKUP('Données projet'!$B$11,Paramètres!$A$1:$I$89,5,0)</f>
        <v>-2.2612312022829427E-13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353.26636241468884</v>
      </c>
      <c r="BJ133" s="60">
        <f t="shared" ref="BJ133:BJ196" si="146">$BJ$3</f>
        <v>345.4750813433123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0.37997227216600477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0.37997227216600477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2.8421709430404007E-13</v>
      </c>
      <c r="BZ133" s="14">
        <f>BY133*VLOOKUP('Données projet'!$B$12,Paramètres!$A$1:$I$89,3,0)*VLOOKUP('Données projet'!$B$12,Paramètres!$A$1:$I$89,5,0)</f>
        <v>1.9065282685915009E-13</v>
      </c>
      <c r="CA133" s="14">
        <f t="shared" ref="CA133:CA153" si="147">EXP(-1.0587+0.8836*LN(BZ133)+0.284)</f>
        <v>2.6568987209435707E-12</v>
      </c>
      <c r="CB133" s="22">
        <f t="shared" si="118"/>
        <v>4.959485612423072E-12</v>
      </c>
      <c r="CC133" s="60">
        <f t="shared" si="119"/>
        <v>293.33333333333826</v>
      </c>
      <c r="CD133" s="60">
        <f ca="1">AVERAGE(OFFSET($CC$3,0,0,'Données projet'!$E$12+1,1))-AVERAGE(OFFSET($H$3,0,0,'Données projet'!$E$12+1,1))</f>
        <v>362.1372269575329</v>
      </c>
      <c r="CE133" s="60">
        <f t="shared" ref="CE133:CE196" si="148">$CE$3</f>
        <v>308.1559670593121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0.19134535564460578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0.19134535564460578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2.2737367544323206E-13</v>
      </c>
      <c r="CU133" s="18">
        <f>CT133*VLOOKUP('Données projet'!$B$13,Paramètres!$A$1:$I$89,3,0)*VLOOKUP('Données projet'!$B$13,Paramètres!$A$1:$I$89,5,0)</f>
        <v>2.4474502424709499E-13</v>
      </c>
      <c r="CV133" s="14">
        <f t="shared" ref="CV133:CV153" si="149">EXP(-1.0587+0.8836*LN(CU133)+0.284)</f>
        <v>3.3129863113888576E-12</v>
      </c>
      <c r="CW133" s="22">
        <f t="shared" si="121"/>
        <v>6.1963820762326169E-12</v>
      </c>
      <c r="CX133" s="60">
        <f t="shared" si="122"/>
        <v>293.33333333333951</v>
      </c>
      <c r="CY133" s="60">
        <f ca="1">AVERAGE(OFFSET($CX$3,0,0,'Données projet'!$E$13+1,1))-AVERAGE(OFFSET($H$3,0,0,'Données projet'!$E$13+1,1))</f>
        <v>488.44916315274139</v>
      </c>
      <c r="CZ133" s="60">
        <f t="shared" ref="CZ133:CZ196" si="150">$CZ$3</f>
        <v>348.17941150148209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0.24845658805500423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0.24845658805500423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>
        <f>VLOOKUP(A134,'Données projet'!$A$35:$I$55,2,0)</f>
        <v>110.91025641025641</v>
      </c>
      <c r="L134" s="13">
        <f>VLOOKUP(A134,'Données projet'!$A$35:$I$55,9,0)</f>
        <v>1.5064102564102591</v>
      </c>
      <c r="M134" s="13">
        <f t="array" ref="M134">INDEX(L:L,MIN(IF(ISNUMBER(L134:L330),ROW(L134:L330),"")))</f>
        <v>1.5064102564102591</v>
      </c>
      <c r="N134" s="14">
        <f>IF('Données projet'!$A$36&gt;35,N133+M134-V133,IF(A134&lt;'Données projet'!$A$36,$K$205^A134,IF(A134='Données projet'!$A$36,'Données projet'!$B$36,N133+M134-V133)))</f>
        <v>110.91025641025686</v>
      </c>
      <c r="O134" s="14">
        <f>N134*VLOOKUP('Données projet'!$B$9,Paramètres!$A$1:$I$89,3,0)*VLOOKUP('Données projet'!$B$9,Paramètres!$A$1:$I$89,5,0)</f>
        <v>100.3516000000004</v>
      </c>
      <c r="P134" s="14">
        <f t="shared" si="141"/>
        <v>27.045744281593805</v>
      </c>
      <c r="Q134" s="22">
        <f t="shared" si="108"/>
        <v>221.88370795710989</v>
      </c>
      <c r="R134" s="60">
        <f t="shared" si="109"/>
        <v>515.21704129044315</v>
      </c>
      <c r="S134" s="60">
        <f ca="1">AVERAGE(OFFSET($R$3,0,0,'Données projet'!$E$9+1,1))-AVERAGE(OFFSET($H$3,0,0,'Données projet'!$E$9+1,1))</f>
        <v>319.72731970820928</v>
      </c>
      <c r="T134" s="60">
        <f t="shared" si="142"/>
        <v>279.93992813630513</v>
      </c>
      <c r="U134" s="16">
        <f>IF(ISNA(VLOOKUP(A134,'Données projet'!$A$35:$I$55,3,0)),0,VLOOKUP(A134,'Données projet'!$A$35:$I$55,3,0))</f>
        <v>14</v>
      </c>
      <c r="V134" s="16">
        <f>IF(ISNA(VLOOKUP(A134,'Données projet'!$A$35:$I$55,4,0)),0,VLOOKUP(A134,'Données projet'!$A$35:$I$55,4,0))</f>
        <v>110.91025641025641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1.1527845344971866E-13</v>
      </c>
      <c r="AK134" s="14">
        <f t="shared" si="143"/>
        <v>1.7033846239409443E-12</v>
      </c>
      <c r="AL134" s="22">
        <f t="shared" si="112"/>
        <v>3.1675048597887374E-12</v>
      </c>
      <c r="AM134" s="60">
        <f t="shared" si="113"/>
        <v>293.3333333333365</v>
      </c>
      <c r="AN134" s="60">
        <f ca="1">AVERAGE(OFFSET($AM$3,0,0,'Données projet'!$E$10+1,1))-AVERAGE(OFFSET($H$3,0,0,'Données projet'!$E$10+1,1))</f>
        <v>505.64100207870439</v>
      </c>
      <c r="AO134" s="60">
        <f t="shared" si="144"/>
        <v>371.76229669709249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0.27435118093423178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0.27435118093423178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-2.8421709430404007E-13</v>
      </c>
      <c r="BE134" s="14">
        <f>BD134*VLOOKUP('Données projet'!$B$11,Paramètres!$A$1:$I$89,3,0)*VLOOKUP('Données projet'!$B$11,Paramètres!$A$1:$I$89,5,0)</f>
        <v>-2.2612312022829427E-13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353.26636241468884</v>
      </c>
      <c r="BJ134" s="60">
        <f t="shared" si="146"/>
        <v>345.4750813433123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0.36958191040175203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0.36958191040175203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2.8421709430404007E-13</v>
      </c>
      <c r="BZ134" s="14">
        <f>BY134*VLOOKUP('Données projet'!$B$12,Paramètres!$A$1:$I$89,3,0)*VLOOKUP('Données projet'!$B$12,Paramètres!$A$1:$I$89,5,0)</f>
        <v>1.9065282685915009E-13</v>
      </c>
      <c r="CA134" s="14">
        <f t="shared" si="147"/>
        <v>2.6568987209435707E-12</v>
      </c>
      <c r="CB134" s="22">
        <f t="shared" si="118"/>
        <v>4.959485612423072E-12</v>
      </c>
      <c r="CC134" s="60">
        <f t="shared" si="119"/>
        <v>293.33333333333826</v>
      </c>
      <c r="CD134" s="60">
        <f ca="1">AVERAGE(OFFSET($CC$3,0,0,'Données projet'!$E$12+1,1))-AVERAGE(OFFSET($H$3,0,0,'Données projet'!$E$12+1,1))</f>
        <v>362.1372269575329</v>
      </c>
      <c r="CE134" s="60">
        <f t="shared" si="148"/>
        <v>308.1559670593121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0.18611300683208912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0.18611300683208912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2.2737367544323206E-13</v>
      </c>
      <c r="CU134" s="18">
        <f>CT134*VLOOKUP('Données projet'!$B$13,Paramètres!$A$1:$I$89,3,0)*VLOOKUP('Données projet'!$B$13,Paramètres!$A$1:$I$89,5,0)</f>
        <v>2.4474502424709499E-13</v>
      </c>
      <c r="CV134" s="14">
        <f t="shared" si="149"/>
        <v>3.3129863113888576E-12</v>
      </c>
      <c r="CW134" s="22">
        <f t="shared" si="121"/>
        <v>6.1963820762326169E-12</v>
      </c>
      <c r="CX134" s="60">
        <f t="shared" si="122"/>
        <v>293.33333333333951</v>
      </c>
      <c r="CY134" s="60">
        <f ca="1">AVERAGE(OFFSET($CX$3,0,0,'Données projet'!$E$13+1,1))-AVERAGE(OFFSET($H$3,0,0,'Données projet'!$E$13+1,1))</f>
        <v>488.44916315274139</v>
      </c>
      <c r="CZ134" s="60">
        <f t="shared" si="150"/>
        <v>348.17941150148209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0.24166252958887602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0.24166252958887602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4.5474735088646412E-13</v>
      </c>
      <c r="O135" s="14">
        <f>N135*VLOOKUP('Données projet'!$B$9,Paramètres!$A$1:$I$89,3,0)*VLOOKUP('Données projet'!$B$9,Paramètres!$A$1:$I$89,5,0)</f>
        <v>4.1145540308207271E-13</v>
      </c>
      <c r="P135" s="14">
        <f t="shared" si="141"/>
        <v>5.2428527960910789E-12</v>
      </c>
      <c r="Q135" s="22">
        <f t="shared" si="108"/>
        <v>9.8479201135599071E-12</v>
      </c>
      <c r="R135" s="60">
        <f t="shared" si="109"/>
        <v>293.33333333334315</v>
      </c>
      <c r="S135" s="60">
        <f ca="1">AVERAGE(OFFSET($R$3,0,0,'Données projet'!$E$9+1,1))-AVERAGE(OFFSET($H$3,0,0,'Données projet'!$E$9+1,1))</f>
        <v>319.72731970820928</v>
      </c>
      <c r="T135" s="60">
        <f t="shared" si="142"/>
        <v>279.93992813630513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1.1527845344971866E-13</v>
      </c>
      <c r="AK135" s="14">
        <f t="shared" si="143"/>
        <v>1.7033846239409443E-12</v>
      </c>
      <c r="AL135" s="22">
        <f t="shared" si="112"/>
        <v>3.1675048597887374E-12</v>
      </c>
      <c r="AM135" s="60">
        <f t="shared" si="113"/>
        <v>293.3333333333365</v>
      </c>
      <c r="AN135" s="60">
        <f ca="1">AVERAGE(OFFSET($AM$3,0,0,'Données projet'!$E$10+1,1))-AVERAGE(OFFSET($H$3,0,0,'Données projet'!$E$10+1,1))</f>
        <v>505.64100207870439</v>
      </c>
      <c r="AO135" s="60">
        <f t="shared" si="144"/>
        <v>371.76229669709249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0.26684903346408362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0.26684903346408362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-2.8421709430404007E-13</v>
      </c>
      <c r="BE135" s="14">
        <f>BD135*VLOOKUP('Données projet'!$B$11,Paramètres!$A$1:$I$89,3,0)*VLOOKUP('Données projet'!$B$11,Paramètres!$A$1:$I$89,5,0)</f>
        <v>-2.2612312022829427E-13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353.26636241468884</v>
      </c>
      <c r="BJ135" s="60">
        <f t="shared" si="146"/>
        <v>345.4750813433123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0.35947567362634814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0.35947567362634814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2.8421709430404007E-13</v>
      </c>
      <c r="BZ135" s="14">
        <f>BY135*VLOOKUP('Données projet'!$B$12,Paramètres!$A$1:$I$89,3,0)*VLOOKUP('Données projet'!$B$12,Paramètres!$A$1:$I$89,5,0)</f>
        <v>1.9065282685915009E-13</v>
      </c>
      <c r="CA135" s="14">
        <f t="shared" si="147"/>
        <v>2.6568987209435707E-12</v>
      </c>
      <c r="CB135" s="22">
        <f t="shared" si="118"/>
        <v>4.959485612423072E-12</v>
      </c>
      <c r="CC135" s="60">
        <f t="shared" si="119"/>
        <v>293.33333333333826</v>
      </c>
      <c r="CD135" s="60">
        <f ca="1">AVERAGE(OFFSET($CC$3,0,0,'Données projet'!$E$12+1,1))-AVERAGE(OFFSET($H$3,0,0,'Données projet'!$E$12+1,1))</f>
        <v>362.1372269575329</v>
      </c>
      <c r="CE135" s="60">
        <f t="shared" si="148"/>
        <v>308.1559670593121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0.18102373687300799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0.18102373687300799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2.2737367544323206E-13</v>
      </c>
      <c r="CU135" s="18">
        <f>CT135*VLOOKUP('Données projet'!$B$13,Paramètres!$A$1:$I$89,3,0)*VLOOKUP('Données projet'!$B$13,Paramètres!$A$1:$I$89,5,0)</f>
        <v>2.4474502424709499E-13</v>
      </c>
      <c r="CV135" s="14">
        <f t="shared" si="149"/>
        <v>3.3129863113888576E-12</v>
      </c>
      <c r="CW135" s="22">
        <f t="shared" si="121"/>
        <v>6.1963820762326169E-12</v>
      </c>
      <c r="CX135" s="60">
        <f t="shared" si="122"/>
        <v>293.33333333333951</v>
      </c>
      <c r="CY135" s="60">
        <f ca="1">AVERAGE(OFFSET($CX$3,0,0,'Données projet'!$E$13+1,1))-AVERAGE(OFFSET($H$3,0,0,'Données projet'!$E$13+1,1))</f>
        <v>488.44916315274139</v>
      </c>
      <c r="CZ135" s="60">
        <f t="shared" si="150"/>
        <v>348.17941150148209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0.2350542550087881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0.2350542550087881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4.5474735088646412E-13</v>
      </c>
      <c r="O136" s="14">
        <f>N136*VLOOKUP('Données projet'!$B$9,Paramètres!$A$1:$I$89,3,0)*VLOOKUP('Données projet'!$B$9,Paramètres!$A$1:$I$89,5,0)</f>
        <v>4.1145540308207271E-13</v>
      </c>
      <c r="P136" s="14">
        <f t="shared" si="141"/>
        <v>5.2428527960910789E-12</v>
      </c>
      <c r="Q136" s="22">
        <f t="shared" si="108"/>
        <v>9.8479201135599071E-12</v>
      </c>
      <c r="R136" s="60">
        <f t="shared" si="109"/>
        <v>293.33333333334315</v>
      </c>
      <c r="S136" s="60">
        <f ca="1">AVERAGE(OFFSET($R$3,0,0,'Données projet'!$E$9+1,1))-AVERAGE(OFFSET($H$3,0,0,'Données projet'!$E$9+1,1))</f>
        <v>319.72731970820928</v>
      </c>
      <c r="T136" s="60">
        <f t="shared" si="142"/>
        <v>279.93992813630513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1.1527845344971866E-13</v>
      </c>
      <c r="AK136" s="14">
        <f t="shared" si="143"/>
        <v>1.7033846239409443E-12</v>
      </c>
      <c r="AL136" s="22">
        <f t="shared" si="112"/>
        <v>3.1675048597887374E-12</v>
      </c>
      <c r="AM136" s="60">
        <f t="shared" si="113"/>
        <v>293.3333333333365</v>
      </c>
      <c r="AN136" s="60">
        <f ca="1">AVERAGE(OFFSET($AM$3,0,0,'Données projet'!$E$10+1,1))-AVERAGE(OFFSET($H$3,0,0,'Données projet'!$E$10+1,1))</f>
        <v>505.64100207870439</v>
      </c>
      <c r="AO136" s="60">
        <f t="shared" si="144"/>
        <v>371.76229669709249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0.25955203261102749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0.25955203261102749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-2.8421709430404007E-13</v>
      </c>
      <c r="BE136" s="14">
        <f>BD136*VLOOKUP('Données projet'!$B$11,Paramètres!$A$1:$I$89,3,0)*VLOOKUP('Données projet'!$B$11,Paramètres!$A$1:$I$89,5,0)</f>
        <v>-2.2612312022829427E-13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353.26636241468884</v>
      </c>
      <c r="BJ136" s="60">
        <f t="shared" si="146"/>
        <v>345.4750813433123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0.34964579242703159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0.34964579242703159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2.8421709430404007E-13</v>
      </c>
      <c r="BZ136" s="14">
        <f>BY136*VLOOKUP('Données projet'!$B$12,Paramètres!$A$1:$I$89,3,0)*VLOOKUP('Données projet'!$B$12,Paramètres!$A$1:$I$89,5,0)</f>
        <v>1.9065282685915009E-13</v>
      </c>
      <c r="CA136" s="14">
        <f t="shared" si="147"/>
        <v>2.6568987209435707E-12</v>
      </c>
      <c r="CB136" s="22">
        <f t="shared" si="118"/>
        <v>4.959485612423072E-12</v>
      </c>
      <c r="CC136" s="60">
        <f t="shared" si="119"/>
        <v>293.33333333333826</v>
      </c>
      <c r="CD136" s="60">
        <f ca="1">AVERAGE(OFFSET($CC$3,0,0,'Données projet'!$E$12+1,1))-AVERAGE(OFFSET($H$3,0,0,'Données projet'!$E$12+1,1))</f>
        <v>362.1372269575329</v>
      </c>
      <c r="CE136" s="60">
        <f t="shared" si="148"/>
        <v>308.1559670593121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0.17607363326859099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0.17607363326859099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2.2737367544323206E-13</v>
      </c>
      <c r="CU136" s="18">
        <f>CT136*VLOOKUP('Données projet'!$B$13,Paramètres!$A$1:$I$89,3,0)*VLOOKUP('Données projet'!$B$13,Paramètres!$A$1:$I$89,5,0)</f>
        <v>2.4474502424709499E-13</v>
      </c>
      <c r="CV136" s="14">
        <f t="shared" si="149"/>
        <v>3.3129863113888576E-12</v>
      </c>
      <c r="CW136" s="22">
        <f t="shared" si="121"/>
        <v>6.1963820762326169E-12</v>
      </c>
      <c r="CX136" s="60">
        <f t="shared" si="122"/>
        <v>293.33333333333951</v>
      </c>
      <c r="CY136" s="60">
        <f ca="1">AVERAGE(OFFSET($CX$3,0,0,'Données projet'!$E$13+1,1))-AVERAGE(OFFSET($H$3,0,0,'Données projet'!$E$13+1,1))</f>
        <v>488.44916315274139</v>
      </c>
      <c r="CZ136" s="60">
        <f t="shared" si="150"/>
        <v>348.17941150148209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0.22862668404460673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0.22862668404460673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4.5474735088646412E-13</v>
      </c>
      <c r="O137" s="14">
        <f>N137*VLOOKUP('Données projet'!$B$9,Paramètres!$A$1:$I$89,3,0)*VLOOKUP('Données projet'!$B$9,Paramètres!$A$1:$I$89,5,0)</f>
        <v>4.1145540308207271E-13</v>
      </c>
      <c r="P137" s="14">
        <f t="shared" si="141"/>
        <v>5.2428527960910789E-12</v>
      </c>
      <c r="Q137" s="22">
        <f t="shared" si="108"/>
        <v>9.8479201135599071E-12</v>
      </c>
      <c r="R137" s="60">
        <f t="shared" si="109"/>
        <v>293.33333333334315</v>
      </c>
      <c r="S137" s="60">
        <f ca="1">AVERAGE(OFFSET($R$3,0,0,'Données projet'!$E$9+1,1))-AVERAGE(OFFSET($H$3,0,0,'Données projet'!$E$9+1,1))</f>
        <v>319.72731970820928</v>
      </c>
      <c r="T137" s="60">
        <f t="shared" si="142"/>
        <v>279.93992813630513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1.1527845344971866E-13</v>
      </c>
      <c r="AK137" s="14">
        <f t="shared" si="143"/>
        <v>1.7033846239409443E-12</v>
      </c>
      <c r="AL137" s="22">
        <f t="shared" si="112"/>
        <v>3.1675048597887374E-12</v>
      </c>
      <c r="AM137" s="60">
        <f t="shared" si="113"/>
        <v>293.3333333333365</v>
      </c>
      <c r="AN137" s="60">
        <f ca="1">AVERAGE(OFFSET($AM$3,0,0,'Données projet'!$E$10+1,1))-AVERAGE(OFFSET($H$3,0,0,'Données projet'!$E$10+1,1))</f>
        <v>505.64100207870439</v>
      </c>
      <c r="AO137" s="60">
        <f t="shared" si="144"/>
        <v>371.76229669709249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0.25245456863003074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0.25245456863003074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-2.8421709430404007E-13</v>
      </c>
      <c r="BE137" s="14">
        <f>BD137*VLOOKUP('Données projet'!$B$11,Paramètres!$A$1:$I$89,3,0)*VLOOKUP('Données projet'!$B$11,Paramètres!$A$1:$I$89,5,0)</f>
        <v>-2.2612312022829427E-13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353.26636241468884</v>
      </c>
      <c r="BJ137" s="60">
        <f t="shared" si="146"/>
        <v>345.4750813433123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0.34008470984604133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0.34008470984604133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2.8421709430404007E-13</v>
      </c>
      <c r="BZ137" s="14">
        <f>BY137*VLOOKUP('Données projet'!$B$12,Paramètres!$A$1:$I$89,3,0)*VLOOKUP('Données projet'!$B$12,Paramètres!$A$1:$I$89,5,0)</f>
        <v>1.9065282685915009E-13</v>
      </c>
      <c r="CA137" s="14">
        <f t="shared" si="147"/>
        <v>2.6568987209435707E-12</v>
      </c>
      <c r="CB137" s="22">
        <f t="shared" si="118"/>
        <v>4.959485612423072E-12</v>
      </c>
      <c r="CC137" s="60">
        <f t="shared" si="119"/>
        <v>293.33333333333826</v>
      </c>
      <c r="CD137" s="60">
        <f ca="1">AVERAGE(OFFSET($CC$3,0,0,'Données projet'!$E$12+1,1))-AVERAGE(OFFSET($H$3,0,0,'Données projet'!$E$12+1,1))</f>
        <v>362.1372269575329</v>
      </c>
      <c r="CE137" s="60">
        <f t="shared" si="148"/>
        <v>308.1559670593121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0.17125889050755141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0.17125889050755141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2.2737367544323206E-13</v>
      </c>
      <c r="CU137" s="18">
        <f>CT137*VLOOKUP('Données projet'!$B$13,Paramètres!$A$1:$I$89,3,0)*VLOOKUP('Données projet'!$B$13,Paramètres!$A$1:$I$89,5,0)</f>
        <v>2.4474502424709499E-13</v>
      </c>
      <c r="CV137" s="14">
        <f t="shared" si="149"/>
        <v>3.3129863113888576E-12</v>
      </c>
      <c r="CW137" s="22">
        <f t="shared" si="121"/>
        <v>6.1963820762326169E-12</v>
      </c>
      <c r="CX137" s="60">
        <f t="shared" si="122"/>
        <v>293.33333333333951</v>
      </c>
      <c r="CY137" s="60">
        <f ca="1">AVERAGE(OFFSET($CX$3,0,0,'Données projet'!$E$13+1,1))-AVERAGE(OFFSET($H$3,0,0,'Données projet'!$E$13+1,1))</f>
        <v>488.44916315274139</v>
      </c>
      <c r="CZ137" s="60">
        <f t="shared" si="150"/>
        <v>348.17941150148209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0.22237487534645217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0.22237487534645217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4.5474735088646412E-13</v>
      </c>
      <c r="O138" s="14">
        <f>N138*VLOOKUP('Données projet'!$B$9,Paramètres!$A$1:$I$89,3,0)*VLOOKUP('Données projet'!$B$9,Paramètres!$A$1:$I$89,5,0)</f>
        <v>4.1145540308207271E-13</v>
      </c>
      <c r="P138" s="14">
        <f t="shared" si="141"/>
        <v>5.2428527960910789E-12</v>
      </c>
      <c r="Q138" s="22">
        <f t="shared" si="108"/>
        <v>9.8479201135599071E-12</v>
      </c>
      <c r="R138" s="60">
        <f t="shared" si="109"/>
        <v>293.33333333334315</v>
      </c>
      <c r="S138" s="60">
        <f ca="1">AVERAGE(OFFSET($R$3,0,0,'Données projet'!$E$9+1,1))-AVERAGE(OFFSET($H$3,0,0,'Données projet'!$E$9+1,1))</f>
        <v>319.72731970820928</v>
      </c>
      <c r="T138" s="60">
        <f t="shared" si="142"/>
        <v>279.93992813630513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1.1527845344971866E-13</v>
      </c>
      <c r="AK138" s="14">
        <f t="shared" si="143"/>
        <v>1.7033846239409443E-12</v>
      </c>
      <c r="AL138" s="22">
        <f t="shared" si="112"/>
        <v>3.1675048597887374E-12</v>
      </c>
      <c r="AM138" s="60">
        <f t="shared" si="113"/>
        <v>293.3333333333365</v>
      </c>
      <c r="AN138" s="60">
        <f ca="1">AVERAGE(OFFSET($AM$3,0,0,'Données projet'!$E$10+1,1))-AVERAGE(OFFSET($H$3,0,0,'Données projet'!$E$10+1,1))</f>
        <v>505.64100207870439</v>
      </c>
      <c r="AO138" s="60">
        <f t="shared" si="144"/>
        <v>371.76229669709249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0.24555118517483379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0.24555118517483379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-2.8421709430404007E-13</v>
      </c>
      <c r="BE138" s="14">
        <f>BD138*VLOOKUP('Données projet'!$B$11,Paramètres!$A$1:$I$89,3,0)*VLOOKUP('Données projet'!$B$11,Paramètres!$A$1:$I$89,5,0)</f>
        <v>-2.2612312022829427E-13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353.26636241468884</v>
      </c>
      <c r="BJ138" s="60">
        <f t="shared" si="146"/>
        <v>345.4750813433123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0.33078507557102371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0.33078507557102371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2.8421709430404007E-13</v>
      </c>
      <c r="BZ138" s="14">
        <f>BY138*VLOOKUP('Données projet'!$B$12,Paramètres!$A$1:$I$89,3,0)*VLOOKUP('Données projet'!$B$12,Paramètres!$A$1:$I$89,5,0)</f>
        <v>1.9065282685915009E-13</v>
      </c>
      <c r="CA138" s="14">
        <f t="shared" si="147"/>
        <v>2.6568987209435707E-12</v>
      </c>
      <c r="CB138" s="22">
        <f t="shared" si="118"/>
        <v>4.959485612423072E-12</v>
      </c>
      <c r="CC138" s="60">
        <f t="shared" si="119"/>
        <v>293.33333333333826</v>
      </c>
      <c r="CD138" s="60">
        <f ca="1">AVERAGE(OFFSET($CC$3,0,0,'Données projet'!$E$12+1,1))-AVERAGE(OFFSET($H$3,0,0,'Données projet'!$E$12+1,1))</f>
        <v>362.1372269575329</v>
      </c>
      <c r="CE138" s="60">
        <f t="shared" si="148"/>
        <v>308.1559670593121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0.16657580714050879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0.16657580714050879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2.2737367544323206E-13</v>
      </c>
      <c r="CU138" s="18">
        <f>CT138*VLOOKUP('Données projet'!$B$13,Paramètres!$A$1:$I$89,3,0)*VLOOKUP('Données projet'!$B$13,Paramètres!$A$1:$I$89,5,0)</f>
        <v>2.4474502424709499E-13</v>
      </c>
      <c r="CV138" s="14">
        <f t="shared" si="149"/>
        <v>3.3129863113888576E-12</v>
      </c>
      <c r="CW138" s="22">
        <f t="shared" si="121"/>
        <v>6.1963820762326169E-12</v>
      </c>
      <c r="CX138" s="60">
        <f t="shared" si="122"/>
        <v>293.33333333333951</v>
      </c>
      <c r="CY138" s="60">
        <f ca="1">AVERAGE(OFFSET($CX$3,0,0,'Données projet'!$E$13+1,1))-AVERAGE(OFFSET($H$3,0,0,'Données projet'!$E$13+1,1))</f>
        <v>488.44916315274139</v>
      </c>
      <c r="CZ138" s="60">
        <f t="shared" si="150"/>
        <v>348.17941150148209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0.21629402268591699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0.21629402268591699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4.5474735088646412E-13</v>
      </c>
      <c r="O139" s="14">
        <f>N139*VLOOKUP('Données projet'!$B$9,Paramètres!$A$1:$I$89,3,0)*VLOOKUP('Données projet'!$B$9,Paramètres!$A$1:$I$89,5,0)</f>
        <v>4.1145540308207271E-13</v>
      </c>
      <c r="P139" s="14">
        <f t="shared" si="141"/>
        <v>5.2428527960910789E-12</v>
      </c>
      <c r="Q139" s="22">
        <f t="shared" si="108"/>
        <v>9.8479201135599071E-12</v>
      </c>
      <c r="R139" s="60">
        <f t="shared" si="109"/>
        <v>293.33333333334315</v>
      </c>
      <c r="S139" s="60">
        <f ca="1">AVERAGE(OFFSET($R$3,0,0,'Données projet'!$E$9+1,1))-AVERAGE(OFFSET($H$3,0,0,'Données projet'!$E$9+1,1))</f>
        <v>319.72731970820928</v>
      </c>
      <c r="T139" s="60">
        <f t="shared" si="142"/>
        <v>279.93992813630513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1.1527845344971866E-13</v>
      </c>
      <c r="AK139" s="14">
        <f t="shared" si="143"/>
        <v>1.7033846239409443E-12</v>
      </c>
      <c r="AL139" s="22">
        <f t="shared" si="112"/>
        <v>3.1675048597887374E-12</v>
      </c>
      <c r="AM139" s="60">
        <f t="shared" si="113"/>
        <v>293.3333333333365</v>
      </c>
      <c r="AN139" s="60">
        <f ca="1">AVERAGE(OFFSET($AM$3,0,0,'Données projet'!$E$10+1,1))-AVERAGE(OFFSET($H$3,0,0,'Données projet'!$E$10+1,1))</f>
        <v>505.64100207870439</v>
      </c>
      <c r="AO139" s="60">
        <f t="shared" si="144"/>
        <v>371.76229669709249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0.23883657510325235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0.23883657510325235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-2.8421709430404007E-13</v>
      </c>
      <c r="BE139" s="14">
        <f>BD139*VLOOKUP('Données projet'!$B$11,Paramètres!$A$1:$I$89,3,0)*VLOOKUP('Données projet'!$B$11,Paramètres!$A$1:$I$89,5,0)</f>
        <v>-2.2612312022829427E-13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353.26636241468884</v>
      </c>
      <c r="BJ139" s="60">
        <f t="shared" si="146"/>
        <v>345.4750813433123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0.32173974028430297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0.32173974028430297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2.8421709430404007E-13</v>
      </c>
      <c r="BZ139" s="14">
        <f>BY139*VLOOKUP('Données projet'!$B$12,Paramètres!$A$1:$I$89,3,0)*VLOOKUP('Données projet'!$B$12,Paramètres!$A$1:$I$89,5,0)</f>
        <v>1.9065282685915009E-13</v>
      </c>
      <c r="CA139" s="14">
        <f t="shared" si="147"/>
        <v>2.6568987209435707E-12</v>
      </c>
      <c r="CB139" s="22">
        <f t="shared" si="118"/>
        <v>4.959485612423072E-12</v>
      </c>
      <c r="CC139" s="60">
        <f t="shared" si="119"/>
        <v>293.33333333333826</v>
      </c>
      <c r="CD139" s="60">
        <f ca="1">AVERAGE(OFFSET($CC$3,0,0,'Données projet'!$E$12+1,1))-AVERAGE(OFFSET($H$3,0,0,'Données projet'!$E$12+1,1))</f>
        <v>362.1372269575329</v>
      </c>
      <c r="CE139" s="60">
        <f t="shared" si="148"/>
        <v>308.1559670593121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0.16202078293441061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0.16202078293441061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2.2737367544323206E-13</v>
      </c>
      <c r="CU139" s="18">
        <f>CT139*VLOOKUP('Données projet'!$B$13,Paramètres!$A$1:$I$89,3,0)*VLOOKUP('Données projet'!$B$13,Paramètres!$A$1:$I$89,5,0)</f>
        <v>2.4474502424709499E-13</v>
      </c>
      <c r="CV139" s="14">
        <f t="shared" si="149"/>
        <v>3.3129863113888576E-12</v>
      </c>
      <c r="CW139" s="22">
        <f t="shared" si="121"/>
        <v>6.1963820762326169E-12</v>
      </c>
      <c r="CX139" s="60">
        <f t="shared" si="122"/>
        <v>293.33333333333951</v>
      </c>
      <c r="CY139" s="60">
        <f ca="1">AVERAGE(OFFSET($CX$3,0,0,'Données projet'!$E$13+1,1))-AVERAGE(OFFSET($H$3,0,0,'Données projet'!$E$13+1,1))</f>
        <v>488.44916315274139</v>
      </c>
      <c r="CZ139" s="60">
        <f t="shared" si="150"/>
        <v>348.17941150148209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0.21037945126116228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0.21037945126116228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4.5474735088646412E-13</v>
      </c>
      <c r="O140" s="14">
        <f>N140*VLOOKUP('Données projet'!$B$9,Paramètres!$A$1:$I$89,3,0)*VLOOKUP('Données projet'!$B$9,Paramètres!$A$1:$I$89,5,0)</f>
        <v>4.1145540308207271E-13</v>
      </c>
      <c r="P140" s="14">
        <f t="shared" si="141"/>
        <v>5.2428527960910789E-12</v>
      </c>
      <c r="Q140" s="22">
        <f t="shared" si="108"/>
        <v>9.8479201135599071E-12</v>
      </c>
      <c r="R140" s="60">
        <f t="shared" si="109"/>
        <v>293.33333333334315</v>
      </c>
      <c r="S140" s="60">
        <f ca="1">AVERAGE(OFFSET($R$3,0,0,'Données projet'!$E$9+1,1))-AVERAGE(OFFSET($H$3,0,0,'Données projet'!$E$9+1,1))</f>
        <v>319.72731970820928</v>
      </c>
      <c r="T140" s="60">
        <f t="shared" si="142"/>
        <v>279.93992813630513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1.1527845344971866E-13</v>
      </c>
      <c r="AK140" s="14">
        <f t="shared" si="143"/>
        <v>1.7033846239409443E-12</v>
      </c>
      <c r="AL140" s="22">
        <f t="shared" si="112"/>
        <v>3.1675048597887374E-12</v>
      </c>
      <c r="AM140" s="60">
        <f t="shared" si="113"/>
        <v>293.3333333333365</v>
      </c>
      <c r="AN140" s="60">
        <f ca="1">AVERAGE(OFFSET($AM$3,0,0,'Données projet'!$E$10+1,1))-AVERAGE(OFFSET($H$3,0,0,'Données projet'!$E$10+1,1))</f>
        <v>505.64100207870439</v>
      </c>
      <c r="AO140" s="60">
        <f t="shared" si="144"/>
        <v>371.76229669709249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0.2323055763971843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0.2323055763971843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-2.8421709430404007E-13</v>
      </c>
      <c r="BE140" s="14">
        <f>BD140*VLOOKUP('Données projet'!$B$11,Paramètres!$A$1:$I$89,3,0)*VLOOKUP('Données projet'!$B$11,Paramètres!$A$1:$I$89,5,0)</f>
        <v>-2.2612312022829427E-13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353.26636241468884</v>
      </c>
      <c r="BJ140" s="60">
        <f t="shared" si="146"/>
        <v>345.4750813433123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0.31294175016667108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0.31294175016667108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2.8421709430404007E-13</v>
      </c>
      <c r="BZ140" s="14">
        <f>BY140*VLOOKUP('Données projet'!$B$12,Paramètres!$A$1:$I$89,3,0)*VLOOKUP('Données projet'!$B$12,Paramètres!$A$1:$I$89,5,0)</f>
        <v>1.9065282685915009E-13</v>
      </c>
      <c r="CA140" s="14">
        <f t="shared" si="147"/>
        <v>2.6568987209435707E-12</v>
      </c>
      <c r="CB140" s="22">
        <f t="shared" si="118"/>
        <v>4.959485612423072E-12</v>
      </c>
      <c r="CC140" s="60">
        <f t="shared" si="119"/>
        <v>293.33333333333826</v>
      </c>
      <c r="CD140" s="60">
        <f ca="1">AVERAGE(OFFSET($CC$3,0,0,'Données projet'!$E$12+1,1))-AVERAGE(OFFSET($H$3,0,0,'Données projet'!$E$12+1,1))</f>
        <v>362.1372269575329</v>
      </c>
      <c r="CE140" s="60">
        <f t="shared" si="148"/>
        <v>308.1559670593121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0.15759031610476648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0.15759031610476648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2.2737367544323206E-13</v>
      </c>
      <c r="CU140" s="18">
        <f>CT140*VLOOKUP('Données projet'!$B$13,Paramètres!$A$1:$I$89,3,0)*VLOOKUP('Données projet'!$B$13,Paramètres!$A$1:$I$89,5,0)</f>
        <v>2.4474502424709499E-13</v>
      </c>
      <c r="CV140" s="14">
        <f t="shared" si="149"/>
        <v>3.3129863113888576E-12</v>
      </c>
      <c r="CW140" s="22">
        <f t="shared" si="121"/>
        <v>6.1963820762326169E-12</v>
      </c>
      <c r="CX140" s="60">
        <f t="shared" si="122"/>
        <v>293.33333333333951</v>
      </c>
      <c r="CY140" s="60">
        <f ca="1">AVERAGE(OFFSET($CX$3,0,0,'Données projet'!$E$13+1,1))-AVERAGE(OFFSET($H$3,0,0,'Données projet'!$E$13+1,1))</f>
        <v>488.44916315274139</v>
      </c>
      <c r="CZ140" s="60">
        <f t="shared" si="150"/>
        <v>348.17941150148209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0.20462661410305127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0.20462661410305127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4.5474735088646412E-13</v>
      </c>
      <c r="O141" s="14">
        <f>N141*VLOOKUP('Données projet'!$B$9,Paramètres!$A$1:$I$89,3,0)*VLOOKUP('Données projet'!$B$9,Paramètres!$A$1:$I$89,5,0)</f>
        <v>4.1145540308207271E-13</v>
      </c>
      <c r="P141" s="14">
        <f t="shared" si="141"/>
        <v>5.2428527960910789E-12</v>
      </c>
      <c r="Q141" s="22">
        <f t="shared" si="108"/>
        <v>9.8479201135599071E-12</v>
      </c>
      <c r="R141" s="60">
        <f t="shared" si="109"/>
        <v>293.33333333334315</v>
      </c>
      <c r="S141" s="60">
        <f ca="1">AVERAGE(OFFSET($R$3,0,0,'Données projet'!$E$9+1,1))-AVERAGE(OFFSET($H$3,0,0,'Données projet'!$E$9+1,1))</f>
        <v>319.72731970820928</v>
      </c>
      <c r="T141" s="60">
        <f t="shared" si="142"/>
        <v>279.93992813630513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1.1527845344971866E-13</v>
      </c>
      <c r="AK141" s="14">
        <f t="shared" si="143"/>
        <v>1.7033846239409443E-12</v>
      </c>
      <c r="AL141" s="22">
        <f t="shared" si="112"/>
        <v>3.1675048597887374E-12</v>
      </c>
      <c r="AM141" s="60">
        <f t="shared" si="113"/>
        <v>293.3333333333365</v>
      </c>
      <c r="AN141" s="60">
        <f ca="1">AVERAGE(OFFSET($AM$3,0,0,'Données projet'!$E$10+1,1))-AVERAGE(OFFSET($H$3,0,0,'Données projet'!$E$10+1,1))</f>
        <v>505.64100207870439</v>
      </c>
      <c r="AO141" s="60">
        <f t="shared" si="144"/>
        <v>371.76229669709249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0.22595316819418398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0.22595316819418398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-2.8421709430404007E-13</v>
      </c>
      <c r="BE141" s="14">
        <f>BD141*VLOOKUP('Données projet'!$B$11,Paramètres!$A$1:$I$89,3,0)*VLOOKUP('Données projet'!$B$11,Paramètres!$A$1:$I$89,5,0)</f>
        <v>-2.2612312022829427E-13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353.26636241468884</v>
      </c>
      <c r="BJ141" s="60">
        <f t="shared" si="146"/>
        <v>345.4750813433123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0.30438434155147204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0.30438434155147204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2.8421709430404007E-13</v>
      </c>
      <c r="BZ141" s="14">
        <f>BY141*VLOOKUP('Données projet'!$B$12,Paramètres!$A$1:$I$89,3,0)*VLOOKUP('Données projet'!$B$12,Paramètres!$A$1:$I$89,5,0)</f>
        <v>1.9065282685915009E-13</v>
      </c>
      <c r="CA141" s="14">
        <f t="shared" si="147"/>
        <v>2.6568987209435707E-12</v>
      </c>
      <c r="CB141" s="22">
        <f t="shared" si="118"/>
        <v>4.959485612423072E-12</v>
      </c>
      <c r="CC141" s="60">
        <f t="shared" si="119"/>
        <v>293.33333333333826</v>
      </c>
      <c r="CD141" s="60">
        <f ca="1">AVERAGE(OFFSET($CC$3,0,0,'Données projet'!$E$12+1,1))-AVERAGE(OFFSET($H$3,0,0,'Données projet'!$E$12+1,1))</f>
        <v>362.1372269575329</v>
      </c>
      <c r="CE141" s="60">
        <f t="shared" si="148"/>
        <v>308.1559670593121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0.15328100062356709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0.15328100062356709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2.2737367544323206E-13</v>
      </c>
      <c r="CU141" s="18">
        <f>CT141*VLOOKUP('Données projet'!$B$13,Paramètres!$A$1:$I$89,3,0)*VLOOKUP('Données projet'!$B$13,Paramètres!$A$1:$I$89,5,0)</f>
        <v>2.4474502424709499E-13</v>
      </c>
      <c r="CV141" s="14">
        <f t="shared" si="149"/>
        <v>3.3129863113888576E-12</v>
      </c>
      <c r="CW141" s="22">
        <f t="shared" si="121"/>
        <v>6.1963820762326169E-12</v>
      </c>
      <c r="CX141" s="60">
        <f t="shared" si="122"/>
        <v>293.33333333333951</v>
      </c>
      <c r="CY141" s="60">
        <f ca="1">AVERAGE(OFFSET($CX$3,0,0,'Données projet'!$E$13+1,1))-AVERAGE(OFFSET($H$3,0,0,'Données projet'!$E$13+1,1))</f>
        <v>488.44916315274139</v>
      </c>
      <c r="CZ141" s="60">
        <f t="shared" si="150"/>
        <v>348.17941150148209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0.19903108857955737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0.19903108857955737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4.5474735088646412E-13</v>
      </c>
      <c r="O142" s="14">
        <f>N142*VLOOKUP('Données projet'!$B$9,Paramètres!$A$1:$I$89,3,0)*VLOOKUP('Données projet'!$B$9,Paramètres!$A$1:$I$89,5,0)</f>
        <v>4.1145540308207271E-13</v>
      </c>
      <c r="P142" s="14">
        <f t="shared" si="141"/>
        <v>5.2428527960910789E-12</v>
      </c>
      <c r="Q142" s="22">
        <f t="shared" si="108"/>
        <v>9.8479201135599071E-12</v>
      </c>
      <c r="R142" s="60">
        <f t="shared" si="109"/>
        <v>293.33333333334315</v>
      </c>
      <c r="S142" s="60">
        <f ca="1">AVERAGE(OFFSET($R$3,0,0,'Données projet'!$E$9+1,1))-AVERAGE(OFFSET($H$3,0,0,'Données projet'!$E$9+1,1))</f>
        <v>319.72731970820928</v>
      </c>
      <c r="T142" s="60">
        <f t="shared" si="142"/>
        <v>279.93992813630513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1.1527845344971866E-13</v>
      </c>
      <c r="AK142" s="14">
        <f t="shared" si="143"/>
        <v>1.7033846239409443E-12</v>
      </c>
      <c r="AL142" s="22">
        <f t="shared" si="112"/>
        <v>3.1675048597887374E-12</v>
      </c>
      <c r="AM142" s="60">
        <f t="shared" si="113"/>
        <v>293.3333333333365</v>
      </c>
      <c r="AN142" s="60">
        <f ca="1">AVERAGE(OFFSET($AM$3,0,0,'Données projet'!$E$10+1,1))-AVERAGE(OFFSET($H$3,0,0,'Données projet'!$E$10+1,1))</f>
        <v>505.64100207870439</v>
      </c>
      <c r="AO142" s="60">
        <f t="shared" si="144"/>
        <v>371.76229669709249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0.21977446692755334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0.21977446692755334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-2.8421709430404007E-13</v>
      </c>
      <c r="BE142" s="14">
        <f>BD142*VLOOKUP('Données projet'!$B$11,Paramètres!$A$1:$I$89,3,0)*VLOOKUP('Données projet'!$B$11,Paramètres!$A$1:$I$89,5,0)</f>
        <v>-2.2612312022829427E-13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353.26636241468884</v>
      </c>
      <c r="BJ142" s="60">
        <f t="shared" si="146"/>
        <v>345.4750813433123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0.29606093572487019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0.29606093572487019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2.8421709430404007E-13</v>
      </c>
      <c r="BZ142" s="14">
        <f>BY142*VLOOKUP('Données projet'!$B$12,Paramètres!$A$1:$I$89,3,0)*VLOOKUP('Données projet'!$B$12,Paramètres!$A$1:$I$89,5,0)</f>
        <v>1.9065282685915009E-13</v>
      </c>
      <c r="CA142" s="14">
        <f t="shared" si="147"/>
        <v>2.6568987209435707E-12</v>
      </c>
      <c r="CB142" s="22">
        <f t="shared" si="118"/>
        <v>4.959485612423072E-12</v>
      </c>
      <c r="CC142" s="60">
        <f t="shared" si="119"/>
        <v>293.33333333333826</v>
      </c>
      <c r="CD142" s="60">
        <f ca="1">AVERAGE(OFFSET($CC$3,0,0,'Données projet'!$E$12+1,1))-AVERAGE(OFFSET($H$3,0,0,'Données projet'!$E$12+1,1))</f>
        <v>362.1372269575329</v>
      </c>
      <c r="CE142" s="60">
        <f t="shared" si="148"/>
        <v>308.1559670593121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0.14908952360081815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0.14908952360081815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2.2737367544323206E-13</v>
      </c>
      <c r="CU142" s="18">
        <f>CT142*VLOOKUP('Données projet'!$B$13,Paramètres!$A$1:$I$89,3,0)*VLOOKUP('Données projet'!$B$13,Paramètres!$A$1:$I$89,5,0)</f>
        <v>2.4474502424709499E-13</v>
      </c>
      <c r="CV142" s="14">
        <f t="shared" si="149"/>
        <v>3.3129863113888576E-12</v>
      </c>
      <c r="CW142" s="22">
        <f t="shared" si="121"/>
        <v>6.1963820762326169E-12</v>
      </c>
      <c r="CX142" s="60">
        <f t="shared" si="122"/>
        <v>293.33333333333951</v>
      </c>
      <c r="CY142" s="60">
        <f ca="1">AVERAGE(OFFSET($CX$3,0,0,'Données projet'!$E$13+1,1))-AVERAGE(OFFSET($H$3,0,0,'Données projet'!$E$13+1,1))</f>
        <v>488.44916315274139</v>
      </c>
      <c r="CZ142" s="60">
        <f t="shared" si="150"/>
        <v>348.17941150148209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0.19358857299575932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0.19358857299575932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4.5474735088646412E-13</v>
      </c>
      <c r="O143" s="14">
        <f>N143*VLOOKUP('Données projet'!$B$9,Paramètres!$A$1:$I$89,3,0)*VLOOKUP('Données projet'!$B$9,Paramètres!$A$1:$I$89,5,0)</f>
        <v>4.1145540308207271E-13</v>
      </c>
      <c r="P143" s="14">
        <f t="shared" si="141"/>
        <v>5.2428527960910789E-12</v>
      </c>
      <c r="Q143" s="22">
        <f t="shared" si="108"/>
        <v>9.8479201135599071E-12</v>
      </c>
      <c r="R143" s="60">
        <f t="shared" si="109"/>
        <v>293.33333333334315</v>
      </c>
      <c r="S143" s="60">
        <f ca="1">AVERAGE(OFFSET($R$3,0,0,'Données projet'!$E$9+1,1))-AVERAGE(OFFSET($H$3,0,0,'Données projet'!$E$9+1,1))</f>
        <v>319.72731970820928</v>
      </c>
      <c r="T143" s="60">
        <f t="shared" si="142"/>
        <v>279.93992813630513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1.1527845344971866E-13</v>
      </c>
      <c r="AK143" s="14">
        <f t="shared" si="143"/>
        <v>1.7033846239409443E-12</v>
      </c>
      <c r="AL143" s="22">
        <f t="shared" si="112"/>
        <v>3.1675048597887374E-12</v>
      </c>
      <c r="AM143" s="60">
        <f t="shared" si="113"/>
        <v>293.3333333333365</v>
      </c>
      <c r="AN143" s="60">
        <f ca="1">AVERAGE(OFFSET($AM$3,0,0,'Données projet'!$E$10+1,1))-AVERAGE(OFFSET($H$3,0,0,'Données projet'!$E$10+1,1))</f>
        <v>505.64100207870439</v>
      </c>
      <c r="AO143" s="60">
        <f t="shared" si="144"/>
        <v>371.76229669709249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0.21376472257198248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0.21376472257198248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-2.8421709430404007E-13</v>
      </c>
      <c r="BE143" s="14">
        <f>BD143*VLOOKUP('Données projet'!$B$11,Paramètres!$A$1:$I$89,3,0)*VLOOKUP('Données projet'!$B$11,Paramètres!$A$1:$I$89,5,0)</f>
        <v>-2.2612312022829427E-13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353.26636241468884</v>
      </c>
      <c r="BJ143" s="60">
        <f t="shared" si="146"/>
        <v>345.4750813433123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0.28796513386830563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0.28796513386830563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2.8421709430404007E-13</v>
      </c>
      <c r="BZ143" s="14">
        <f>BY143*VLOOKUP('Données projet'!$B$12,Paramètres!$A$1:$I$89,3,0)*VLOOKUP('Données projet'!$B$12,Paramètres!$A$1:$I$89,5,0)</f>
        <v>1.9065282685915009E-13</v>
      </c>
      <c r="CA143" s="14">
        <f t="shared" si="147"/>
        <v>2.6568987209435707E-12</v>
      </c>
      <c r="CB143" s="22">
        <f t="shared" si="118"/>
        <v>4.959485612423072E-12</v>
      </c>
      <c r="CC143" s="60">
        <f t="shared" si="119"/>
        <v>293.33333333333826</v>
      </c>
      <c r="CD143" s="60">
        <f ca="1">AVERAGE(OFFSET($CC$3,0,0,'Données projet'!$E$12+1,1))-AVERAGE(OFFSET($H$3,0,0,'Données projet'!$E$12+1,1))</f>
        <v>362.1372269575329</v>
      </c>
      <c r="CE143" s="60">
        <f t="shared" si="148"/>
        <v>308.1559670593121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0.14501266273767649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0.14501266273767649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2.2737367544323206E-13</v>
      </c>
      <c r="CU143" s="18">
        <f>CT143*VLOOKUP('Données projet'!$B$13,Paramètres!$A$1:$I$89,3,0)*VLOOKUP('Données projet'!$B$13,Paramètres!$A$1:$I$89,5,0)</f>
        <v>2.4474502424709499E-13</v>
      </c>
      <c r="CV143" s="14">
        <f t="shared" si="149"/>
        <v>3.3129863113888576E-12</v>
      </c>
      <c r="CW143" s="22">
        <f t="shared" si="121"/>
        <v>6.1963820762326169E-12</v>
      </c>
      <c r="CX143" s="60">
        <f t="shared" si="122"/>
        <v>293.33333333333951</v>
      </c>
      <c r="CY143" s="60">
        <f ca="1">AVERAGE(OFFSET($CX$3,0,0,'Données projet'!$E$13+1,1))-AVERAGE(OFFSET($H$3,0,0,'Données projet'!$E$13+1,1))</f>
        <v>488.44916315274139</v>
      </c>
      <c r="CZ143" s="60">
        <f t="shared" si="150"/>
        <v>348.17941150148209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0.18829488328680968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0.18829488328680968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4.5474735088646412E-13</v>
      </c>
      <c r="O144" s="14">
        <f>N144*VLOOKUP('Données projet'!$B$9,Paramètres!$A$1:$I$89,3,0)*VLOOKUP('Données projet'!$B$9,Paramètres!$A$1:$I$89,5,0)</f>
        <v>4.1145540308207271E-13</v>
      </c>
      <c r="P144" s="14">
        <f t="shared" si="141"/>
        <v>5.2428527960910789E-12</v>
      </c>
      <c r="Q144" s="22">
        <f t="shared" si="108"/>
        <v>9.8479201135599071E-12</v>
      </c>
      <c r="R144" s="60">
        <f t="shared" si="109"/>
        <v>293.33333333334315</v>
      </c>
      <c r="S144" s="60">
        <f ca="1">AVERAGE(OFFSET($R$3,0,0,'Données projet'!$E$9+1,1))-AVERAGE(OFFSET($H$3,0,0,'Données projet'!$E$9+1,1))</f>
        <v>319.72731970820928</v>
      </c>
      <c r="T144" s="60">
        <f t="shared" si="142"/>
        <v>279.93992813630513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1.1527845344971866E-13</v>
      </c>
      <c r="AK144" s="14">
        <f t="shared" si="143"/>
        <v>1.7033846239409443E-12</v>
      </c>
      <c r="AL144" s="22">
        <f t="shared" si="112"/>
        <v>3.1675048597887374E-12</v>
      </c>
      <c r="AM144" s="60">
        <f t="shared" si="113"/>
        <v>293.3333333333365</v>
      </c>
      <c r="AN144" s="60">
        <f ca="1">AVERAGE(OFFSET($AM$3,0,0,'Données projet'!$E$10+1,1))-AVERAGE(OFFSET($H$3,0,0,'Données projet'!$E$10+1,1))</f>
        <v>505.64100207870439</v>
      </c>
      <c r="AO144" s="60">
        <f t="shared" si="144"/>
        <v>371.76229669709249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0.20791931499185343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0.20791931499185343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-2.8421709430404007E-13</v>
      </c>
      <c r="BE144" s="14">
        <f>BD144*VLOOKUP('Données projet'!$B$11,Paramètres!$A$1:$I$89,3,0)*VLOOKUP('Données projet'!$B$11,Paramètres!$A$1:$I$89,5,0)</f>
        <v>-2.2612312022829427E-13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353.26636241468884</v>
      </c>
      <c r="BJ144" s="60">
        <f t="shared" si="146"/>
        <v>345.4750813433123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0.28009071213924858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0.28009071213924858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2.8421709430404007E-13</v>
      </c>
      <c r="BZ144" s="14">
        <f>BY144*VLOOKUP('Données projet'!$B$12,Paramètres!$A$1:$I$89,3,0)*VLOOKUP('Données projet'!$B$12,Paramètres!$A$1:$I$89,5,0)</f>
        <v>1.9065282685915009E-13</v>
      </c>
      <c r="CA144" s="14">
        <f t="shared" si="147"/>
        <v>2.6568987209435707E-12</v>
      </c>
      <c r="CB144" s="22">
        <f t="shared" si="118"/>
        <v>4.959485612423072E-12</v>
      </c>
      <c r="CC144" s="60">
        <f t="shared" si="119"/>
        <v>293.33333333333826</v>
      </c>
      <c r="CD144" s="60">
        <f ca="1">AVERAGE(OFFSET($CC$3,0,0,'Données projet'!$E$12+1,1))-AVERAGE(OFFSET($H$3,0,0,'Données projet'!$E$12+1,1))</f>
        <v>362.1372269575329</v>
      </c>
      <c r="CE144" s="60">
        <f t="shared" si="148"/>
        <v>308.1559670593121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0.14104728384923024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0.14104728384923024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2.2737367544323206E-13</v>
      </c>
      <c r="CU144" s="18">
        <f>CT144*VLOOKUP('Données projet'!$B$13,Paramètres!$A$1:$I$89,3,0)*VLOOKUP('Données projet'!$B$13,Paramètres!$A$1:$I$89,5,0)</f>
        <v>2.4474502424709499E-13</v>
      </c>
      <c r="CV144" s="14">
        <f t="shared" si="149"/>
        <v>3.3129863113888576E-12</v>
      </c>
      <c r="CW144" s="22">
        <f t="shared" si="121"/>
        <v>6.1963820762326169E-12</v>
      </c>
      <c r="CX144" s="60">
        <f t="shared" si="122"/>
        <v>293.33333333333951</v>
      </c>
      <c r="CY144" s="60">
        <f ca="1">AVERAGE(OFFSET($CX$3,0,0,'Données projet'!$E$13+1,1))-AVERAGE(OFFSET($H$3,0,0,'Données projet'!$E$13+1,1))</f>
        <v>488.44916315274139</v>
      </c>
      <c r="CZ144" s="60">
        <f t="shared" si="150"/>
        <v>348.17941150148209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0.18314594980133431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0.18314594980133431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4.5474735088646412E-13</v>
      </c>
      <c r="O145" s="14">
        <f>N145*VLOOKUP('Données projet'!$B$9,Paramètres!$A$1:$I$89,3,0)*VLOOKUP('Données projet'!$B$9,Paramètres!$A$1:$I$89,5,0)</f>
        <v>4.1145540308207271E-13</v>
      </c>
      <c r="P145" s="14">
        <f t="shared" si="141"/>
        <v>5.2428527960910789E-12</v>
      </c>
      <c r="Q145" s="22">
        <f t="shared" si="108"/>
        <v>9.8479201135599071E-12</v>
      </c>
      <c r="R145" s="60">
        <f t="shared" si="109"/>
        <v>293.33333333334315</v>
      </c>
      <c r="S145" s="60">
        <f ca="1">AVERAGE(OFFSET($R$3,0,0,'Données projet'!$E$9+1,1))-AVERAGE(OFFSET($H$3,0,0,'Données projet'!$E$9+1,1))</f>
        <v>319.72731970820928</v>
      </c>
      <c r="T145" s="60">
        <f t="shared" si="142"/>
        <v>279.93992813630513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1.1527845344971866E-13</v>
      </c>
      <c r="AK145" s="14">
        <f t="shared" si="143"/>
        <v>1.7033846239409443E-12</v>
      </c>
      <c r="AL145" s="22">
        <f t="shared" si="112"/>
        <v>3.1675048597887374E-12</v>
      </c>
      <c r="AM145" s="60">
        <f t="shared" si="113"/>
        <v>293.3333333333365</v>
      </c>
      <c r="AN145" s="60">
        <f ca="1">AVERAGE(OFFSET($AM$3,0,0,'Données projet'!$E$10+1,1))-AVERAGE(OFFSET($H$3,0,0,'Données projet'!$E$10+1,1))</f>
        <v>505.64100207870439</v>
      </c>
      <c r="AO145" s="60">
        <f t="shared" si="144"/>
        <v>371.76229669709249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0.20223375038939961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0.20223375038939961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-2.8421709430404007E-13</v>
      </c>
      <c r="BE145" s="14">
        <f>BD145*VLOOKUP('Données projet'!$B$11,Paramètres!$A$1:$I$89,3,0)*VLOOKUP('Données projet'!$B$11,Paramètres!$A$1:$I$89,5,0)</f>
        <v>-2.2612312022829427E-13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353.26636241468884</v>
      </c>
      <c r="BJ145" s="60">
        <f t="shared" si="146"/>
        <v>345.4750813433123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0.27243161688647044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0.27243161688647044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2.8421709430404007E-13</v>
      </c>
      <c r="BZ145" s="14">
        <f>BY145*VLOOKUP('Données projet'!$B$12,Paramètres!$A$1:$I$89,3,0)*VLOOKUP('Données projet'!$B$12,Paramètres!$A$1:$I$89,5,0)</f>
        <v>1.9065282685915009E-13</v>
      </c>
      <c r="CA145" s="14">
        <f t="shared" si="147"/>
        <v>2.6568987209435707E-12</v>
      </c>
      <c r="CB145" s="22">
        <f t="shared" si="118"/>
        <v>4.959485612423072E-12</v>
      </c>
      <c r="CC145" s="60">
        <f t="shared" si="119"/>
        <v>293.33333333333826</v>
      </c>
      <c r="CD145" s="60">
        <f ca="1">AVERAGE(OFFSET($CC$3,0,0,'Données projet'!$E$12+1,1))-AVERAGE(OFFSET($H$3,0,0,'Données projet'!$E$12+1,1))</f>
        <v>362.1372269575329</v>
      </c>
      <c r="CE145" s="60">
        <f t="shared" si="148"/>
        <v>308.1559670593121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0.13719033845501874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0.13719033845501874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2.2737367544323206E-13</v>
      </c>
      <c r="CU145" s="18">
        <f>CT145*VLOOKUP('Données projet'!$B$13,Paramètres!$A$1:$I$89,3,0)*VLOOKUP('Données projet'!$B$13,Paramètres!$A$1:$I$89,5,0)</f>
        <v>2.4474502424709499E-13</v>
      </c>
      <c r="CV145" s="14">
        <f t="shared" si="149"/>
        <v>3.3129863113888576E-12</v>
      </c>
      <c r="CW145" s="22">
        <f t="shared" si="121"/>
        <v>6.1963820762326169E-12</v>
      </c>
      <c r="CX145" s="60">
        <f t="shared" si="122"/>
        <v>293.33333333333951</v>
      </c>
      <c r="CY145" s="60">
        <f ca="1">AVERAGE(OFFSET($CX$3,0,0,'Données projet'!$E$13+1,1))-AVERAGE(OFFSET($H$3,0,0,'Données projet'!$E$13+1,1))</f>
        <v>488.44916315274139</v>
      </c>
      <c r="CZ145" s="60">
        <f t="shared" si="150"/>
        <v>348.17941150148209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0.1781378141727899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0.1781378141727899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4.5474735088646412E-13</v>
      </c>
      <c r="O146" s="14">
        <f>N146*VLOOKUP('Données projet'!$B$9,Paramètres!$A$1:$I$89,3,0)*VLOOKUP('Données projet'!$B$9,Paramètres!$A$1:$I$89,5,0)</f>
        <v>4.1145540308207271E-13</v>
      </c>
      <c r="P146" s="14">
        <f t="shared" si="141"/>
        <v>5.2428527960910789E-12</v>
      </c>
      <c r="Q146" s="22">
        <f t="shared" si="108"/>
        <v>9.8479201135599071E-12</v>
      </c>
      <c r="R146" s="60">
        <f t="shared" si="109"/>
        <v>293.33333333334315</v>
      </c>
      <c r="S146" s="60">
        <f ca="1">AVERAGE(OFFSET($R$3,0,0,'Données projet'!$E$9+1,1))-AVERAGE(OFFSET($H$3,0,0,'Données projet'!$E$9+1,1))</f>
        <v>319.72731970820928</v>
      </c>
      <c r="T146" s="60">
        <f t="shared" si="142"/>
        <v>279.93992813630513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1.1527845344971866E-13</v>
      </c>
      <c r="AK146" s="14">
        <f t="shared" si="143"/>
        <v>1.7033846239409443E-12</v>
      </c>
      <c r="AL146" s="22">
        <f t="shared" si="112"/>
        <v>3.1675048597887374E-12</v>
      </c>
      <c r="AM146" s="60">
        <f t="shared" si="113"/>
        <v>293.3333333333365</v>
      </c>
      <c r="AN146" s="60">
        <f ca="1">AVERAGE(OFFSET($AM$3,0,0,'Données projet'!$E$10+1,1))-AVERAGE(OFFSET($H$3,0,0,'Données projet'!$E$10+1,1))</f>
        <v>505.64100207870439</v>
      </c>
      <c r="AO146" s="60">
        <f t="shared" si="144"/>
        <v>371.76229669709249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0.19670365784999075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0.19670365784999075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-2.8421709430404007E-13</v>
      </c>
      <c r="BE146" s="14">
        <f>BD146*VLOOKUP('Données projet'!$B$11,Paramètres!$A$1:$I$89,3,0)*VLOOKUP('Données projet'!$B$11,Paramètres!$A$1:$I$89,5,0)</f>
        <v>-2.2612312022829427E-13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353.26636241468884</v>
      </c>
      <c r="BJ146" s="60">
        <f t="shared" si="146"/>
        <v>345.4750813433123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0.26498195999615382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0.26498195999615382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2.8421709430404007E-13</v>
      </c>
      <c r="BZ146" s="14">
        <f>BY146*VLOOKUP('Données projet'!$B$12,Paramètres!$A$1:$I$89,3,0)*VLOOKUP('Données projet'!$B$12,Paramètres!$A$1:$I$89,5,0)</f>
        <v>1.9065282685915009E-13</v>
      </c>
      <c r="CA146" s="14">
        <f t="shared" si="147"/>
        <v>2.6568987209435707E-12</v>
      </c>
      <c r="CB146" s="22">
        <f t="shared" si="118"/>
        <v>4.959485612423072E-12</v>
      </c>
      <c r="CC146" s="60">
        <f t="shared" si="119"/>
        <v>293.33333333333826</v>
      </c>
      <c r="CD146" s="60">
        <f ca="1">AVERAGE(OFFSET($CC$3,0,0,'Données projet'!$E$12+1,1))-AVERAGE(OFFSET($H$3,0,0,'Données projet'!$E$12+1,1))</f>
        <v>362.1372269575329</v>
      </c>
      <c r="CE146" s="60">
        <f t="shared" si="148"/>
        <v>308.1559670593121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0.1334388614354399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0.1334388614354399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2.2737367544323206E-13</v>
      </c>
      <c r="CU146" s="18">
        <f>CT146*VLOOKUP('Données projet'!$B$13,Paramètres!$A$1:$I$89,3,0)*VLOOKUP('Données projet'!$B$13,Paramètres!$A$1:$I$89,5,0)</f>
        <v>2.4474502424709499E-13</v>
      </c>
      <c r="CV146" s="14">
        <f t="shared" si="149"/>
        <v>3.3129863113888576E-12</v>
      </c>
      <c r="CW146" s="22">
        <f t="shared" si="121"/>
        <v>6.1963820762326169E-12</v>
      </c>
      <c r="CX146" s="60">
        <f t="shared" si="122"/>
        <v>293.33333333333951</v>
      </c>
      <c r="CY146" s="60">
        <f ca="1">AVERAGE(OFFSET($CX$3,0,0,'Données projet'!$E$13+1,1))-AVERAGE(OFFSET($H$3,0,0,'Données projet'!$E$13+1,1))</f>
        <v>488.44916315274139</v>
      </c>
      <c r="CZ146" s="60">
        <f t="shared" si="150"/>
        <v>348.17941150148209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0.17326662627637446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0.17326662627637446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4.5474735088646412E-13</v>
      </c>
      <c r="O147" s="14">
        <f>N147*VLOOKUP('Données projet'!$B$9,Paramètres!$A$1:$I$89,3,0)*VLOOKUP('Données projet'!$B$9,Paramètres!$A$1:$I$89,5,0)</f>
        <v>4.1145540308207271E-13</v>
      </c>
      <c r="P147" s="14">
        <f t="shared" si="141"/>
        <v>5.2428527960910789E-12</v>
      </c>
      <c r="Q147" s="22">
        <f t="shared" si="108"/>
        <v>9.8479201135599071E-12</v>
      </c>
      <c r="R147" s="60">
        <f t="shared" si="109"/>
        <v>293.33333333334315</v>
      </c>
      <c r="S147" s="60">
        <f ca="1">AVERAGE(OFFSET($R$3,0,0,'Données projet'!$E$9+1,1))-AVERAGE(OFFSET($H$3,0,0,'Données projet'!$E$9+1,1))</f>
        <v>319.72731970820928</v>
      </c>
      <c r="T147" s="60">
        <f t="shared" si="142"/>
        <v>279.93992813630513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1.1527845344971866E-13</v>
      </c>
      <c r="AK147" s="14">
        <f t="shared" si="143"/>
        <v>1.7033846239409443E-12</v>
      </c>
      <c r="AL147" s="22">
        <f t="shared" si="112"/>
        <v>3.1675048597887374E-12</v>
      </c>
      <c r="AM147" s="60">
        <f t="shared" si="113"/>
        <v>293.3333333333365</v>
      </c>
      <c r="AN147" s="60">
        <f ca="1">AVERAGE(OFFSET($AM$3,0,0,'Données projet'!$E$10+1,1))-AVERAGE(OFFSET($H$3,0,0,'Données projet'!$E$10+1,1))</f>
        <v>505.64100207870439</v>
      </c>
      <c r="AO147" s="60">
        <f t="shared" si="144"/>
        <v>371.76229669709249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0.19132478598188696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0.19132478598188696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-2.8421709430404007E-13</v>
      </c>
      <c r="BE147" s="14">
        <f>BD147*VLOOKUP('Données projet'!$B$11,Paramètres!$A$1:$I$89,3,0)*VLOOKUP('Données projet'!$B$11,Paramètres!$A$1:$I$89,5,0)</f>
        <v>-2.2612312022829427E-13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353.26636241468884</v>
      </c>
      <c r="BJ147" s="60">
        <f t="shared" si="146"/>
        <v>345.4750813433123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0.25773601436526333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0.25773601436526333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2.8421709430404007E-13</v>
      </c>
      <c r="BZ147" s="14">
        <f>BY147*VLOOKUP('Données projet'!$B$12,Paramètres!$A$1:$I$89,3,0)*VLOOKUP('Données projet'!$B$12,Paramètres!$A$1:$I$89,5,0)</f>
        <v>1.9065282685915009E-13</v>
      </c>
      <c r="CA147" s="14">
        <f t="shared" si="147"/>
        <v>2.6568987209435707E-12</v>
      </c>
      <c r="CB147" s="22">
        <f t="shared" si="118"/>
        <v>4.959485612423072E-12</v>
      </c>
      <c r="CC147" s="60">
        <f t="shared" si="119"/>
        <v>293.33333333333826</v>
      </c>
      <c r="CD147" s="60">
        <f ca="1">AVERAGE(OFFSET($CC$3,0,0,'Données projet'!$E$12+1,1))-AVERAGE(OFFSET($H$3,0,0,'Données projet'!$E$12+1,1))</f>
        <v>362.1372269575329</v>
      </c>
      <c r="CE147" s="60">
        <f t="shared" si="148"/>
        <v>308.1559670593121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0.12978996875224305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0.12978996875224305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2.2737367544323206E-13</v>
      </c>
      <c r="CU147" s="18">
        <f>CT147*VLOOKUP('Données projet'!$B$13,Paramètres!$A$1:$I$89,3,0)*VLOOKUP('Données projet'!$B$13,Paramètres!$A$1:$I$89,5,0)</f>
        <v>2.4474502424709499E-13</v>
      </c>
      <c r="CV147" s="14">
        <f t="shared" si="149"/>
        <v>3.3129863113888576E-12</v>
      </c>
      <c r="CW147" s="22">
        <f t="shared" si="121"/>
        <v>6.1963820762326169E-12</v>
      </c>
      <c r="CX147" s="60">
        <f t="shared" si="122"/>
        <v>293.33333333333951</v>
      </c>
      <c r="CY147" s="60">
        <f ca="1">AVERAGE(OFFSET($CX$3,0,0,'Données projet'!$E$13+1,1))-AVERAGE(OFFSET($H$3,0,0,'Données projet'!$E$13+1,1))</f>
        <v>488.44916315274139</v>
      </c>
      <c r="CZ147" s="60">
        <f t="shared" si="150"/>
        <v>348.17941150148209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0.16852864126915112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0.16852864126915112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4.5474735088646412E-13</v>
      </c>
      <c r="O148" s="14">
        <f>N148*VLOOKUP('Données projet'!$B$9,Paramètres!$A$1:$I$89,3,0)*VLOOKUP('Données projet'!$B$9,Paramètres!$A$1:$I$89,5,0)</f>
        <v>4.1145540308207271E-13</v>
      </c>
      <c r="P148" s="14">
        <f t="shared" si="141"/>
        <v>5.2428527960910789E-12</v>
      </c>
      <c r="Q148" s="22">
        <f t="shared" si="108"/>
        <v>9.8479201135599071E-12</v>
      </c>
      <c r="R148" s="60">
        <f t="shared" si="109"/>
        <v>293.33333333334315</v>
      </c>
      <c r="S148" s="60">
        <f ca="1">AVERAGE(OFFSET($R$3,0,0,'Données projet'!$E$9+1,1))-AVERAGE(OFFSET($H$3,0,0,'Données projet'!$E$9+1,1))</f>
        <v>319.72731970820928</v>
      </c>
      <c r="T148" s="60">
        <f t="shared" si="142"/>
        <v>279.93992813630513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1.1527845344971866E-13</v>
      </c>
      <c r="AK148" s="14">
        <f t="shared" si="143"/>
        <v>1.7033846239409443E-12</v>
      </c>
      <c r="AL148" s="22">
        <f t="shared" si="112"/>
        <v>3.1675048597887374E-12</v>
      </c>
      <c r="AM148" s="60">
        <f t="shared" si="113"/>
        <v>293.3333333333365</v>
      </c>
      <c r="AN148" s="60">
        <f ca="1">AVERAGE(OFFSET($AM$3,0,0,'Données projet'!$E$10+1,1))-AVERAGE(OFFSET($H$3,0,0,'Données projet'!$E$10+1,1))</f>
        <v>505.64100207870439</v>
      </c>
      <c r="AO148" s="60">
        <f t="shared" si="144"/>
        <v>371.76229669709249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0.18609299964787904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0.18609299964787904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-2.8421709430404007E-13</v>
      </c>
      <c r="BE148" s="14">
        <f>BD148*VLOOKUP('Données projet'!$B$11,Paramètres!$A$1:$I$89,3,0)*VLOOKUP('Données projet'!$B$11,Paramètres!$A$1:$I$89,5,0)</f>
        <v>-2.2612312022829427E-13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353.26636241468884</v>
      </c>
      <c r="BJ148" s="60">
        <f t="shared" si="146"/>
        <v>345.4750813433123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0.2506882094986973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0.2506882094986973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2.8421709430404007E-13</v>
      </c>
      <c r="BZ148" s="14">
        <f>BY148*VLOOKUP('Données projet'!$B$12,Paramètres!$A$1:$I$89,3,0)*VLOOKUP('Données projet'!$B$12,Paramètres!$A$1:$I$89,5,0)</f>
        <v>1.9065282685915009E-13</v>
      </c>
      <c r="CA148" s="14">
        <f t="shared" si="147"/>
        <v>2.6568987209435707E-12</v>
      </c>
      <c r="CB148" s="22">
        <f t="shared" si="118"/>
        <v>4.959485612423072E-12</v>
      </c>
      <c r="CC148" s="60">
        <f t="shared" si="119"/>
        <v>293.33333333333826</v>
      </c>
      <c r="CD148" s="60">
        <f ca="1">AVERAGE(OFFSET($CC$3,0,0,'Données projet'!$E$12+1,1))-AVERAGE(OFFSET($H$3,0,0,'Données projet'!$E$12+1,1))</f>
        <v>362.1372269575329</v>
      </c>
      <c r="CE148" s="60">
        <f t="shared" si="148"/>
        <v>308.1559670593121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0.12624085523135514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0.12624085523135514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2.2737367544323206E-13</v>
      </c>
      <c r="CU148" s="18">
        <f>CT148*VLOOKUP('Données projet'!$B$13,Paramètres!$A$1:$I$89,3,0)*VLOOKUP('Données projet'!$B$13,Paramètres!$A$1:$I$89,5,0)</f>
        <v>2.4474502424709499E-13</v>
      </c>
      <c r="CV148" s="14">
        <f t="shared" si="149"/>
        <v>3.3129863113888576E-12</v>
      </c>
      <c r="CW148" s="22">
        <f t="shared" si="121"/>
        <v>6.1963820762326169E-12</v>
      </c>
      <c r="CX148" s="60">
        <f t="shared" si="122"/>
        <v>293.33333333333951</v>
      </c>
      <c r="CY148" s="60">
        <f ca="1">AVERAGE(OFFSET($CX$3,0,0,'Données projet'!$E$13+1,1))-AVERAGE(OFFSET($H$3,0,0,'Données projet'!$E$13+1,1))</f>
        <v>488.44916315274139</v>
      </c>
      <c r="CZ148" s="60">
        <f t="shared" si="150"/>
        <v>348.17941150148209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0.16392021671111012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0.16392021671111012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4.5474735088646412E-13</v>
      </c>
      <c r="O149" s="14">
        <f>N149*VLOOKUP('Données projet'!$B$9,Paramètres!$A$1:$I$89,3,0)*VLOOKUP('Données projet'!$B$9,Paramètres!$A$1:$I$89,5,0)</f>
        <v>4.1145540308207271E-13</v>
      </c>
      <c r="P149" s="14">
        <f t="shared" si="141"/>
        <v>5.2428527960910789E-12</v>
      </c>
      <c r="Q149" s="22">
        <f t="shared" si="108"/>
        <v>9.8479201135599071E-12</v>
      </c>
      <c r="R149" s="60">
        <f t="shared" si="109"/>
        <v>293.33333333334315</v>
      </c>
      <c r="S149" s="60">
        <f ca="1">AVERAGE(OFFSET($R$3,0,0,'Données projet'!$E$9+1,1))-AVERAGE(OFFSET($H$3,0,0,'Données projet'!$E$9+1,1))</f>
        <v>319.72731970820928</v>
      </c>
      <c r="T149" s="60">
        <f t="shared" si="142"/>
        <v>279.93992813630513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1.1527845344971866E-13</v>
      </c>
      <c r="AK149" s="14">
        <f t="shared" si="143"/>
        <v>1.7033846239409443E-12</v>
      </c>
      <c r="AL149" s="22">
        <f t="shared" si="112"/>
        <v>3.1675048597887374E-12</v>
      </c>
      <c r="AM149" s="60">
        <f t="shared" si="113"/>
        <v>293.3333333333365</v>
      </c>
      <c r="AN149" s="60">
        <f ca="1">AVERAGE(OFFSET($AM$3,0,0,'Données projet'!$E$10+1,1))-AVERAGE(OFFSET($H$3,0,0,'Données projet'!$E$10+1,1))</f>
        <v>505.64100207870439</v>
      </c>
      <c r="AO149" s="60">
        <f t="shared" si="144"/>
        <v>371.76229669709249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0.18100427678630227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0.18100427678630227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-2.8421709430404007E-13</v>
      </c>
      <c r="BE149" s="14">
        <f>BD149*VLOOKUP('Données projet'!$B$11,Paramètres!$A$1:$I$89,3,0)*VLOOKUP('Données projet'!$B$11,Paramètres!$A$1:$I$89,5,0)</f>
        <v>-2.2612312022829427E-13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353.26636241468884</v>
      </c>
      <c r="BJ149" s="60">
        <f t="shared" si="146"/>
        <v>345.4750813433123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0.24383312722683545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0.24383312722683545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2.8421709430404007E-13</v>
      </c>
      <c r="BZ149" s="14">
        <f>BY149*VLOOKUP('Données projet'!$B$12,Paramètres!$A$1:$I$89,3,0)*VLOOKUP('Données projet'!$B$12,Paramètres!$A$1:$I$89,5,0)</f>
        <v>1.9065282685915009E-13</v>
      </c>
      <c r="CA149" s="14">
        <f t="shared" si="147"/>
        <v>2.6568987209435707E-12</v>
      </c>
      <c r="CB149" s="22">
        <f t="shared" si="118"/>
        <v>4.959485612423072E-12</v>
      </c>
      <c r="CC149" s="60">
        <f t="shared" si="119"/>
        <v>293.33333333333826</v>
      </c>
      <c r="CD149" s="60">
        <f ca="1">AVERAGE(OFFSET($CC$3,0,0,'Données projet'!$E$12+1,1))-AVERAGE(OFFSET($H$3,0,0,'Données projet'!$E$12+1,1))</f>
        <v>362.1372269575329</v>
      </c>
      <c r="CE149" s="60">
        <f t="shared" si="148"/>
        <v>308.1559670593121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0.12278879240633568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0.12278879240633568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2.2737367544323206E-13</v>
      </c>
      <c r="CU149" s="18">
        <f>CT149*VLOOKUP('Données projet'!$B$13,Paramètres!$A$1:$I$89,3,0)*VLOOKUP('Données projet'!$B$13,Paramètres!$A$1:$I$89,5,0)</f>
        <v>2.4474502424709499E-13</v>
      </c>
      <c r="CV149" s="14">
        <f t="shared" si="149"/>
        <v>3.3129863113888576E-12</v>
      </c>
      <c r="CW149" s="22">
        <f t="shared" si="121"/>
        <v>6.1963820762326169E-12</v>
      </c>
      <c r="CX149" s="60">
        <f t="shared" si="122"/>
        <v>293.33333333333951</v>
      </c>
      <c r="CY149" s="60">
        <f ca="1">AVERAGE(OFFSET($CX$3,0,0,'Données projet'!$E$13+1,1))-AVERAGE(OFFSET($H$3,0,0,'Données projet'!$E$13+1,1))</f>
        <v>488.44916315274139</v>
      </c>
      <c r="CZ149" s="60">
        <f t="shared" si="150"/>
        <v>348.17941150148209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0.15943780976495525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0.15943780976495525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4.5474735088646412E-13</v>
      </c>
      <c r="O150" s="14">
        <f>N150*VLOOKUP('Données projet'!$B$9,Paramètres!$A$1:$I$89,3,0)*VLOOKUP('Données projet'!$B$9,Paramètres!$A$1:$I$89,5,0)</f>
        <v>4.1145540308207271E-13</v>
      </c>
      <c r="P150" s="14">
        <f t="shared" si="141"/>
        <v>5.2428527960910789E-12</v>
      </c>
      <c r="Q150" s="22">
        <f t="shared" si="108"/>
        <v>9.8479201135599071E-12</v>
      </c>
      <c r="R150" s="60">
        <f t="shared" si="109"/>
        <v>293.33333333334315</v>
      </c>
      <c r="S150" s="60">
        <f ca="1">AVERAGE(OFFSET($R$3,0,0,'Données projet'!$E$9+1,1))-AVERAGE(OFFSET($H$3,0,0,'Données projet'!$E$9+1,1))</f>
        <v>319.72731970820928</v>
      </c>
      <c r="T150" s="60">
        <f t="shared" si="142"/>
        <v>279.93992813630513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1.1527845344971866E-13</v>
      </c>
      <c r="AK150" s="14">
        <f t="shared" si="143"/>
        <v>1.7033846239409443E-12</v>
      </c>
      <c r="AL150" s="22">
        <f t="shared" si="112"/>
        <v>3.1675048597887374E-12</v>
      </c>
      <c r="AM150" s="60">
        <f t="shared" si="113"/>
        <v>293.3333333333365</v>
      </c>
      <c r="AN150" s="60">
        <f ca="1">AVERAGE(OFFSET($AM$3,0,0,'Données projet'!$E$10+1,1))-AVERAGE(OFFSET($H$3,0,0,'Données projet'!$E$10+1,1))</f>
        <v>505.64100207870439</v>
      </c>
      <c r="AO150" s="60">
        <f t="shared" si="144"/>
        <v>371.76229669709249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0.1760547053189796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0.1760547053189796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-2.8421709430404007E-13</v>
      </c>
      <c r="BE150" s="14">
        <f>BD150*VLOOKUP('Données projet'!$B$11,Paramètres!$A$1:$I$89,3,0)*VLOOKUP('Données projet'!$B$11,Paramètres!$A$1:$I$89,5,0)</f>
        <v>-2.2612312022829427E-13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353.26636241468884</v>
      </c>
      <c r="BJ150" s="60">
        <f t="shared" si="146"/>
        <v>345.4750813433123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0.23716549754019076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0.23716549754019076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2.8421709430404007E-13</v>
      </c>
      <c r="BZ150" s="14">
        <f>BY150*VLOOKUP('Données projet'!$B$12,Paramètres!$A$1:$I$89,3,0)*VLOOKUP('Données projet'!$B$12,Paramètres!$A$1:$I$89,5,0)</f>
        <v>1.9065282685915009E-13</v>
      </c>
      <c r="CA150" s="14">
        <f t="shared" si="147"/>
        <v>2.6568987209435707E-12</v>
      </c>
      <c r="CB150" s="22">
        <f t="shared" si="118"/>
        <v>4.959485612423072E-12</v>
      </c>
      <c r="CC150" s="60">
        <f t="shared" si="119"/>
        <v>293.33333333333826</v>
      </c>
      <c r="CD150" s="60">
        <f ca="1">AVERAGE(OFFSET($CC$3,0,0,'Données projet'!$E$12+1,1))-AVERAGE(OFFSET($H$3,0,0,'Données projet'!$E$12+1,1))</f>
        <v>362.1372269575329</v>
      </c>
      <c r="CE150" s="60">
        <f t="shared" si="148"/>
        <v>308.1559670593121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0.11943112642080247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0.11943112642080247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2.2737367544323206E-13</v>
      </c>
      <c r="CU150" s="18">
        <f>CT150*VLOOKUP('Données projet'!$B$13,Paramètres!$A$1:$I$89,3,0)*VLOOKUP('Données projet'!$B$13,Paramètres!$A$1:$I$89,5,0)</f>
        <v>2.4474502424709499E-13</v>
      </c>
      <c r="CV150" s="14">
        <f t="shared" si="149"/>
        <v>3.3129863113888576E-12</v>
      </c>
      <c r="CW150" s="22">
        <f t="shared" si="121"/>
        <v>6.1963820762326169E-12</v>
      </c>
      <c r="CX150" s="60">
        <f t="shared" si="122"/>
        <v>293.33333333333951</v>
      </c>
      <c r="CY150" s="60">
        <f ca="1">AVERAGE(OFFSET($CX$3,0,0,'Données projet'!$E$13+1,1))-AVERAGE(OFFSET($H$3,0,0,'Données projet'!$E$13+1,1))</f>
        <v>488.44916315274139</v>
      </c>
      <c r="CZ150" s="60">
        <f t="shared" si="150"/>
        <v>348.17941150148209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0.15507797447246255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0.15507797447246255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4.5474735088646412E-13</v>
      </c>
      <c r="O151" s="14">
        <f>N151*VLOOKUP('Données projet'!$B$9,Paramètres!$A$1:$I$89,3,0)*VLOOKUP('Données projet'!$B$9,Paramètres!$A$1:$I$89,5,0)</f>
        <v>4.1145540308207271E-13</v>
      </c>
      <c r="P151" s="14">
        <f t="shared" si="141"/>
        <v>5.2428527960910789E-12</v>
      </c>
      <c r="Q151" s="22">
        <f t="shared" si="108"/>
        <v>9.8479201135599071E-12</v>
      </c>
      <c r="R151" s="60">
        <f t="shared" si="109"/>
        <v>293.33333333334315</v>
      </c>
      <c r="S151" s="60">
        <f ca="1">AVERAGE(OFFSET($R$3,0,0,'Données projet'!$E$9+1,1))-AVERAGE(OFFSET($H$3,0,0,'Données projet'!$E$9+1,1))</f>
        <v>319.72731970820928</v>
      </c>
      <c r="T151" s="60">
        <f t="shared" si="142"/>
        <v>279.93992813630513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1.1527845344971866E-13</v>
      </c>
      <c r="AK151" s="14">
        <f t="shared" si="143"/>
        <v>1.7033846239409443E-12</v>
      </c>
      <c r="AL151" s="22">
        <f t="shared" si="112"/>
        <v>3.1675048597887374E-12</v>
      </c>
      <c r="AM151" s="60">
        <f t="shared" si="113"/>
        <v>293.3333333333365</v>
      </c>
      <c r="AN151" s="60">
        <f ca="1">AVERAGE(OFFSET($AM$3,0,0,'Données projet'!$E$10+1,1))-AVERAGE(OFFSET($H$3,0,0,'Données projet'!$E$10+1,1))</f>
        <v>505.64100207870439</v>
      </c>
      <c r="AO151" s="60">
        <f t="shared" si="144"/>
        <v>371.76229669709249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0.17124048014371754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0.17124048014371754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-2.8421709430404007E-13</v>
      </c>
      <c r="BE151" s="14">
        <f>BD151*VLOOKUP('Données projet'!$B$11,Paramètres!$A$1:$I$89,3,0)*VLOOKUP('Données projet'!$B$11,Paramètres!$A$1:$I$89,5,0)</f>
        <v>-2.2612312022829427E-13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353.26636241468884</v>
      </c>
      <c r="BJ151" s="60">
        <f t="shared" si="146"/>
        <v>345.4750813433123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0.23068019453796276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0.23068019453796276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2.8421709430404007E-13</v>
      </c>
      <c r="BZ151" s="14">
        <f>BY151*VLOOKUP('Données projet'!$B$12,Paramètres!$A$1:$I$89,3,0)*VLOOKUP('Données projet'!$B$12,Paramètres!$A$1:$I$89,5,0)</f>
        <v>1.9065282685915009E-13</v>
      </c>
      <c r="CA151" s="14">
        <f t="shared" si="147"/>
        <v>2.6568987209435707E-12</v>
      </c>
      <c r="CB151" s="22">
        <f t="shared" si="118"/>
        <v>4.959485612423072E-12</v>
      </c>
      <c r="CC151" s="60">
        <f t="shared" si="119"/>
        <v>293.33333333333826</v>
      </c>
      <c r="CD151" s="60">
        <f ca="1">AVERAGE(OFFSET($CC$3,0,0,'Données projet'!$E$12+1,1))-AVERAGE(OFFSET($H$3,0,0,'Données projet'!$E$12+1,1))</f>
        <v>362.1372269575329</v>
      </c>
      <c r="CE151" s="60">
        <f t="shared" si="148"/>
        <v>308.1559670593121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0.11616527598821566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0.11616527598821566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2.2737367544323206E-13</v>
      </c>
      <c r="CU151" s="18">
        <f>CT151*VLOOKUP('Données projet'!$B$13,Paramètres!$A$1:$I$89,3,0)*VLOOKUP('Données projet'!$B$13,Paramètres!$A$1:$I$89,5,0)</f>
        <v>2.4474502424709499E-13</v>
      </c>
      <c r="CV151" s="14">
        <f t="shared" si="149"/>
        <v>3.3129863113888576E-12</v>
      </c>
      <c r="CW151" s="22">
        <f t="shared" si="121"/>
        <v>6.1963820762326169E-12</v>
      </c>
      <c r="CX151" s="60">
        <f t="shared" si="122"/>
        <v>293.33333333333951</v>
      </c>
      <c r="CY151" s="60">
        <f ca="1">AVERAGE(OFFSET($CX$3,0,0,'Données projet'!$E$13+1,1))-AVERAGE(OFFSET($H$3,0,0,'Données projet'!$E$13+1,1))</f>
        <v>488.44916315274139</v>
      </c>
      <c r="CZ151" s="60">
        <f t="shared" si="150"/>
        <v>348.17941150148209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0.15083735910531682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0.15083735910531682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4.5474735088646412E-13</v>
      </c>
      <c r="O152" s="14">
        <f>N152*VLOOKUP('Données projet'!$B$9,Paramètres!$A$1:$I$89,3,0)*VLOOKUP('Données projet'!$B$9,Paramètres!$A$1:$I$89,5,0)</f>
        <v>4.1145540308207271E-13</v>
      </c>
      <c r="P152" s="14">
        <f t="shared" si="141"/>
        <v>5.2428527960910789E-12</v>
      </c>
      <c r="Q152" s="22">
        <f t="shared" si="108"/>
        <v>9.8479201135599071E-12</v>
      </c>
      <c r="R152" s="60">
        <f t="shared" si="109"/>
        <v>293.33333333334315</v>
      </c>
      <c r="S152" s="60">
        <f ca="1">AVERAGE(OFFSET($R$3,0,0,'Données projet'!$E$9+1,1))-AVERAGE(OFFSET($H$3,0,0,'Données projet'!$E$9+1,1))</f>
        <v>319.72731970820928</v>
      </c>
      <c r="T152" s="60">
        <f t="shared" si="142"/>
        <v>279.93992813630513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1.1527845344971866E-13</v>
      </c>
      <c r="AK152" s="14">
        <f t="shared" si="143"/>
        <v>1.7033846239409443E-12</v>
      </c>
      <c r="AL152" s="22">
        <f t="shared" si="112"/>
        <v>3.1675048597887374E-12</v>
      </c>
      <c r="AM152" s="60">
        <f t="shared" si="113"/>
        <v>293.3333333333365</v>
      </c>
      <c r="AN152" s="60">
        <f ca="1">AVERAGE(OFFSET($AM$3,0,0,'Données projet'!$E$10+1,1))-AVERAGE(OFFSET($H$3,0,0,'Données projet'!$E$10+1,1))</f>
        <v>505.64100207870439</v>
      </c>
      <c r="AO152" s="60">
        <f t="shared" si="144"/>
        <v>371.76229669709249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0.1665579002090421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0.1665579002090421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-2.8421709430404007E-13</v>
      </c>
      <c r="BE152" s="14">
        <f>BD152*VLOOKUP('Données projet'!$B$11,Paramètres!$A$1:$I$89,3,0)*VLOOKUP('Données projet'!$B$11,Paramètres!$A$1:$I$89,5,0)</f>
        <v>-2.2612312022829427E-13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353.26636241468884</v>
      </c>
      <c r="BJ152" s="60">
        <f t="shared" si="146"/>
        <v>345.4750813433123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0.22437223248737798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0.22437223248737798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2.8421709430404007E-13</v>
      </c>
      <c r="BZ152" s="14">
        <f>BY152*VLOOKUP('Données projet'!$B$12,Paramètres!$A$1:$I$89,3,0)*VLOOKUP('Données projet'!$B$12,Paramètres!$A$1:$I$89,5,0)</f>
        <v>1.9065282685915009E-13</v>
      </c>
      <c r="CA152" s="14">
        <f t="shared" si="147"/>
        <v>2.6568987209435707E-12</v>
      </c>
      <c r="CB152" s="22">
        <f t="shared" si="118"/>
        <v>4.959485612423072E-12</v>
      </c>
      <c r="CC152" s="60">
        <f t="shared" si="119"/>
        <v>293.33333333333826</v>
      </c>
      <c r="CD152" s="60">
        <f ca="1">AVERAGE(OFFSET($CC$3,0,0,'Données projet'!$E$12+1,1))-AVERAGE(OFFSET($H$3,0,0,'Données projet'!$E$12+1,1))</f>
        <v>362.1372269575329</v>
      </c>
      <c r="CE152" s="60">
        <f t="shared" si="148"/>
        <v>308.1559670593121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0.11298873040745154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0.11298873040745154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2.2737367544323206E-13</v>
      </c>
      <c r="CU152" s="18">
        <f>CT152*VLOOKUP('Données projet'!$B$13,Paramètres!$A$1:$I$89,3,0)*VLOOKUP('Données projet'!$B$13,Paramètres!$A$1:$I$89,5,0)</f>
        <v>2.4474502424709499E-13</v>
      </c>
      <c r="CV152" s="14">
        <f t="shared" si="149"/>
        <v>3.3129863113888576E-12</v>
      </c>
      <c r="CW152" s="22">
        <f t="shared" si="121"/>
        <v>6.1963820762326169E-12</v>
      </c>
      <c r="CX152" s="60">
        <f t="shared" si="122"/>
        <v>293.33333333333951</v>
      </c>
      <c r="CY152" s="60">
        <f ca="1">AVERAGE(OFFSET($CX$3,0,0,'Données projet'!$E$13+1,1))-AVERAGE(OFFSET($H$3,0,0,'Données projet'!$E$13+1,1))</f>
        <v>488.44916315274139</v>
      </c>
      <c r="CZ152" s="60">
        <f t="shared" si="150"/>
        <v>348.17941150148209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0.14671270358838995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0.14671270358838995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4.5474735088646412E-13</v>
      </c>
      <c r="O153" s="14">
        <f>N153*VLOOKUP('Données projet'!$B$9,Paramètres!$A$1:$I$89,3,0)*VLOOKUP('Données projet'!$B$9,Paramètres!$A$1:$I$89,5,0)</f>
        <v>4.1145540308207271E-13</v>
      </c>
      <c r="P153" s="14">
        <f t="shared" si="141"/>
        <v>5.2428527960910789E-12</v>
      </c>
      <c r="Q153" s="22">
        <f t="shared" si="108"/>
        <v>9.8479201135599071E-12</v>
      </c>
      <c r="R153" s="60">
        <f t="shared" si="109"/>
        <v>293.33333333334315</v>
      </c>
      <c r="S153" s="60">
        <f ca="1">AVERAGE(OFFSET($R$3,0,0,'Données projet'!$E$9+1,1))-AVERAGE(OFFSET($H$3,0,0,'Données projet'!$E$9+1,1))</f>
        <v>319.72731970820928</v>
      </c>
      <c r="T153" s="60">
        <f t="shared" si="142"/>
        <v>279.93992813630513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1.1527845344971866E-13</v>
      </c>
      <c r="AK153" s="14">
        <f t="shared" si="143"/>
        <v>1.7033846239409443E-12</v>
      </c>
      <c r="AL153" s="22">
        <f t="shared" si="112"/>
        <v>3.1675048597887374E-12</v>
      </c>
      <c r="AM153" s="60">
        <f t="shared" si="113"/>
        <v>293.3333333333365</v>
      </c>
      <c r="AN153" s="60">
        <f ca="1">AVERAGE(OFFSET($AM$3,0,0,'Données projet'!$E$10+1,1))-AVERAGE(OFFSET($H$3,0,0,'Données projet'!$E$10+1,1))</f>
        <v>505.64100207870439</v>
      </c>
      <c r="AO153" s="60">
        <f t="shared" si="144"/>
        <v>371.76229669709249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0.16200336566892654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0.16200336566892654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-2.8421709430404007E-13</v>
      </c>
      <c r="BE153" s="14">
        <f>BD153*VLOOKUP('Données projet'!$B$11,Paramètres!$A$1:$I$89,3,0)*VLOOKUP('Données projet'!$B$11,Paramètres!$A$1:$I$89,5,0)</f>
        <v>-2.2612312022829427E-13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353.26636241468884</v>
      </c>
      <c r="BJ153" s="60">
        <f t="shared" si="146"/>
        <v>345.4750813433123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0.21823676199078773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0.21823676199078773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2.8421709430404007E-13</v>
      </c>
      <c r="BZ153" s="14">
        <f>BY153*VLOOKUP('Données projet'!$B$12,Paramètres!$A$1:$I$89,3,0)*VLOOKUP('Données projet'!$B$12,Paramètres!$A$1:$I$89,5,0)</f>
        <v>1.9065282685915009E-13</v>
      </c>
      <c r="CA153" s="14">
        <f t="shared" si="147"/>
        <v>2.6568987209435707E-12</v>
      </c>
      <c r="CB153" s="22">
        <f t="shared" si="118"/>
        <v>4.959485612423072E-12</v>
      </c>
      <c r="CC153" s="60">
        <f t="shared" si="119"/>
        <v>293.33333333333826</v>
      </c>
      <c r="CD153" s="60">
        <f ca="1">AVERAGE(OFFSET($CC$3,0,0,'Données projet'!$E$12+1,1))-AVERAGE(OFFSET($H$3,0,0,'Données projet'!$E$12+1,1))</f>
        <v>362.1372269575329</v>
      </c>
      <c r="CE153" s="60">
        <f t="shared" si="148"/>
        <v>308.1559670593121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0.10989904763264069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0.10989904763264069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2.2737367544323206E-13</v>
      </c>
      <c r="CU153" s="18">
        <f>CT153*VLOOKUP('Données projet'!$B$13,Paramètres!$A$1:$I$89,3,0)*VLOOKUP('Données projet'!$B$13,Paramètres!$A$1:$I$89,5,0)</f>
        <v>2.4474502424709499E-13</v>
      </c>
      <c r="CV153" s="14">
        <f t="shared" si="149"/>
        <v>3.3129863113888576E-12</v>
      </c>
      <c r="CW153" s="22">
        <f t="shared" si="121"/>
        <v>6.1963820762326169E-12</v>
      </c>
      <c r="CX153" s="60">
        <f t="shared" si="122"/>
        <v>293.33333333333951</v>
      </c>
      <c r="CY153" s="60">
        <f ca="1">AVERAGE(OFFSET($CX$3,0,0,'Données projet'!$E$13+1,1))-AVERAGE(OFFSET($H$3,0,0,'Données projet'!$E$13+1,1))</f>
        <v>488.44916315274139</v>
      </c>
      <c r="CZ153" s="60">
        <f t="shared" si="150"/>
        <v>348.17941150148209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0.14270083699347966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0.14270083699347966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4.5474735088646412E-13</v>
      </c>
      <c r="O154" s="14">
        <f>N154*VLOOKUP('Données projet'!$B$9,Paramètres!$A$1:$I$89,3,0)*VLOOKUP('Données projet'!$B$9,Paramètres!$A$1:$I$89,5,0)</f>
        <v>4.1145540308207271E-13</v>
      </c>
      <c r="P154" s="14">
        <f t="shared" si="141"/>
        <v>5.2428527960910789E-12</v>
      </c>
      <c r="Q154" s="22">
        <f t="shared" ref="Q154:Q203" si="162">(O154+P154)*0.475*44/12</f>
        <v>9.8479201135599071E-12</v>
      </c>
      <c r="R154" s="60">
        <f t="shared" si="109"/>
        <v>293.33333333334315</v>
      </c>
      <c r="S154" s="60">
        <f ca="1">AVERAGE(OFFSET($R$3,0,0,'Données projet'!$E$9+1,1))-AVERAGE(OFFSET($H$3,0,0,'Données projet'!$E$9+1,1))</f>
        <v>319.72731970820928</v>
      </c>
      <c r="T154" s="60">
        <f t="shared" si="142"/>
        <v>279.93992813630513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1.1527845344971866E-13</v>
      </c>
      <c r="AK154" s="14">
        <f t="shared" ref="AK154:AK203" si="164">EXP(-1.0587+0.8836*LN(AJ154)+0.284)</f>
        <v>1.7033846239409443E-12</v>
      </c>
      <c r="AL154" s="22">
        <f t="shared" ref="AL154:AL203" si="165">(AJ154+AK154)*0.475*44/12</f>
        <v>3.1675048597887374E-12</v>
      </c>
      <c r="AM154" s="60">
        <f t="shared" si="113"/>
        <v>293.3333333333365</v>
      </c>
      <c r="AN154" s="60">
        <f ca="1">AVERAGE(OFFSET($AM$3,0,0,'Données projet'!$E$10+1,1))-AVERAGE(OFFSET($H$3,0,0,'Données projet'!$E$10+1,1))</f>
        <v>505.64100207870439</v>
      </c>
      <c r="AO154" s="60">
        <f t="shared" si="144"/>
        <v>371.76229669709249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0.15757337511532299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0.15757337511532299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-2.8421709430404007E-13</v>
      </c>
      <c r="BE154" s="14">
        <f>BD154*VLOOKUP('Données projet'!$B$11,Paramètres!$A$1:$I$89,3,0)*VLOOKUP('Données projet'!$B$11,Paramètres!$A$1:$I$89,5,0)</f>
        <v>-2.2612312022829427E-13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353.26636241468884</v>
      </c>
      <c r="BJ154" s="60">
        <f t="shared" si="146"/>
        <v>345.4750813433123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0.2122690662575771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0.2122690662575771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2.8421709430404007E-13</v>
      </c>
      <c r="BZ154" s="14">
        <f>BY154*VLOOKUP('Données projet'!$B$12,Paramètres!$A$1:$I$89,3,0)*VLOOKUP('Données projet'!$B$12,Paramètres!$A$1:$I$89,5,0)</f>
        <v>1.9065282685915009E-13</v>
      </c>
      <c r="CA154" s="14">
        <f t="shared" ref="CA154:CA203" si="170">EXP(-1.0587+0.8836*LN(BZ154)+0.284)</f>
        <v>2.6568987209435707E-12</v>
      </c>
      <c r="CB154" s="22">
        <f t="shared" ref="CB154:CB203" si="171">(BZ154+CA154)*0.475*44/12</f>
        <v>4.959485612423072E-12</v>
      </c>
      <c r="CC154" s="60">
        <f t="shared" si="119"/>
        <v>293.33333333333826</v>
      </c>
      <c r="CD154" s="60">
        <f ca="1">AVERAGE(OFFSET($CC$3,0,0,'Données projet'!$E$12+1,1))-AVERAGE(OFFSET($H$3,0,0,'Données projet'!$E$12+1,1))</f>
        <v>362.1372269575329</v>
      </c>
      <c r="CE154" s="60">
        <f t="shared" si="148"/>
        <v>308.1559670593121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0.10689385239578639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0.10689385239578639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2.2737367544323206E-13</v>
      </c>
      <c r="CU154" s="18">
        <f>CT154*VLOOKUP('Données projet'!$B$13,Paramètres!$A$1:$I$89,3,0)*VLOOKUP('Données projet'!$B$13,Paramètres!$A$1:$I$89,5,0)</f>
        <v>2.4474502424709499E-13</v>
      </c>
      <c r="CV154" s="14">
        <f t="shared" ref="CV154:CV203" si="173">EXP(-1.0587+0.8836*LN(CU154)+0.284)</f>
        <v>3.3129863113888576E-12</v>
      </c>
      <c r="CW154" s="22">
        <f t="shared" ref="CW154:CW203" si="174">(CU154+CV154)*0.475*44/12</f>
        <v>6.1963820762326169E-12</v>
      </c>
      <c r="CX154" s="60">
        <f t="shared" si="122"/>
        <v>293.33333333333951</v>
      </c>
      <c r="CY154" s="60">
        <f ca="1">AVERAGE(OFFSET($CX$3,0,0,'Données projet'!$E$13+1,1))-AVERAGE(OFFSET($H$3,0,0,'Données projet'!$E$13+1,1))</f>
        <v>488.44916315274139</v>
      </c>
      <c r="CZ154" s="60">
        <f t="shared" si="150"/>
        <v>348.17941150148209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0.13879867510158209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0.13879867510158209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4.5474735088646412E-13</v>
      </c>
      <c r="O155" s="14">
        <f>N155*VLOOKUP('Données projet'!$B$9,Paramètres!$A$1:$I$89,3,0)*VLOOKUP('Données projet'!$B$9,Paramètres!$A$1:$I$89,5,0)</f>
        <v>4.1145540308207271E-13</v>
      </c>
      <c r="P155" s="14">
        <f t="shared" si="141"/>
        <v>5.2428527960910789E-12</v>
      </c>
      <c r="Q155" s="22">
        <f t="shared" si="162"/>
        <v>9.8479201135599071E-12</v>
      </c>
      <c r="R155" s="60">
        <f t="shared" si="109"/>
        <v>293.33333333334315</v>
      </c>
      <c r="S155" s="60">
        <f ca="1">AVERAGE(OFFSET($R$3,0,0,'Données projet'!$E$9+1,1))-AVERAGE(OFFSET($H$3,0,0,'Données projet'!$E$9+1,1))</f>
        <v>319.72731970820928</v>
      </c>
      <c r="T155" s="60">
        <f t="shared" si="142"/>
        <v>279.93992813630513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1.1527845344971866E-13</v>
      </c>
      <c r="AK155" s="14">
        <f t="shared" si="164"/>
        <v>1.7033846239409443E-12</v>
      </c>
      <c r="AL155" s="22">
        <f t="shared" si="165"/>
        <v>3.1675048597887374E-12</v>
      </c>
      <c r="AM155" s="60">
        <f t="shared" si="113"/>
        <v>293.3333333333365</v>
      </c>
      <c r="AN155" s="60">
        <f ca="1">AVERAGE(OFFSET($AM$3,0,0,'Données projet'!$E$10+1,1))-AVERAGE(OFFSET($H$3,0,0,'Données projet'!$E$10+1,1))</f>
        <v>505.64100207870439</v>
      </c>
      <c r="AO155" s="60">
        <f t="shared" si="144"/>
        <v>371.76229669709249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0.15326452288637082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0.15326452288637082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-2.8421709430404007E-13</v>
      </c>
      <c r="BE155" s="14">
        <f>BD155*VLOOKUP('Données projet'!$B$11,Paramètres!$A$1:$I$89,3,0)*VLOOKUP('Données projet'!$B$11,Paramètres!$A$1:$I$89,5,0)</f>
        <v>-2.2612312022829427E-13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353.26636241468884</v>
      </c>
      <c r="BJ155" s="60">
        <f t="shared" si="146"/>
        <v>345.4750813433123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0.20646455747801862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0.20646455747801862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2.8421709430404007E-13</v>
      </c>
      <c r="BZ155" s="14">
        <f>BY155*VLOOKUP('Données projet'!$B$12,Paramètres!$A$1:$I$89,3,0)*VLOOKUP('Données projet'!$B$12,Paramètres!$A$1:$I$89,5,0)</f>
        <v>1.9065282685915009E-13</v>
      </c>
      <c r="CA155" s="14">
        <f t="shared" si="170"/>
        <v>2.6568987209435707E-12</v>
      </c>
      <c r="CB155" s="22">
        <f t="shared" si="171"/>
        <v>4.959485612423072E-12</v>
      </c>
      <c r="CC155" s="60">
        <f t="shared" si="119"/>
        <v>293.33333333333826</v>
      </c>
      <c r="CD155" s="60">
        <f ca="1">AVERAGE(OFFSET($CC$3,0,0,'Données projet'!$E$12+1,1))-AVERAGE(OFFSET($H$3,0,0,'Données projet'!$E$12+1,1))</f>
        <v>362.1372269575329</v>
      </c>
      <c r="CE155" s="60">
        <f t="shared" si="148"/>
        <v>308.1559670593121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0.10397083438072022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0.10397083438072022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2.2737367544323206E-13</v>
      </c>
      <c r="CU155" s="18">
        <f>CT155*VLOOKUP('Données projet'!$B$13,Paramètres!$A$1:$I$89,3,0)*VLOOKUP('Données projet'!$B$13,Paramètres!$A$1:$I$89,5,0)</f>
        <v>2.4474502424709499E-13</v>
      </c>
      <c r="CV155" s="14">
        <f t="shared" si="173"/>
        <v>3.3129863113888576E-12</v>
      </c>
      <c r="CW155" s="22">
        <f t="shared" si="174"/>
        <v>6.1963820762326169E-12</v>
      </c>
      <c r="CX155" s="60">
        <f t="shared" si="122"/>
        <v>293.33333333333951</v>
      </c>
      <c r="CY155" s="60">
        <f ca="1">AVERAGE(OFFSET($CX$3,0,0,'Données projet'!$E$13+1,1))-AVERAGE(OFFSET($H$3,0,0,'Données projet'!$E$13+1,1))</f>
        <v>488.44916315274139</v>
      </c>
      <c r="CZ155" s="60">
        <f t="shared" si="150"/>
        <v>348.17941150148209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0.13500321803182422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0.13500321803182422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4.5474735088646412E-13</v>
      </c>
      <c r="O156" s="14">
        <f>N156*VLOOKUP('Données projet'!$B$9,Paramètres!$A$1:$I$89,3,0)*VLOOKUP('Données projet'!$B$9,Paramètres!$A$1:$I$89,5,0)</f>
        <v>4.1145540308207271E-13</v>
      </c>
      <c r="P156" s="14">
        <f t="shared" si="141"/>
        <v>5.2428527960910789E-12</v>
      </c>
      <c r="Q156" s="22">
        <f t="shared" si="162"/>
        <v>9.8479201135599071E-12</v>
      </c>
      <c r="R156" s="60">
        <f t="shared" si="109"/>
        <v>293.33333333334315</v>
      </c>
      <c r="S156" s="60">
        <f ca="1">AVERAGE(OFFSET($R$3,0,0,'Données projet'!$E$9+1,1))-AVERAGE(OFFSET($H$3,0,0,'Données projet'!$E$9+1,1))</f>
        <v>319.72731970820928</v>
      </c>
      <c r="T156" s="60">
        <f t="shared" si="142"/>
        <v>279.93992813630513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1.1527845344971866E-13</v>
      </c>
      <c r="AK156" s="14">
        <f t="shared" si="164"/>
        <v>1.7033846239409443E-12</v>
      </c>
      <c r="AL156" s="22">
        <f t="shared" si="165"/>
        <v>3.1675048597887374E-12</v>
      </c>
      <c r="AM156" s="60">
        <f t="shared" si="113"/>
        <v>293.3333333333365</v>
      </c>
      <c r="AN156" s="60">
        <f ca="1">AVERAGE(OFFSET($AM$3,0,0,'Données projet'!$E$10+1,1))-AVERAGE(OFFSET($H$3,0,0,'Données projet'!$E$10+1,1))</f>
        <v>505.64100207870439</v>
      </c>
      <c r="AO156" s="60">
        <f t="shared" si="144"/>
        <v>371.76229669709249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0.14907349644821205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0.14907349644821205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-2.8421709430404007E-13</v>
      </c>
      <c r="BE156" s="14">
        <f>BD156*VLOOKUP('Données projet'!$B$11,Paramètres!$A$1:$I$89,3,0)*VLOOKUP('Données projet'!$B$11,Paramètres!$A$1:$I$89,5,0)</f>
        <v>-2.2612312022829427E-13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353.26636241468884</v>
      </c>
      <c r="BJ156" s="60">
        <f t="shared" si="146"/>
        <v>345.4750813433123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0.200818773296283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0.200818773296283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2.8421709430404007E-13</v>
      </c>
      <c r="BZ156" s="14">
        <f>BY156*VLOOKUP('Données projet'!$B$12,Paramètres!$A$1:$I$89,3,0)*VLOOKUP('Données projet'!$B$12,Paramètres!$A$1:$I$89,5,0)</f>
        <v>1.9065282685915009E-13</v>
      </c>
      <c r="CA156" s="14">
        <f t="shared" si="170"/>
        <v>2.6568987209435707E-12</v>
      </c>
      <c r="CB156" s="22">
        <f t="shared" si="171"/>
        <v>4.959485612423072E-12</v>
      </c>
      <c r="CC156" s="60">
        <f t="shared" si="119"/>
        <v>293.33333333333826</v>
      </c>
      <c r="CD156" s="60">
        <f ca="1">AVERAGE(OFFSET($CC$3,0,0,'Données projet'!$E$12+1,1))-AVERAGE(OFFSET($H$3,0,0,'Données projet'!$E$12+1,1))</f>
        <v>362.1372269575329</v>
      </c>
      <c r="CE156" s="60">
        <f t="shared" si="148"/>
        <v>308.1559670593121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0.10112774644699087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0.10112774644699087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2.2737367544323206E-13</v>
      </c>
      <c r="CU156" s="18">
        <f>CT156*VLOOKUP('Données projet'!$B$13,Paramètres!$A$1:$I$89,3,0)*VLOOKUP('Données projet'!$B$13,Paramètres!$A$1:$I$89,5,0)</f>
        <v>2.4474502424709499E-13</v>
      </c>
      <c r="CV156" s="14">
        <f t="shared" si="173"/>
        <v>3.3129863113888576E-12</v>
      </c>
      <c r="CW156" s="22">
        <f t="shared" si="174"/>
        <v>6.1963820762326169E-12</v>
      </c>
      <c r="CX156" s="60">
        <f t="shared" si="122"/>
        <v>293.33333333333951</v>
      </c>
      <c r="CY156" s="60">
        <f ca="1">AVERAGE(OFFSET($CX$3,0,0,'Données projet'!$E$13+1,1))-AVERAGE(OFFSET($H$3,0,0,'Données projet'!$E$13+1,1))</f>
        <v>488.44916315274139</v>
      </c>
      <c r="CZ156" s="60">
        <f t="shared" si="150"/>
        <v>348.17941150148209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0.13131154793523331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0.13131154793523331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4.5474735088646412E-13</v>
      </c>
      <c r="O157" s="14">
        <f>N157*VLOOKUP('Données projet'!$B$9,Paramètres!$A$1:$I$89,3,0)*VLOOKUP('Données projet'!$B$9,Paramètres!$A$1:$I$89,5,0)</f>
        <v>4.1145540308207271E-13</v>
      </c>
      <c r="P157" s="14">
        <f t="shared" si="141"/>
        <v>5.2428527960910789E-12</v>
      </c>
      <c r="Q157" s="22">
        <f t="shared" si="162"/>
        <v>9.8479201135599071E-12</v>
      </c>
      <c r="R157" s="60">
        <f t="shared" si="109"/>
        <v>293.33333333334315</v>
      </c>
      <c r="S157" s="60">
        <f ca="1">AVERAGE(OFFSET($R$3,0,0,'Données projet'!$E$9+1,1))-AVERAGE(OFFSET($H$3,0,0,'Données projet'!$E$9+1,1))</f>
        <v>319.72731970820928</v>
      </c>
      <c r="T157" s="60">
        <f t="shared" si="142"/>
        <v>279.93992813630513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1.1527845344971866E-13</v>
      </c>
      <c r="AK157" s="14">
        <f t="shared" si="164"/>
        <v>1.7033846239409443E-12</v>
      </c>
      <c r="AL157" s="22">
        <f t="shared" si="165"/>
        <v>3.1675048597887374E-12</v>
      </c>
      <c r="AM157" s="60">
        <f t="shared" si="113"/>
        <v>293.3333333333365</v>
      </c>
      <c r="AN157" s="60">
        <f ca="1">AVERAGE(OFFSET($AM$3,0,0,'Données projet'!$E$10+1,1))-AVERAGE(OFFSET($H$3,0,0,'Données projet'!$E$10+1,1))</f>
        <v>505.64100207870439</v>
      </c>
      <c r="AO157" s="60">
        <f t="shared" si="144"/>
        <v>371.76229669709249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0.14499707384840121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0.14499707384840121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-2.8421709430404007E-13</v>
      </c>
      <c r="BE157" s="14">
        <f>BD157*VLOOKUP('Données projet'!$B$11,Paramètres!$A$1:$I$89,3,0)*VLOOKUP('Données projet'!$B$11,Paramètres!$A$1:$I$89,5,0)</f>
        <v>-2.2612312022829427E-13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353.26636241468884</v>
      </c>
      <c r="BJ157" s="60">
        <f t="shared" si="146"/>
        <v>345.4750813433123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0.19532737337989584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0.19532737337989584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2.8421709430404007E-13</v>
      </c>
      <c r="BZ157" s="14">
        <f>BY157*VLOOKUP('Données projet'!$B$12,Paramètres!$A$1:$I$89,3,0)*VLOOKUP('Données projet'!$B$12,Paramètres!$A$1:$I$89,5,0)</f>
        <v>1.9065282685915009E-13</v>
      </c>
      <c r="CA157" s="14">
        <f t="shared" si="170"/>
        <v>2.6568987209435707E-12</v>
      </c>
      <c r="CB157" s="22">
        <f t="shared" si="171"/>
        <v>4.959485612423072E-12</v>
      </c>
      <c r="CC157" s="60">
        <f t="shared" si="119"/>
        <v>293.33333333333826</v>
      </c>
      <c r="CD157" s="60">
        <f ca="1">AVERAGE(OFFSET($CC$3,0,0,'Données projet'!$E$12+1,1))-AVERAGE(OFFSET($H$3,0,0,'Données projet'!$E$12+1,1))</f>
        <v>362.1372269575329</v>
      </c>
      <c r="CE157" s="60">
        <f t="shared" si="148"/>
        <v>308.1559670593121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9.8362402902320845E-2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9.8362402902320845E-2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2.2737367544323206E-13</v>
      </c>
      <c r="CU157" s="18">
        <f>CT157*VLOOKUP('Données projet'!$B$13,Paramètres!$A$1:$I$89,3,0)*VLOOKUP('Données projet'!$B$13,Paramètres!$A$1:$I$89,5,0)</f>
        <v>2.4474502424709499E-13</v>
      </c>
      <c r="CV157" s="14">
        <f t="shared" si="173"/>
        <v>3.3129863113888576E-12</v>
      </c>
      <c r="CW157" s="22">
        <f t="shared" si="174"/>
        <v>6.1963820762326169E-12</v>
      </c>
      <c r="CX157" s="60">
        <f t="shared" si="122"/>
        <v>293.33333333333951</v>
      </c>
      <c r="CY157" s="60">
        <f ca="1">AVERAGE(OFFSET($CX$3,0,0,'Données projet'!$E$13+1,1))-AVERAGE(OFFSET($H$3,0,0,'Données projet'!$E$13+1,1))</f>
        <v>488.44916315274139</v>
      </c>
      <c r="CZ157" s="60">
        <f t="shared" si="150"/>
        <v>348.17941150148209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0.12772082675157018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0.12772082675157018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4.5474735088646412E-13</v>
      </c>
      <c r="O158" s="14">
        <f>N158*VLOOKUP('Données projet'!$B$9,Paramètres!$A$1:$I$89,3,0)*VLOOKUP('Données projet'!$B$9,Paramètres!$A$1:$I$89,5,0)</f>
        <v>4.1145540308207271E-13</v>
      </c>
      <c r="P158" s="14">
        <f t="shared" si="141"/>
        <v>5.2428527960910789E-12</v>
      </c>
      <c r="Q158" s="22">
        <f t="shared" si="162"/>
        <v>9.8479201135599071E-12</v>
      </c>
      <c r="R158" s="60">
        <f t="shared" si="109"/>
        <v>293.33333333334315</v>
      </c>
      <c r="S158" s="60">
        <f ca="1">AVERAGE(OFFSET($R$3,0,0,'Données projet'!$E$9+1,1))-AVERAGE(OFFSET($H$3,0,0,'Données projet'!$E$9+1,1))</f>
        <v>319.72731970820928</v>
      </c>
      <c r="T158" s="60">
        <f t="shared" si="142"/>
        <v>279.93992813630513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1.1527845344971866E-13</v>
      </c>
      <c r="AK158" s="14">
        <f t="shared" si="164"/>
        <v>1.7033846239409443E-12</v>
      </c>
      <c r="AL158" s="22">
        <f t="shared" si="165"/>
        <v>3.1675048597887374E-12</v>
      </c>
      <c r="AM158" s="60">
        <f t="shared" si="113"/>
        <v>293.3333333333365</v>
      </c>
      <c r="AN158" s="60">
        <f ca="1">AVERAGE(OFFSET($AM$3,0,0,'Données projet'!$E$10+1,1))-AVERAGE(OFFSET($H$3,0,0,'Données projet'!$E$10+1,1))</f>
        <v>505.64100207870439</v>
      </c>
      <c r="AO158" s="60">
        <f t="shared" si="144"/>
        <v>371.76229669709249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0.14103212123895195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0.14103212123895195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-2.8421709430404007E-13</v>
      </c>
      <c r="BE158" s="14">
        <f>BD158*VLOOKUP('Données projet'!$B$11,Paramètres!$A$1:$I$89,3,0)*VLOOKUP('Données projet'!$B$11,Paramètres!$A$1:$I$89,5,0)</f>
        <v>-2.2612312022829427E-13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353.26636241468884</v>
      </c>
      <c r="BJ158" s="60">
        <f t="shared" si="146"/>
        <v>345.4750813433123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0.18998613608300244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0.18998613608300244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2.8421709430404007E-13</v>
      </c>
      <c r="BZ158" s="14">
        <f>BY158*VLOOKUP('Données projet'!$B$12,Paramètres!$A$1:$I$89,3,0)*VLOOKUP('Données projet'!$B$12,Paramètres!$A$1:$I$89,5,0)</f>
        <v>1.9065282685915009E-13</v>
      </c>
      <c r="CA158" s="14">
        <f t="shared" si="170"/>
        <v>2.6568987209435707E-12</v>
      </c>
      <c r="CB158" s="22">
        <f t="shared" si="171"/>
        <v>4.959485612423072E-12</v>
      </c>
      <c r="CC158" s="60">
        <f t="shared" si="119"/>
        <v>293.33333333333826</v>
      </c>
      <c r="CD158" s="60">
        <f ca="1">AVERAGE(OFFSET($CC$3,0,0,'Données projet'!$E$12+1,1))-AVERAGE(OFFSET($H$3,0,0,'Données projet'!$E$12+1,1))</f>
        <v>362.1372269575329</v>
      </c>
      <c r="CE158" s="60">
        <f t="shared" si="148"/>
        <v>308.1559670593121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9.5672677822302918E-2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9.5672677822302918E-2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2.2737367544323206E-13</v>
      </c>
      <c r="CU158" s="18">
        <f>CT158*VLOOKUP('Données projet'!$B$13,Paramètres!$A$1:$I$89,3,0)*VLOOKUP('Données projet'!$B$13,Paramètres!$A$1:$I$89,5,0)</f>
        <v>2.4474502424709499E-13</v>
      </c>
      <c r="CV158" s="14">
        <f t="shared" si="173"/>
        <v>3.3129863113888576E-12</v>
      </c>
      <c r="CW158" s="22">
        <f t="shared" si="174"/>
        <v>6.1963820762326169E-12</v>
      </c>
      <c r="CX158" s="60">
        <f t="shared" si="122"/>
        <v>293.33333333333951</v>
      </c>
      <c r="CY158" s="60">
        <f ca="1">AVERAGE(OFFSET($CX$3,0,0,'Données projet'!$E$13+1,1))-AVERAGE(OFFSET($H$3,0,0,'Données projet'!$E$13+1,1))</f>
        <v>488.44916315274139</v>
      </c>
      <c r="CZ158" s="60">
        <f t="shared" si="150"/>
        <v>348.17941150148209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0.12422829402750211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0.12422829402750211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4.5474735088646412E-13</v>
      </c>
      <c r="O159" s="14">
        <f>N159*VLOOKUP('Données projet'!$B$9,Paramètres!$A$1:$I$89,3,0)*VLOOKUP('Données projet'!$B$9,Paramètres!$A$1:$I$89,5,0)</f>
        <v>4.1145540308207271E-13</v>
      </c>
      <c r="P159" s="14">
        <f t="shared" si="141"/>
        <v>5.2428527960910789E-12</v>
      </c>
      <c r="Q159" s="22">
        <f t="shared" si="162"/>
        <v>9.8479201135599071E-12</v>
      </c>
      <c r="R159" s="60">
        <f t="shared" si="109"/>
        <v>293.33333333334315</v>
      </c>
      <c r="S159" s="60">
        <f ca="1">AVERAGE(OFFSET($R$3,0,0,'Données projet'!$E$9+1,1))-AVERAGE(OFFSET($H$3,0,0,'Données projet'!$E$9+1,1))</f>
        <v>319.72731970820928</v>
      </c>
      <c r="T159" s="60">
        <f t="shared" si="142"/>
        <v>279.93992813630513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1.1527845344971866E-13</v>
      </c>
      <c r="AK159" s="14">
        <f t="shared" si="164"/>
        <v>1.7033846239409443E-12</v>
      </c>
      <c r="AL159" s="22">
        <f t="shared" si="165"/>
        <v>3.1675048597887374E-12</v>
      </c>
      <c r="AM159" s="60">
        <f t="shared" si="113"/>
        <v>293.3333333333365</v>
      </c>
      <c r="AN159" s="60">
        <f ca="1">AVERAGE(OFFSET($AM$3,0,0,'Données projet'!$E$10+1,1))-AVERAGE(OFFSET($H$3,0,0,'Données projet'!$E$10+1,1))</f>
        <v>505.64100207870439</v>
      </c>
      <c r="AO159" s="60">
        <f t="shared" si="144"/>
        <v>371.76229669709249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0.13717559046711589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0.13717559046711589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-2.8421709430404007E-13</v>
      </c>
      <c r="BE159" s="14">
        <f>BD159*VLOOKUP('Données projet'!$B$11,Paramètres!$A$1:$I$89,3,0)*VLOOKUP('Données projet'!$B$11,Paramètres!$A$1:$I$89,5,0)</f>
        <v>-2.2612312022829427E-13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353.26636241468884</v>
      </c>
      <c r="BJ159" s="60">
        <f t="shared" si="146"/>
        <v>345.4750813433123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0.18479095520087607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0.18479095520087607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2.8421709430404007E-13</v>
      </c>
      <c r="BZ159" s="14">
        <f>BY159*VLOOKUP('Données projet'!$B$12,Paramètres!$A$1:$I$89,3,0)*VLOOKUP('Données projet'!$B$12,Paramètres!$A$1:$I$89,5,0)</f>
        <v>1.9065282685915009E-13</v>
      </c>
      <c r="CA159" s="14">
        <f t="shared" si="170"/>
        <v>2.6568987209435707E-12</v>
      </c>
      <c r="CB159" s="22">
        <f t="shared" si="171"/>
        <v>4.959485612423072E-12</v>
      </c>
      <c r="CC159" s="60">
        <f t="shared" si="119"/>
        <v>293.33333333333826</v>
      </c>
      <c r="CD159" s="60">
        <f ca="1">AVERAGE(OFFSET($CC$3,0,0,'Données projet'!$E$12+1,1))-AVERAGE(OFFSET($H$3,0,0,'Données projet'!$E$12+1,1))</f>
        <v>362.1372269575329</v>
      </c>
      <c r="CE159" s="60">
        <f t="shared" si="148"/>
        <v>308.1559670593121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9.3056503416044586E-2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9.3056503416044586E-2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2.2737367544323206E-13</v>
      </c>
      <c r="CU159" s="18">
        <f>CT159*VLOOKUP('Données projet'!$B$13,Paramètres!$A$1:$I$89,3,0)*VLOOKUP('Données projet'!$B$13,Paramètres!$A$1:$I$89,5,0)</f>
        <v>2.4474502424709499E-13</v>
      </c>
      <c r="CV159" s="14">
        <f t="shared" si="173"/>
        <v>3.3129863113888576E-12</v>
      </c>
      <c r="CW159" s="22">
        <f t="shared" si="174"/>
        <v>6.1963820762326169E-12</v>
      </c>
      <c r="CX159" s="60">
        <f t="shared" si="122"/>
        <v>293.33333333333951</v>
      </c>
      <c r="CY159" s="60">
        <f ca="1">AVERAGE(OFFSET($CX$3,0,0,'Données projet'!$E$13+1,1))-AVERAGE(OFFSET($H$3,0,0,'Données projet'!$E$13+1,1))</f>
        <v>488.44916315274139</v>
      </c>
      <c r="CZ159" s="60">
        <f t="shared" si="150"/>
        <v>348.17941150148209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0.12083126479443801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0.12083126479443801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4.5474735088646412E-13</v>
      </c>
      <c r="O160" s="14">
        <f>N160*VLOOKUP('Données projet'!$B$9,Paramètres!$A$1:$I$89,3,0)*VLOOKUP('Données projet'!$B$9,Paramètres!$A$1:$I$89,5,0)</f>
        <v>4.1145540308207271E-13</v>
      </c>
      <c r="P160" s="14">
        <f t="shared" si="141"/>
        <v>5.2428527960910789E-12</v>
      </c>
      <c r="Q160" s="22">
        <f t="shared" si="162"/>
        <v>9.8479201135599071E-12</v>
      </c>
      <c r="R160" s="60">
        <f t="shared" si="109"/>
        <v>293.33333333334315</v>
      </c>
      <c r="S160" s="60">
        <f ca="1">AVERAGE(OFFSET($R$3,0,0,'Données projet'!$E$9+1,1))-AVERAGE(OFFSET($H$3,0,0,'Données projet'!$E$9+1,1))</f>
        <v>319.72731970820928</v>
      </c>
      <c r="T160" s="60">
        <f t="shared" si="142"/>
        <v>279.93992813630513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1.1527845344971866E-13</v>
      </c>
      <c r="AK160" s="14">
        <f t="shared" si="164"/>
        <v>1.7033846239409443E-12</v>
      </c>
      <c r="AL160" s="22">
        <f t="shared" si="165"/>
        <v>3.1675048597887374E-12</v>
      </c>
      <c r="AM160" s="60">
        <f t="shared" si="113"/>
        <v>293.3333333333365</v>
      </c>
      <c r="AN160" s="60">
        <f ca="1">AVERAGE(OFFSET($AM$3,0,0,'Données projet'!$E$10+1,1))-AVERAGE(OFFSET($H$3,0,0,'Données projet'!$E$10+1,1))</f>
        <v>505.64100207870439</v>
      </c>
      <c r="AO160" s="60">
        <f t="shared" si="144"/>
        <v>371.76229669709249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0.13342451673204181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0.13342451673204181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-2.8421709430404007E-13</v>
      </c>
      <c r="BE160" s="14">
        <f>BD160*VLOOKUP('Données projet'!$B$11,Paramètres!$A$1:$I$89,3,0)*VLOOKUP('Données projet'!$B$11,Paramètres!$A$1:$I$89,5,0)</f>
        <v>-2.2612312022829427E-13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353.26636241468884</v>
      </c>
      <c r="BJ160" s="60">
        <f t="shared" si="146"/>
        <v>345.4750813433123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0.17973783681317412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0.17973783681317412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2.8421709430404007E-13</v>
      </c>
      <c r="BZ160" s="14">
        <f>BY160*VLOOKUP('Données projet'!$B$12,Paramètres!$A$1:$I$89,3,0)*VLOOKUP('Données projet'!$B$12,Paramètres!$A$1:$I$89,5,0)</f>
        <v>1.9065282685915009E-13</v>
      </c>
      <c r="CA160" s="14">
        <f t="shared" si="170"/>
        <v>2.6568987209435707E-12</v>
      </c>
      <c r="CB160" s="22">
        <f t="shared" si="171"/>
        <v>4.959485612423072E-12</v>
      </c>
      <c r="CC160" s="60">
        <f t="shared" si="119"/>
        <v>293.33333333333826</v>
      </c>
      <c r="CD160" s="60">
        <f ca="1">AVERAGE(OFFSET($CC$3,0,0,'Données projet'!$E$12+1,1))-AVERAGE(OFFSET($H$3,0,0,'Données projet'!$E$12+1,1))</f>
        <v>362.1372269575329</v>
      </c>
      <c r="CE160" s="60">
        <f t="shared" si="148"/>
        <v>308.1559670593121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9.0511868436504023E-2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9.0511868436504023E-2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2.2737367544323206E-13</v>
      </c>
      <c r="CU160" s="18">
        <f>CT160*VLOOKUP('Données projet'!$B$13,Paramètres!$A$1:$I$89,3,0)*VLOOKUP('Données projet'!$B$13,Paramètres!$A$1:$I$89,5,0)</f>
        <v>2.4474502424709499E-13</v>
      </c>
      <c r="CV160" s="14">
        <f t="shared" si="173"/>
        <v>3.3129863113888576E-12</v>
      </c>
      <c r="CW160" s="22">
        <f t="shared" si="174"/>
        <v>6.1963820762326169E-12</v>
      </c>
      <c r="CX160" s="60">
        <f t="shared" si="122"/>
        <v>293.33333333333951</v>
      </c>
      <c r="CY160" s="60">
        <f ca="1">AVERAGE(OFFSET($CX$3,0,0,'Données projet'!$E$13+1,1))-AVERAGE(OFFSET($H$3,0,0,'Données projet'!$E$13+1,1))</f>
        <v>488.44916315274139</v>
      </c>
      <c r="CZ160" s="60">
        <f t="shared" si="150"/>
        <v>348.17941150148209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0.11752712750439405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0.11752712750439405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4.5474735088646412E-13</v>
      </c>
      <c r="O161" s="14">
        <f>N161*VLOOKUP('Données projet'!$B$9,Paramètres!$A$1:$I$89,3,0)*VLOOKUP('Données projet'!$B$9,Paramètres!$A$1:$I$89,5,0)</f>
        <v>4.1145540308207271E-13</v>
      </c>
      <c r="P161" s="14">
        <f t="shared" si="141"/>
        <v>5.2428527960910789E-12</v>
      </c>
      <c r="Q161" s="22">
        <f t="shared" si="162"/>
        <v>9.8479201135599071E-12</v>
      </c>
      <c r="R161" s="60">
        <f t="shared" si="109"/>
        <v>293.33333333334315</v>
      </c>
      <c r="S161" s="60">
        <f ca="1">AVERAGE(OFFSET($R$3,0,0,'Données projet'!$E$9+1,1))-AVERAGE(OFFSET($H$3,0,0,'Données projet'!$E$9+1,1))</f>
        <v>319.72731970820928</v>
      </c>
      <c r="T161" s="60">
        <f t="shared" si="142"/>
        <v>279.93992813630513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1.1527845344971866E-13</v>
      </c>
      <c r="AK161" s="14">
        <f t="shared" si="164"/>
        <v>1.7033846239409443E-12</v>
      </c>
      <c r="AL161" s="22">
        <f t="shared" si="165"/>
        <v>3.1675048597887374E-12</v>
      </c>
      <c r="AM161" s="60">
        <f t="shared" si="113"/>
        <v>293.3333333333365</v>
      </c>
      <c r="AN161" s="60">
        <f ca="1">AVERAGE(OFFSET($AM$3,0,0,'Données projet'!$E$10+1,1))-AVERAGE(OFFSET($H$3,0,0,'Données projet'!$E$10+1,1))</f>
        <v>505.64100207870439</v>
      </c>
      <c r="AO161" s="60">
        <f t="shared" si="144"/>
        <v>371.76229669709249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0.12977601630551375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0.12977601630551375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-2.8421709430404007E-13</v>
      </c>
      <c r="BE161" s="14">
        <f>BD161*VLOOKUP('Données projet'!$B$11,Paramètres!$A$1:$I$89,3,0)*VLOOKUP('Données projet'!$B$11,Paramètres!$A$1:$I$89,5,0)</f>
        <v>-2.2612312022829427E-13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353.26636241468884</v>
      </c>
      <c r="BJ161" s="60">
        <f t="shared" si="146"/>
        <v>345.4750813433123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0.17482289621351582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0.17482289621351582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2.8421709430404007E-13</v>
      </c>
      <c r="BZ161" s="14">
        <f>BY161*VLOOKUP('Données projet'!$B$12,Paramètres!$A$1:$I$89,3,0)*VLOOKUP('Données projet'!$B$12,Paramètres!$A$1:$I$89,5,0)</f>
        <v>1.9065282685915009E-13</v>
      </c>
      <c r="CA161" s="14">
        <f t="shared" si="170"/>
        <v>2.6568987209435707E-12</v>
      </c>
      <c r="CB161" s="22">
        <f t="shared" si="171"/>
        <v>4.959485612423072E-12</v>
      </c>
      <c r="CC161" s="60">
        <f t="shared" si="119"/>
        <v>293.33333333333826</v>
      </c>
      <c r="CD161" s="60">
        <f ca="1">AVERAGE(OFFSET($CC$3,0,0,'Données projet'!$E$12+1,1))-AVERAGE(OFFSET($H$3,0,0,'Données projet'!$E$12+1,1))</f>
        <v>362.1372269575329</v>
      </c>
      <c r="CE161" s="60">
        <f t="shared" si="148"/>
        <v>308.1559670593121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8.8036816634295523E-2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8.8036816634295523E-2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2.2737367544323206E-13</v>
      </c>
      <c r="CU161" s="18">
        <f>CT161*VLOOKUP('Données projet'!$B$13,Paramètres!$A$1:$I$89,3,0)*VLOOKUP('Données projet'!$B$13,Paramètres!$A$1:$I$89,5,0)</f>
        <v>2.4474502424709499E-13</v>
      </c>
      <c r="CV161" s="14">
        <f t="shared" si="173"/>
        <v>3.3129863113888576E-12</v>
      </c>
      <c r="CW161" s="22">
        <f t="shared" si="174"/>
        <v>6.1963820762326169E-12</v>
      </c>
      <c r="CX161" s="60">
        <f t="shared" si="122"/>
        <v>293.33333333333951</v>
      </c>
      <c r="CY161" s="60">
        <f ca="1">AVERAGE(OFFSET($CX$3,0,0,'Données projet'!$E$13+1,1))-AVERAGE(OFFSET($H$3,0,0,'Données projet'!$E$13+1,1))</f>
        <v>488.44916315274139</v>
      </c>
      <c r="CZ161" s="60">
        <f t="shared" si="150"/>
        <v>348.17941150148209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0.11431334202230337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0.11431334202230337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4.5474735088646412E-13</v>
      </c>
      <c r="O162" s="14">
        <f>N162*VLOOKUP('Données projet'!$B$9,Paramètres!$A$1:$I$89,3,0)*VLOOKUP('Données projet'!$B$9,Paramètres!$A$1:$I$89,5,0)</f>
        <v>4.1145540308207271E-13</v>
      </c>
      <c r="P162" s="14">
        <f t="shared" si="141"/>
        <v>5.2428527960910789E-12</v>
      </c>
      <c r="Q162" s="22">
        <f t="shared" si="162"/>
        <v>9.8479201135599071E-12</v>
      </c>
      <c r="R162" s="60">
        <f t="shared" si="109"/>
        <v>293.33333333334315</v>
      </c>
      <c r="S162" s="60">
        <f ca="1">AVERAGE(OFFSET($R$3,0,0,'Données projet'!$E$9+1,1))-AVERAGE(OFFSET($H$3,0,0,'Données projet'!$E$9+1,1))</f>
        <v>319.72731970820928</v>
      </c>
      <c r="T162" s="60">
        <f t="shared" si="142"/>
        <v>279.93992813630513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1.1527845344971866E-13</v>
      </c>
      <c r="AK162" s="14">
        <f t="shared" si="164"/>
        <v>1.7033846239409443E-12</v>
      </c>
      <c r="AL162" s="22">
        <f t="shared" si="165"/>
        <v>3.1675048597887374E-12</v>
      </c>
      <c r="AM162" s="60">
        <f t="shared" si="113"/>
        <v>293.3333333333365</v>
      </c>
      <c r="AN162" s="60">
        <f ca="1">AVERAGE(OFFSET($AM$3,0,0,'Données projet'!$E$10+1,1))-AVERAGE(OFFSET($H$3,0,0,'Données projet'!$E$10+1,1))</f>
        <v>505.64100207870439</v>
      </c>
      <c r="AO162" s="60">
        <f t="shared" si="144"/>
        <v>371.76229669709249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0.12622728431501537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0.12622728431501537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-2.8421709430404007E-13</v>
      </c>
      <c r="BE162" s="14">
        <f>BD162*VLOOKUP('Données projet'!$B$11,Paramètres!$A$1:$I$89,3,0)*VLOOKUP('Données projet'!$B$11,Paramètres!$A$1:$I$89,5,0)</f>
        <v>-2.2612312022829427E-13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353.26636241468884</v>
      </c>
      <c r="BJ162" s="60">
        <f t="shared" si="146"/>
        <v>345.4750813433123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0.17004235492302069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0.17004235492302069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2.8421709430404007E-13</v>
      </c>
      <c r="BZ162" s="14">
        <f>BY162*VLOOKUP('Données projet'!$B$12,Paramètres!$A$1:$I$89,3,0)*VLOOKUP('Données projet'!$B$12,Paramètres!$A$1:$I$89,5,0)</f>
        <v>1.9065282685915009E-13</v>
      </c>
      <c r="CA162" s="14">
        <f t="shared" si="170"/>
        <v>2.6568987209435707E-12</v>
      </c>
      <c r="CB162" s="22">
        <f t="shared" si="171"/>
        <v>4.959485612423072E-12</v>
      </c>
      <c r="CC162" s="60">
        <f t="shared" si="119"/>
        <v>293.33333333333826</v>
      </c>
      <c r="CD162" s="60">
        <f ca="1">AVERAGE(OFFSET($CC$3,0,0,'Données projet'!$E$12+1,1))-AVERAGE(OFFSET($H$3,0,0,'Données projet'!$E$12+1,1))</f>
        <v>362.1372269575329</v>
      </c>
      <c r="CE162" s="60">
        <f t="shared" si="148"/>
        <v>308.1559670593121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8.5629445253775735E-2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8.5629445253775735E-2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2.2737367544323206E-13</v>
      </c>
      <c r="CU162" s="18">
        <f>CT162*VLOOKUP('Données projet'!$B$13,Paramètres!$A$1:$I$89,3,0)*VLOOKUP('Données projet'!$B$13,Paramètres!$A$1:$I$89,5,0)</f>
        <v>2.4474502424709499E-13</v>
      </c>
      <c r="CV162" s="14">
        <f t="shared" si="173"/>
        <v>3.3129863113888576E-12</v>
      </c>
      <c r="CW162" s="22">
        <f t="shared" si="174"/>
        <v>6.1963820762326169E-12</v>
      </c>
      <c r="CX162" s="60">
        <f t="shared" si="122"/>
        <v>293.33333333333951</v>
      </c>
      <c r="CY162" s="60">
        <f ca="1">AVERAGE(OFFSET($CX$3,0,0,'Données projet'!$E$13+1,1))-AVERAGE(OFFSET($H$3,0,0,'Données projet'!$E$13+1,1))</f>
        <v>488.44916315274139</v>
      </c>
      <c r="CZ162" s="60">
        <f t="shared" si="150"/>
        <v>348.17941150148209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0.11118743767322609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0.11118743767322609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4.5474735088646412E-13</v>
      </c>
      <c r="O163" s="14">
        <f>N163*VLOOKUP('Données projet'!$B$9,Paramètres!$A$1:$I$89,3,0)*VLOOKUP('Données projet'!$B$9,Paramètres!$A$1:$I$89,5,0)</f>
        <v>4.1145540308207271E-13</v>
      </c>
      <c r="P163" s="14">
        <f t="shared" si="141"/>
        <v>5.2428527960910789E-12</v>
      </c>
      <c r="Q163" s="22">
        <f t="shared" si="162"/>
        <v>9.8479201135599071E-12</v>
      </c>
      <c r="R163" s="60">
        <f t="shared" si="109"/>
        <v>293.33333333334315</v>
      </c>
      <c r="S163" s="60">
        <f ca="1">AVERAGE(OFFSET($R$3,0,0,'Données projet'!$E$9+1,1))-AVERAGE(OFFSET($H$3,0,0,'Données projet'!$E$9+1,1))</f>
        <v>319.72731970820928</v>
      </c>
      <c r="T163" s="60">
        <f t="shared" si="142"/>
        <v>279.93992813630513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1.1527845344971866E-13</v>
      </c>
      <c r="AK163" s="14">
        <f t="shared" si="164"/>
        <v>1.7033846239409443E-12</v>
      </c>
      <c r="AL163" s="22">
        <f t="shared" si="165"/>
        <v>3.1675048597887374E-12</v>
      </c>
      <c r="AM163" s="60">
        <f t="shared" si="113"/>
        <v>293.3333333333365</v>
      </c>
      <c r="AN163" s="60">
        <f ca="1">AVERAGE(OFFSET($AM$3,0,0,'Données projet'!$E$10+1,1))-AVERAGE(OFFSET($H$3,0,0,'Données projet'!$E$10+1,1))</f>
        <v>505.64100207870439</v>
      </c>
      <c r="AO163" s="60">
        <f t="shared" si="144"/>
        <v>371.76229669709249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0.1227755925874169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0.1227755925874169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-2.8421709430404007E-13</v>
      </c>
      <c r="BE163" s="14">
        <f>BD163*VLOOKUP('Données projet'!$B$11,Paramètres!$A$1:$I$89,3,0)*VLOOKUP('Données projet'!$B$11,Paramètres!$A$1:$I$89,5,0)</f>
        <v>-2.2612312022829427E-13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353.26636241468884</v>
      </c>
      <c r="BJ163" s="60">
        <f t="shared" si="146"/>
        <v>345.4750813433123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0.16539253778551188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0.16539253778551188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2.8421709430404007E-13</v>
      </c>
      <c r="BZ163" s="14">
        <f>BY163*VLOOKUP('Données projet'!$B$12,Paramètres!$A$1:$I$89,3,0)*VLOOKUP('Données projet'!$B$12,Paramètres!$A$1:$I$89,5,0)</f>
        <v>1.9065282685915009E-13</v>
      </c>
      <c r="CA163" s="14">
        <f t="shared" si="170"/>
        <v>2.6568987209435707E-12</v>
      </c>
      <c r="CB163" s="22">
        <f t="shared" si="171"/>
        <v>4.959485612423072E-12</v>
      </c>
      <c r="CC163" s="60">
        <f t="shared" si="119"/>
        <v>293.33333333333826</v>
      </c>
      <c r="CD163" s="60">
        <f ca="1">AVERAGE(OFFSET($CC$3,0,0,'Données projet'!$E$12+1,1))-AVERAGE(OFFSET($H$3,0,0,'Données projet'!$E$12+1,1))</f>
        <v>362.1372269575329</v>
      </c>
      <c r="CE163" s="60">
        <f t="shared" si="148"/>
        <v>308.1559670593121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8.3287903570254423E-2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8.3287903570254423E-2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2.2737367544323206E-13</v>
      </c>
      <c r="CU163" s="18">
        <f>CT163*VLOOKUP('Données projet'!$B$13,Paramètres!$A$1:$I$89,3,0)*VLOOKUP('Données projet'!$B$13,Paramètres!$A$1:$I$89,5,0)</f>
        <v>2.4474502424709499E-13</v>
      </c>
      <c r="CV163" s="14">
        <f t="shared" si="173"/>
        <v>3.3129863113888576E-12</v>
      </c>
      <c r="CW163" s="22">
        <f t="shared" si="174"/>
        <v>6.1963820762326169E-12</v>
      </c>
      <c r="CX163" s="60">
        <f t="shared" si="122"/>
        <v>293.33333333333951</v>
      </c>
      <c r="CY163" s="60">
        <f ca="1">AVERAGE(OFFSET($CX$3,0,0,'Données projet'!$E$13+1,1))-AVERAGE(OFFSET($H$3,0,0,'Données projet'!$E$13+1,1))</f>
        <v>488.44916315274139</v>
      </c>
      <c r="CZ163" s="60">
        <f t="shared" si="150"/>
        <v>348.17941150148209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0.1081470113429585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0.1081470113429585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4.5474735088646412E-13</v>
      </c>
      <c r="O164" s="14">
        <f>N164*VLOOKUP('Données projet'!$B$9,Paramètres!$A$1:$I$89,3,0)*VLOOKUP('Données projet'!$B$9,Paramètres!$A$1:$I$89,5,0)</f>
        <v>4.1145540308207271E-13</v>
      </c>
      <c r="P164" s="14">
        <f t="shared" si="141"/>
        <v>5.2428527960910789E-12</v>
      </c>
      <c r="Q164" s="22">
        <f t="shared" si="162"/>
        <v>9.8479201135599071E-12</v>
      </c>
      <c r="R164" s="60">
        <f t="shared" si="109"/>
        <v>293.33333333334315</v>
      </c>
      <c r="S164" s="60">
        <f ca="1">AVERAGE(OFFSET($R$3,0,0,'Données projet'!$E$9+1,1))-AVERAGE(OFFSET($H$3,0,0,'Données projet'!$E$9+1,1))</f>
        <v>319.72731970820928</v>
      </c>
      <c r="T164" s="60">
        <f t="shared" si="142"/>
        <v>279.93992813630513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1.1527845344971866E-13</v>
      </c>
      <c r="AK164" s="14">
        <f t="shared" si="164"/>
        <v>1.7033846239409443E-12</v>
      </c>
      <c r="AL164" s="22">
        <f t="shared" si="165"/>
        <v>3.1675048597887374E-12</v>
      </c>
      <c r="AM164" s="60">
        <f t="shared" si="113"/>
        <v>293.3333333333365</v>
      </c>
      <c r="AN164" s="60">
        <f ca="1">AVERAGE(OFFSET($AM$3,0,0,'Données projet'!$E$10+1,1))-AVERAGE(OFFSET($H$3,0,0,'Données projet'!$E$10+1,1))</f>
        <v>505.64100207870439</v>
      </c>
      <c r="AO164" s="60">
        <f t="shared" si="144"/>
        <v>371.76229669709249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0.11941828755162617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0.11941828755162617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-2.8421709430404007E-13</v>
      </c>
      <c r="BE164" s="14">
        <f>BD164*VLOOKUP('Données projet'!$B$11,Paramètres!$A$1:$I$89,3,0)*VLOOKUP('Données projet'!$B$11,Paramètres!$A$1:$I$89,5,0)</f>
        <v>-2.2612312022829427E-13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353.26636241468884</v>
      </c>
      <c r="BJ164" s="60">
        <f t="shared" si="146"/>
        <v>345.4750813433123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0.16086987014215151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0.16086987014215151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2.8421709430404007E-13</v>
      </c>
      <c r="BZ164" s="14">
        <f>BY164*VLOOKUP('Données projet'!$B$12,Paramètres!$A$1:$I$89,3,0)*VLOOKUP('Données projet'!$B$12,Paramètres!$A$1:$I$89,5,0)</f>
        <v>1.9065282685915009E-13</v>
      </c>
      <c r="CA164" s="14">
        <f t="shared" si="170"/>
        <v>2.6568987209435707E-12</v>
      </c>
      <c r="CB164" s="22">
        <f t="shared" si="171"/>
        <v>4.959485612423072E-12</v>
      </c>
      <c r="CC164" s="60">
        <f t="shared" si="119"/>
        <v>293.33333333333826</v>
      </c>
      <c r="CD164" s="60">
        <f ca="1">AVERAGE(OFFSET($CC$3,0,0,'Données projet'!$E$12+1,1))-AVERAGE(OFFSET($H$3,0,0,'Données projet'!$E$12+1,1))</f>
        <v>362.1372269575329</v>
      </c>
      <c r="CE164" s="60">
        <f t="shared" si="148"/>
        <v>308.1559670593121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8.1010391467205331E-2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8.1010391467205331E-2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2.2737367544323206E-13</v>
      </c>
      <c r="CU164" s="18">
        <f>CT164*VLOOKUP('Données projet'!$B$13,Paramètres!$A$1:$I$89,3,0)*VLOOKUP('Données projet'!$B$13,Paramètres!$A$1:$I$89,5,0)</f>
        <v>2.4474502424709499E-13</v>
      </c>
      <c r="CV164" s="14">
        <f t="shared" si="173"/>
        <v>3.3129863113888576E-12</v>
      </c>
      <c r="CW164" s="22">
        <f t="shared" si="174"/>
        <v>6.1963820762326169E-12</v>
      </c>
      <c r="CX164" s="60">
        <f t="shared" si="122"/>
        <v>293.33333333333951</v>
      </c>
      <c r="CY164" s="60">
        <f ca="1">AVERAGE(OFFSET($CX$3,0,0,'Données projet'!$E$13+1,1))-AVERAGE(OFFSET($H$3,0,0,'Données projet'!$E$13+1,1))</f>
        <v>488.44916315274139</v>
      </c>
      <c r="CZ164" s="60">
        <f t="shared" si="150"/>
        <v>348.17941150148209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0.10518972563058114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0.10518972563058114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4.5474735088646412E-13</v>
      </c>
      <c r="O165" s="14">
        <f>N165*VLOOKUP('Données projet'!$B$9,Paramètres!$A$1:$I$89,3,0)*VLOOKUP('Données projet'!$B$9,Paramètres!$A$1:$I$89,5,0)</f>
        <v>4.1145540308207271E-13</v>
      </c>
      <c r="P165" s="14">
        <f t="shared" si="141"/>
        <v>5.2428527960910789E-12</v>
      </c>
      <c r="Q165" s="22">
        <f t="shared" si="162"/>
        <v>9.8479201135599071E-12</v>
      </c>
      <c r="R165" s="60">
        <f t="shared" si="109"/>
        <v>293.33333333334315</v>
      </c>
      <c r="S165" s="60">
        <f ca="1">AVERAGE(OFFSET($R$3,0,0,'Données projet'!$E$9+1,1))-AVERAGE(OFFSET($H$3,0,0,'Données projet'!$E$9+1,1))</f>
        <v>319.72731970820928</v>
      </c>
      <c r="T165" s="60">
        <f t="shared" si="142"/>
        <v>279.93992813630513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1.1527845344971866E-13</v>
      </c>
      <c r="AK165" s="14">
        <f t="shared" si="164"/>
        <v>1.7033846239409443E-12</v>
      </c>
      <c r="AL165" s="22">
        <f t="shared" si="165"/>
        <v>3.1675048597887374E-12</v>
      </c>
      <c r="AM165" s="60">
        <f t="shared" si="113"/>
        <v>293.3333333333365</v>
      </c>
      <c r="AN165" s="60">
        <f ca="1">AVERAGE(OFFSET($AM$3,0,0,'Données projet'!$E$10+1,1))-AVERAGE(OFFSET($H$3,0,0,'Données projet'!$E$10+1,1))</f>
        <v>505.64100207870439</v>
      </c>
      <c r="AO165" s="60">
        <f t="shared" si="144"/>
        <v>371.76229669709249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0.11615278819859215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0.11615278819859215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-2.8421709430404007E-13</v>
      </c>
      <c r="BE165" s="14">
        <f>BD165*VLOOKUP('Données projet'!$B$11,Paramètres!$A$1:$I$89,3,0)*VLOOKUP('Données projet'!$B$11,Paramètres!$A$1:$I$89,5,0)</f>
        <v>-2.2612312022829427E-13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353.26636241468884</v>
      </c>
      <c r="BJ165" s="60">
        <f t="shared" si="146"/>
        <v>345.4750813433123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0.15647087508333557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0.15647087508333557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2.8421709430404007E-13</v>
      </c>
      <c r="BZ165" s="14">
        <f>BY165*VLOOKUP('Données projet'!$B$12,Paramètres!$A$1:$I$89,3,0)*VLOOKUP('Données projet'!$B$12,Paramètres!$A$1:$I$89,5,0)</f>
        <v>1.9065282685915009E-13</v>
      </c>
      <c r="CA165" s="14">
        <f t="shared" si="170"/>
        <v>2.6568987209435707E-12</v>
      </c>
      <c r="CB165" s="22">
        <f t="shared" si="171"/>
        <v>4.959485612423072E-12</v>
      </c>
      <c r="CC165" s="60">
        <f t="shared" si="119"/>
        <v>293.33333333333826</v>
      </c>
      <c r="CD165" s="60">
        <f ca="1">AVERAGE(OFFSET($CC$3,0,0,'Données projet'!$E$12+1,1))-AVERAGE(OFFSET($H$3,0,0,'Données projet'!$E$12+1,1))</f>
        <v>362.1372269575329</v>
      </c>
      <c r="CE165" s="60">
        <f t="shared" si="148"/>
        <v>308.1559670593121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7.8795158052383268E-2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7.8795158052383268E-2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2.2737367544323206E-13</v>
      </c>
      <c r="CU165" s="18">
        <f>CT165*VLOOKUP('Données projet'!$B$13,Paramètres!$A$1:$I$89,3,0)*VLOOKUP('Données projet'!$B$13,Paramètres!$A$1:$I$89,5,0)</f>
        <v>2.4474502424709499E-13</v>
      </c>
      <c r="CV165" s="14">
        <f t="shared" si="173"/>
        <v>3.3129863113888576E-12</v>
      </c>
      <c r="CW165" s="22">
        <f t="shared" si="174"/>
        <v>6.1963820762326169E-12</v>
      </c>
      <c r="CX165" s="60">
        <f t="shared" si="122"/>
        <v>293.33333333333951</v>
      </c>
      <c r="CY165" s="60">
        <f ca="1">AVERAGE(OFFSET($CX$3,0,0,'Données projet'!$E$13+1,1))-AVERAGE(OFFSET($H$3,0,0,'Données projet'!$E$13+1,1))</f>
        <v>488.44916315274139</v>
      </c>
      <c r="CZ165" s="60">
        <f t="shared" si="150"/>
        <v>348.17941150148209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0.10231330705152564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0.10231330705152564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4.5474735088646412E-13</v>
      </c>
      <c r="O166" s="14">
        <f>N166*VLOOKUP('Données projet'!$B$9,Paramètres!$A$1:$I$89,3,0)*VLOOKUP('Données projet'!$B$9,Paramètres!$A$1:$I$89,5,0)</f>
        <v>4.1145540308207271E-13</v>
      </c>
      <c r="P166" s="14">
        <f t="shared" si="141"/>
        <v>5.2428527960910789E-12</v>
      </c>
      <c r="Q166" s="22">
        <f t="shared" si="162"/>
        <v>9.8479201135599071E-12</v>
      </c>
      <c r="R166" s="60">
        <f t="shared" si="109"/>
        <v>293.33333333334315</v>
      </c>
      <c r="S166" s="60">
        <f ca="1">AVERAGE(OFFSET($R$3,0,0,'Données projet'!$E$9+1,1))-AVERAGE(OFFSET($H$3,0,0,'Données projet'!$E$9+1,1))</f>
        <v>319.72731970820928</v>
      </c>
      <c r="T166" s="60">
        <f t="shared" si="142"/>
        <v>279.93992813630513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1.1527845344971866E-13</v>
      </c>
      <c r="AK166" s="14">
        <f t="shared" si="164"/>
        <v>1.7033846239409443E-12</v>
      </c>
      <c r="AL166" s="22">
        <f t="shared" si="165"/>
        <v>3.1675048597887374E-12</v>
      </c>
      <c r="AM166" s="60">
        <f t="shared" si="113"/>
        <v>293.3333333333365</v>
      </c>
      <c r="AN166" s="60">
        <f ca="1">AVERAGE(OFFSET($AM$3,0,0,'Données projet'!$E$10+1,1))-AVERAGE(OFFSET($H$3,0,0,'Données projet'!$E$10+1,1))</f>
        <v>505.64100207870439</v>
      </c>
      <c r="AO166" s="60">
        <f t="shared" si="144"/>
        <v>371.76229669709249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0.11297658409709199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0.11297658409709199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-2.8421709430404007E-13</v>
      </c>
      <c r="BE166" s="14">
        <f>BD166*VLOOKUP('Données projet'!$B$11,Paramètres!$A$1:$I$89,3,0)*VLOOKUP('Données projet'!$B$11,Paramètres!$A$1:$I$89,5,0)</f>
        <v>-2.2612312022829427E-13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353.26636241468884</v>
      </c>
      <c r="BJ166" s="60">
        <f t="shared" si="146"/>
        <v>345.4750813433123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0.15219217077573605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0.15219217077573605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2.8421709430404007E-13</v>
      </c>
      <c r="BZ166" s="14">
        <f>BY166*VLOOKUP('Données projet'!$B$12,Paramètres!$A$1:$I$89,3,0)*VLOOKUP('Données projet'!$B$12,Paramètres!$A$1:$I$89,5,0)</f>
        <v>1.9065282685915009E-13</v>
      </c>
      <c r="CA166" s="14">
        <f t="shared" si="170"/>
        <v>2.6568987209435707E-12</v>
      </c>
      <c r="CB166" s="22">
        <f t="shared" si="171"/>
        <v>4.959485612423072E-12</v>
      </c>
      <c r="CC166" s="60">
        <f t="shared" si="119"/>
        <v>293.33333333333826</v>
      </c>
      <c r="CD166" s="60">
        <f ca="1">AVERAGE(OFFSET($CC$3,0,0,'Données projet'!$E$12+1,1))-AVERAGE(OFFSET($H$3,0,0,'Données projet'!$E$12+1,1))</f>
        <v>362.1372269575329</v>
      </c>
      <c r="CE166" s="60">
        <f t="shared" si="148"/>
        <v>308.1559670593121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7.6640500311783571E-2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7.6640500311783571E-2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2.2737367544323206E-13</v>
      </c>
      <c r="CU166" s="18">
        <f>CT166*VLOOKUP('Données projet'!$B$13,Paramètres!$A$1:$I$89,3,0)*VLOOKUP('Données projet'!$B$13,Paramètres!$A$1:$I$89,5,0)</f>
        <v>2.4474502424709499E-13</v>
      </c>
      <c r="CV166" s="14">
        <f t="shared" si="173"/>
        <v>3.3129863113888576E-12</v>
      </c>
      <c r="CW166" s="22">
        <f t="shared" si="174"/>
        <v>6.1963820762326169E-12</v>
      </c>
      <c r="CX166" s="60">
        <f t="shared" si="122"/>
        <v>293.33333333333951</v>
      </c>
      <c r="CY166" s="60">
        <f ca="1">AVERAGE(OFFSET($CX$3,0,0,'Données projet'!$E$13+1,1))-AVERAGE(OFFSET($H$3,0,0,'Données projet'!$E$13+1,1))</f>
        <v>488.44916315274139</v>
      </c>
      <c r="CZ166" s="60">
        <f t="shared" si="150"/>
        <v>348.17941150148209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9.9515544289778685E-2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9.9515544289778685E-2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4.5474735088646412E-13</v>
      </c>
      <c r="O167" s="14">
        <f>N167*VLOOKUP('Données projet'!$B$9,Paramètres!$A$1:$I$89,3,0)*VLOOKUP('Données projet'!$B$9,Paramètres!$A$1:$I$89,5,0)</f>
        <v>4.1145540308207271E-13</v>
      </c>
      <c r="P167" s="14">
        <f t="shared" si="141"/>
        <v>5.2428527960910789E-12</v>
      </c>
      <c r="Q167" s="22">
        <f t="shared" si="162"/>
        <v>9.8479201135599071E-12</v>
      </c>
      <c r="R167" s="60">
        <f t="shared" si="109"/>
        <v>293.33333333334315</v>
      </c>
      <c r="S167" s="60">
        <f ca="1">AVERAGE(OFFSET($R$3,0,0,'Données projet'!$E$9+1,1))-AVERAGE(OFFSET($H$3,0,0,'Données projet'!$E$9+1,1))</f>
        <v>319.72731970820928</v>
      </c>
      <c r="T167" s="60">
        <f t="shared" si="142"/>
        <v>279.93992813630513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1.1527845344971866E-13</v>
      </c>
      <c r="AK167" s="14">
        <f t="shared" si="164"/>
        <v>1.7033846239409443E-12</v>
      </c>
      <c r="AL167" s="22">
        <f t="shared" si="165"/>
        <v>3.1675048597887374E-12</v>
      </c>
      <c r="AM167" s="60">
        <f t="shared" si="113"/>
        <v>293.3333333333365</v>
      </c>
      <c r="AN167" s="60">
        <f ca="1">AVERAGE(OFFSET($AM$3,0,0,'Données projet'!$E$10+1,1))-AVERAGE(OFFSET($H$3,0,0,'Données projet'!$E$10+1,1))</f>
        <v>505.64100207870439</v>
      </c>
      <c r="AO167" s="60">
        <f t="shared" si="144"/>
        <v>371.76229669709249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0.10988723346377667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0.10988723346377667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-2.8421709430404007E-13</v>
      </c>
      <c r="BE167" s="14">
        <f>BD167*VLOOKUP('Données projet'!$B$11,Paramètres!$A$1:$I$89,3,0)*VLOOKUP('Données projet'!$B$11,Paramètres!$A$1:$I$89,5,0)</f>
        <v>-2.2612312022829427E-13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353.26636241468884</v>
      </c>
      <c r="BJ167" s="60">
        <f t="shared" si="146"/>
        <v>345.4750813433123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0.14803046786243512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0.14803046786243512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2.8421709430404007E-13</v>
      </c>
      <c r="BZ167" s="14">
        <f>BY167*VLOOKUP('Données projet'!$B$12,Paramètres!$A$1:$I$89,3,0)*VLOOKUP('Données projet'!$B$12,Paramètres!$A$1:$I$89,5,0)</f>
        <v>1.9065282685915009E-13</v>
      </c>
      <c r="CA167" s="14">
        <f t="shared" si="170"/>
        <v>2.6568987209435707E-12</v>
      </c>
      <c r="CB167" s="22">
        <f t="shared" si="171"/>
        <v>4.959485612423072E-12</v>
      </c>
      <c r="CC167" s="60">
        <f t="shared" si="119"/>
        <v>293.33333333333826</v>
      </c>
      <c r="CD167" s="60">
        <f ca="1">AVERAGE(OFFSET($CC$3,0,0,'Données projet'!$E$12+1,1))-AVERAGE(OFFSET($H$3,0,0,'Données projet'!$E$12+1,1))</f>
        <v>362.1372269575329</v>
      </c>
      <c r="CE167" s="60">
        <f t="shared" si="148"/>
        <v>308.1559670593121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7.4544761800409101E-2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7.4544761800409101E-2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2.2737367544323206E-13</v>
      </c>
      <c r="CU167" s="18">
        <f>CT167*VLOOKUP('Données projet'!$B$13,Paramètres!$A$1:$I$89,3,0)*VLOOKUP('Données projet'!$B$13,Paramètres!$A$1:$I$89,5,0)</f>
        <v>2.4474502424709499E-13</v>
      </c>
      <c r="CV167" s="14">
        <f t="shared" si="173"/>
        <v>3.3129863113888576E-12</v>
      </c>
      <c r="CW167" s="22">
        <f t="shared" si="174"/>
        <v>6.1963820762326169E-12</v>
      </c>
      <c r="CX167" s="60">
        <f t="shared" si="122"/>
        <v>293.33333333333951</v>
      </c>
      <c r="CY167" s="60">
        <f ca="1">AVERAGE(OFFSET($CX$3,0,0,'Données projet'!$E$13+1,1))-AVERAGE(OFFSET($H$3,0,0,'Données projet'!$E$13+1,1))</f>
        <v>488.44916315274139</v>
      </c>
      <c r="CZ167" s="60">
        <f t="shared" si="150"/>
        <v>348.17941150148209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9.6794286497879661E-2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9.6794286497879661E-2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4.5474735088646412E-13</v>
      </c>
      <c r="O168" s="14">
        <f>N168*VLOOKUP('Données projet'!$B$9,Paramètres!$A$1:$I$89,3,0)*VLOOKUP('Données projet'!$B$9,Paramètres!$A$1:$I$89,5,0)</f>
        <v>4.1145540308207271E-13</v>
      </c>
      <c r="P168" s="14">
        <f t="shared" si="141"/>
        <v>5.2428527960910789E-12</v>
      </c>
      <c r="Q168" s="22">
        <f t="shared" si="162"/>
        <v>9.8479201135599071E-12</v>
      </c>
      <c r="R168" s="60">
        <f t="shared" si="109"/>
        <v>293.33333333334315</v>
      </c>
      <c r="S168" s="60">
        <f ca="1">AVERAGE(OFFSET($R$3,0,0,'Données projet'!$E$9+1,1))-AVERAGE(OFFSET($H$3,0,0,'Données projet'!$E$9+1,1))</f>
        <v>319.72731970820928</v>
      </c>
      <c r="T168" s="60">
        <f t="shared" si="142"/>
        <v>279.93992813630513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1.1527845344971866E-13</v>
      </c>
      <c r="AK168" s="14">
        <f t="shared" si="164"/>
        <v>1.7033846239409443E-12</v>
      </c>
      <c r="AL168" s="22">
        <f t="shared" si="165"/>
        <v>3.1675048597887374E-12</v>
      </c>
      <c r="AM168" s="60">
        <f t="shared" si="113"/>
        <v>293.3333333333365</v>
      </c>
      <c r="AN168" s="60">
        <f ca="1">AVERAGE(OFFSET($AM$3,0,0,'Données projet'!$E$10+1,1))-AVERAGE(OFFSET($H$3,0,0,'Données projet'!$E$10+1,1))</f>
        <v>505.64100207870439</v>
      </c>
      <c r="AO168" s="60">
        <f t="shared" si="144"/>
        <v>371.76229669709249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0.10688236128599124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0.10688236128599124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-2.8421709430404007E-13</v>
      </c>
      <c r="BE168" s="14">
        <f>BD168*VLOOKUP('Données projet'!$B$11,Paramètres!$A$1:$I$89,3,0)*VLOOKUP('Données projet'!$B$11,Paramètres!$A$1:$I$89,5,0)</f>
        <v>-2.2612312022829427E-13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353.26636241468884</v>
      </c>
      <c r="BJ168" s="60">
        <f t="shared" si="146"/>
        <v>345.4750813433123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0.14398256693415284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0.14398256693415284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2.8421709430404007E-13</v>
      </c>
      <c r="BZ168" s="14">
        <f>BY168*VLOOKUP('Données projet'!$B$12,Paramètres!$A$1:$I$89,3,0)*VLOOKUP('Données projet'!$B$12,Paramètres!$A$1:$I$89,5,0)</f>
        <v>1.9065282685915009E-13</v>
      </c>
      <c r="CA168" s="14">
        <f t="shared" si="170"/>
        <v>2.6568987209435707E-12</v>
      </c>
      <c r="CB168" s="22">
        <f t="shared" si="171"/>
        <v>4.959485612423072E-12</v>
      </c>
      <c r="CC168" s="60">
        <f t="shared" si="119"/>
        <v>293.33333333333826</v>
      </c>
      <c r="CD168" s="60">
        <f ca="1">AVERAGE(OFFSET($CC$3,0,0,'Données projet'!$E$12+1,1))-AVERAGE(OFFSET($H$3,0,0,'Données projet'!$E$12+1,1))</f>
        <v>362.1372269575329</v>
      </c>
      <c r="CE168" s="60">
        <f t="shared" si="148"/>
        <v>308.1559670593121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7.2506331368838259E-2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7.2506331368838259E-2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2.2737367544323206E-13</v>
      </c>
      <c r="CU168" s="18">
        <f>CT168*VLOOKUP('Données projet'!$B$13,Paramètres!$A$1:$I$89,3,0)*VLOOKUP('Données projet'!$B$13,Paramètres!$A$1:$I$89,5,0)</f>
        <v>2.4474502424709499E-13</v>
      </c>
      <c r="CV168" s="14">
        <f t="shared" si="173"/>
        <v>3.3129863113888576E-12</v>
      </c>
      <c r="CW168" s="22">
        <f t="shared" si="174"/>
        <v>6.1963820762326169E-12</v>
      </c>
      <c r="CX168" s="60">
        <f t="shared" si="122"/>
        <v>293.33333333333951</v>
      </c>
      <c r="CY168" s="60">
        <f ca="1">AVERAGE(OFFSET($CX$3,0,0,'Données projet'!$E$13+1,1))-AVERAGE(OFFSET($H$3,0,0,'Données projet'!$E$13+1,1))</f>
        <v>488.44916315274139</v>
      </c>
      <c r="CZ168" s="60">
        <f t="shared" si="150"/>
        <v>348.17941150148209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9.4147441643404842E-2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9.4147441643404842E-2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4.5474735088646412E-13</v>
      </c>
      <c r="O169" s="14">
        <f>N169*VLOOKUP('Données projet'!$B$9,Paramètres!$A$1:$I$89,3,0)*VLOOKUP('Données projet'!$B$9,Paramètres!$A$1:$I$89,5,0)</f>
        <v>4.1145540308207271E-13</v>
      </c>
      <c r="P169" s="14">
        <f t="shared" si="141"/>
        <v>5.2428527960910789E-12</v>
      </c>
      <c r="Q169" s="22">
        <f t="shared" si="162"/>
        <v>9.8479201135599071E-12</v>
      </c>
      <c r="R169" s="60">
        <f t="shared" si="109"/>
        <v>293.33333333334315</v>
      </c>
      <c r="S169" s="60">
        <f ca="1">AVERAGE(OFFSET($R$3,0,0,'Données projet'!$E$9+1,1))-AVERAGE(OFFSET($H$3,0,0,'Données projet'!$E$9+1,1))</f>
        <v>319.72731970820928</v>
      </c>
      <c r="T169" s="60">
        <f t="shared" si="142"/>
        <v>279.93992813630513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1.1527845344971866E-13</v>
      </c>
      <c r="AK169" s="14">
        <f t="shared" si="164"/>
        <v>1.7033846239409443E-12</v>
      </c>
      <c r="AL169" s="22">
        <f t="shared" si="165"/>
        <v>3.1675048597887374E-12</v>
      </c>
      <c r="AM169" s="60">
        <f t="shared" si="113"/>
        <v>293.3333333333365</v>
      </c>
      <c r="AN169" s="60">
        <f ca="1">AVERAGE(OFFSET($AM$3,0,0,'Données projet'!$E$10+1,1))-AVERAGE(OFFSET($H$3,0,0,'Données projet'!$E$10+1,1))</f>
        <v>505.64100207870439</v>
      </c>
      <c r="AO169" s="60">
        <f t="shared" si="144"/>
        <v>371.76229669709249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0.10395965749592671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0.10395965749592671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-2.8421709430404007E-13</v>
      </c>
      <c r="BE169" s="14">
        <f>BD169*VLOOKUP('Données projet'!$B$11,Paramètres!$A$1:$I$89,3,0)*VLOOKUP('Données projet'!$B$11,Paramètres!$A$1:$I$89,5,0)</f>
        <v>-2.2612312022829427E-13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353.26636241468884</v>
      </c>
      <c r="BJ169" s="60">
        <f t="shared" si="146"/>
        <v>345.4750813433123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0.14004535606962432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0.14004535606962432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2.8421709430404007E-13</v>
      </c>
      <c r="BZ169" s="14">
        <f>BY169*VLOOKUP('Données projet'!$B$12,Paramètres!$A$1:$I$89,3,0)*VLOOKUP('Données projet'!$B$12,Paramètres!$A$1:$I$89,5,0)</f>
        <v>1.9065282685915009E-13</v>
      </c>
      <c r="CA169" s="14">
        <f t="shared" si="170"/>
        <v>2.6568987209435707E-12</v>
      </c>
      <c r="CB169" s="22">
        <f t="shared" si="171"/>
        <v>4.959485612423072E-12</v>
      </c>
      <c r="CC169" s="60">
        <f t="shared" si="119"/>
        <v>293.33333333333826</v>
      </c>
      <c r="CD169" s="60">
        <f ca="1">AVERAGE(OFFSET($CC$3,0,0,'Données projet'!$E$12+1,1))-AVERAGE(OFFSET($H$3,0,0,'Données projet'!$E$12+1,1))</f>
        <v>362.1372269575329</v>
      </c>
      <c r="CE169" s="60">
        <f t="shared" si="148"/>
        <v>308.1559670593121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7.0523641924615119E-2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7.0523641924615119E-2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2.2737367544323206E-13</v>
      </c>
      <c r="CU169" s="18">
        <f>CT169*VLOOKUP('Données projet'!$B$13,Paramètres!$A$1:$I$89,3,0)*VLOOKUP('Données projet'!$B$13,Paramètres!$A$1:$I$89,5,0)</f>
        <v>2.4474502424709499E-13</v>
      </c>
      <c r="CV169" s="14">
        <f t="shared" si="173"/>
        <v>3.3129863113888576E-12</v>
      </c>
      <c r="CW169" s="22">
        <f t="shared" si="174"/>
        <v>6.1963820762326169E-12</v>
      </c>
      <c r="CX169" s="60">
        <f t="shared" si="122"/>
        <v>293.33333333333951</v>
      </c>
      <c r="CY169" s="60">
        <f ca="1">AVERAGE(OFFSET($CX$3,0,0,'Données projet'!$E$13+1,1))-AVERAGE(OFFSET($H$3,0,0,'Données projet'!$E$13+1,1))</f>
        <v>488.44916315274139</v>
      </c>
      <c r="CZ169" s="60">
        <f t="shared" si="150"/>
        <v>348.17941150148209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9.1572974900667153E-2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9.1572974900667153E-2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4.5474735088646412E-13</v>
      </c>
      <c r="O170" s="14">
        <f>N170*VLOOKUP('Données projet'!$B$9,Paramètres!$A$1:$I$89,3,0)*VLOOKUP('Données projet'!$B$9,Paramètres!$A$1:$I$89,5,0)</f>
        <v>4.1145540308207271E-13</v>
      </c>
      <c r="P170" s="14">
        <f t="shared" si="141"/>
        <v>5.2428527960910789E-12</v>
      </c>
      <c r="Q170" s="22">
        <f t="shared" si="162"/>
        <v>9.8479201135599071E-12</v>
      </c>
      <c r="R170" s="60">
        <f t="shared" si="109"/>
        <v>293.33333333334315</v>
      </c>
      <c r="S170" s="60">
        <f ca="1">AVERAGE(OFFSET($R$3,0,0,'Données projet'!$E$9+1,1))-AVERAGE(OFFSET($H$3,0,0,'Données projet'!$E$9+1,1))</f>
        <v>319.72731970820928</v>
      </c>
      <c r="T170" s="60">
        <f t="shared" si="142"/>
        <v>279.93992813630513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1.1527845344971866E-13</v>
      </c>
      <c r="AK170" s="14">
        <f t="shared" si="164"/>
        <v>1.7033846239409443E-12</v>
      </c>
      <c r="AL170" s="22">
        <f t="shared" si="165"/>
        <v>3.1675048597887374E-12</v>
      </c>
      <c r="AM170" s="60">
        <f t="shared" si="113"/>
        <v>293.3333333333365</v>
      </c>
      <c r="AN170" s="60">
        <f ca="1">AVERAGE(OFFSET($AM$3,0,0,'Données projet'!$E$10+1,1))-AVERAGE(OFFSET($H$3,0,0,'Données projet'!$E$10+1,1))</f>
        <v>505.64100207870439</v>
      </c>
      <c r="AO170" s="60">
        <f t="shared" si="144"/>
        <v>371.76229669709249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0.10111687519469981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0.10111687519469981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-2.8421709430404007E-13</v>
      </c>
      <c r="BE170" s="14">
        <f>BD170*VLOOKUP('Données projet'!$B$11,Paramètres!$A$1:$I$89,3,0)*VLOOKUP('Données projet'!$B$11,Paramètres!$A$1:$I$89,5,0)</f>
        <v>-2.2612312022829427E-13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353.26636241468884</v>
      </c>
      <c r="BJ170" s="60">
        <f t="shared" si="146"/>
        <v>345.4750813433123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0.13621580844323525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0.13621580844323525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2.8421709430404007E-13</v>
      </c>
      <c r="BZ170" s="14">
        <f>BY170*VLOOKUP('Données projet'!$B$12,Paramètres!$A$1:$I$89,3,0)*VLOOKUP('Données projet'!$B$12,Paramètres!$A$1:$I$89,5,0)</f>
        <v>1.9065282685915009E-13</v>
      </c>
      <c r="CA170" s="14">
        <f t="shared" si="170"/>
        <v>2.6568987209435707E-12</v>
      </c>
      <c r="CB170" s="22">
        <f t="shared" si="171"/>
        <v>4.959485612423072E-12</v>
      </c>
      <c r="CC170" s="60">
        <f t="shared" si="119"/>
        <v>293.33333333333826</v>
      </c>
      <c r="CD170" s="60">
        <f ca="1">AVERAGE(OFFSET($CC$3,0,0,'Données projet'!$E$12+1,1))-AVERAGE(OFFSET($H$3,0,0,'Données projet'!$E$12+1,1))</f>
        <v>362.1372269575329</v>
      </c>
      <c r="CE170" s="60">
        <f t="shared" si="148"/>
        <v>308.1559670593121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6.859516922750937E-2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6.859516922750937E-2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2.2737367544323206E-13</v>
      </c>
      <c r="CU170" s="18">
        <f>CT170*VLOOKUP('Données projet'!$B$13,Paramètres!$A$1:$I$89,3,0)*VLOOKUP('Données projet'!$B$13,Paramètres!$A$1:$I$89,5,0)</f>
        <v>2.4474502424709499E-13</v>
      </c>
      <c r="CV170" s="14">
        <f t="shared" si="173"/>
        <v>3.3129863113888576E-12</v>
      </c>
      <c r="CW170" s="22">
        <f t="shared" si="174"/>
        <v>6.1963820762326169E-12</v>
      </c>
      <c r="CX170" s="60">
        <f t="shared" si="122"/>
        <v>293.33333333333951</v>
      </c>
      <c r="CY170" s="60">
        <f ca="1">AVERAGE(OFFSET($CX$3,0,0,'Données projet'!$E$13+1,1))-AVERAGE(OFFSET($H$3,0,0,'Données projet'!$E$13+1,1))</f>
        <v>488.44916315274139</v>
      </c>
      <c r="CZ170" s="60">
        <f t="shared" si="150"/>
        <v>348.17941150148209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8.9068907086394949E-2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8.9068907086394949E-2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4.5474735088646412E-13</v>
      </c>
      <c r="O171" s="14">
        <f>N171*VLOOKUP('Données projet'!$B$9,Paramètres!$A$1:$I$89,3,0)*VLOOKUP('Données projet'!$B$9,Paramètres!$A$1:$I$89,5,0)</f>
        <v>4.1145540308207271E-13</v>
      </c>
      <c r="P171" s="14">
        <f t="shared" si="141"/>
        <v>5.2428527960910789E-12</v>
      </c>
      <c r="Q171" s="22">
        <f t="shared" si="162"/>
        <v>9.8479201135599071E-12</v>
      </c>
      <c r="R171" s="60">
        <f t="shared" si="109"/>
        <v>293.33333333334315</v>
      </c>
      <c r="S171" s="60">
        <f ca="1">AVERAGE(OFFSET($R$3,0,0,'Données projet'!$E$9+1,1))-AVERAGE(OFFSET($H$3,0,0,'Données projet'!$E$9+1,1))</f>
        <v>319.72731970820928</v>
      </c>
      <c r="T171" s="60">
        <f t="shared" si="142"/>
        <v>279.93992813630513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1.1527845344971866E-13</v>
      </c>
      <c r="AK171" s="14">
        <f t="shared" si="164"/>
        <v>1.7033846239409443E-12</v>
      </c>
      <c r="AL171" s="22">
        <f t="shared" si="165"/>
        <v>3.1675048597887374E-12</v>
      </c>
      <c r="AM171" s="60">
        <f t="shared" si="113"/>
        <v>293.3333333333365</v>
      </c>
      <c r="AN171" s="60">
        <f ca="1">AVERAGE(OFFSET($AM$3,0,0,'Données projet'!$E$10+1,1))-AVERAGE(OFFSET($H$3,0,0,'Données projet'!$E$10+1,1))</f>
        <v>505.64100207870439</v>
      </c>
      <c r="AO171" s="60">
        <f t="shared" si="144"/>
        <v>371.76229669709249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9.8351828924995374E-2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9.8351828924995374E-2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-2.8421709430404007E-13</v>
      </c>
      <c r="BE171" s="14">
        <f>BD171*VLOOKUP('Données projet'!$B$11,Paramètres!$A$1:$I$89,3,0)*VLOOKUP('Données projet'!$B$11,Paramètres!$A$1:$I$89,5,0)</f>
        <v>-2.2612312022829427E-13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353.26636241468884</v>
      </c>
      <c r="BJ171" s="60">
        <f t="shared" si="146"/>
        <v>345.4750813433123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0.13249097999807694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0.13249097999807694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2.8421709430404007E-13</v>
      </c>
      <c r="BZ171" s="14">
        <f>BY171*VLOOKUP('Données projet'!$B$12,Paramètres!$A$1:$I$89,3,0)*VLOOKUP('Données projet'!$B$12,Paramètres!$A$1:$I$89,5,0)</f>
        <v>1.9065282685915009E-13</v>
      </c>
      <c r="CA171" s="14">
        <f t="shared" si="170"/>
        <v>2.6568987209435707E-12</v>
      </c>
      <c r="CB171" s="22">
        <f t="shared" si="171"/>
        <v>4.959485612423072E-12</v>
      </c>
      <c r="CC171" s="60">
        <f t="shared" si="119"/>
        <v>293.33333333333826</v>
      </c>
      <c r="CD171" s="60">
        <f ca="1">AVERAGE(OFFSET($CC$3,0,0,'Données projet'!$E$12+1,1))-AVERAGE(OFFSET($H$3,0,0,'Données projet'!$E$12+1,1))</f>
        <v>362.1372269575329</v>
      </c>
      <c r="CE171" s="60">
        <f t="shared" si="148"/>
        <v>308.1559670593121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6.6719430717719949E-2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6.6719430717719949E-2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2.2737367544323206E-13</v>
      </c>
      <c r="CU171" s="18">
        <f>CT171*VLOOKUP('Données projet'!$B$13,Paramètres!$A$1:$I$89,3,0)*VLOOKUP('Données projet'!$B$13,Paramètres!$A$1:$I$89,5,0)</f>
        <v>2.4474502424709499E-13</v>
      </c>
      <c r="CV171" s="14">
        <f t="shared" si="173"/>
        <v>3.3129863113888576E-12</v>
      </c>
      <c r="CW171" s="22">
        <f t="shared" si="174"/>
        <v>6.1963820762326169E-12</v>
      </c>
      <c r="CX171" s="60">
        <f t="shared" si="122"/>
        <v>293.33333333333951</v>
      </c>
      <c r="CY171" s="60">
        <f ca="1">AVERAGE(OFFSET($CX$3,0,0,'Données projet'!$E$13+1,1))-AVERAGE(OFFSET($H$3,0,0,'Données projet'!$E$13+1,1))</f>
        <v>488.44916315274139</v>
      </c>
      <c r="CZ171" s="60">
        <f t="shared" si="150"/>
        <v>348.17941150148209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8.6633313138187229E-2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8.6633313138187229E-2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4.5474735088646412E-13</v>
      </c>
      <c r="O172" s="14">
        <f>N172*VLOOKUP('Données projet'!$B$9,Paramètres!$A$1:$I$89,3,0)*VLOOKUP('Données projet'!$B$9,Paramètres!$A$1:$I$89,5,0)</f>
        <v>4.1145540308207271E-13</v>
      </c>
      <c r="P172" s="14">
        <f t="shared" si="141"/>
        <v>5.2428527960910789E-12</v>
      </c>
      <c r="Q172" s="22">
        <f t="shared" si="162"/>
        <v>9.8479201135599071E-12</v>
      </c>
      <c r="R172" s="60">
        <f t="shared" si="109"/>
        <v>293.33333333334315</v>
      </c>
      <c r="S172" s="60">
        <f ca="1">AVERAGE(OFFSET($R$3,0,0,'Données projet'!$E$9+1,1))-AVERAGE(OFFSET($H$3,0,0,'Données projet'!$E$9+1,1))</f>
        <v>319.72731970820928</v>
      </c>
      <c r="T172" s="60">
        <f t="shared" si="142"/>
        <v>279.93992813630513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1.1527845344971866E-13</v>
      </c>
      <c r="AK172" s="14">
        <f t="shared" si="164"/>
        <v>1.7033846239409443E-12</v>
      </c>
      <c r="AL172" s="22">
        <f t="shared" si="165"/>
        <v>3.1675048597887374E-12</v>
      </c>
      <c r="AM172" s="60">
        <f t="shared" si="113"/>
        <v>293.3333333333365</v>
      </c>
      <c r="AN172" s="60">
        <f ca="1">AVERAGE(OFFSET($AM$3,0,0,'Données projet'!$E$10+1,1))-AVERAGE(OFFSET($H$3,0,0,'Données projet'!$E$10+1,1))</f>
        <v>505.64100207870439</v>
      </c>
      <c r="AO172" s="60">
        <f t="shared" si="144"/>
        <v>371.76229669709249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9.5662392990943479E-2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9.5662392990943479E-2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-2.8421709430404007E-13</v>
      </c>
      <c r="BE172" s="14">
        <f>BD172*VLOOKUP('Données projet'!$B$11,Paramètres!$A$1:$I$89,3,0)*VLOOKUP('Données projet'!$B$11,Paramètres!$A$1:$I$89,5,0)</f>
        <v>-2.2612312022829427E-13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353.26636241468884</v>
      </c>
      <c r="BJ172" s="60">
        <f t="shared" si="146"/>
        <v>345.4750813433123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0.12886800718263169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0.12886800718263169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2.8421709430404007E-13</v>
      </c>
      <c r="BZ172" s="14">
        <f>BY172*VLOOKUP('Données projet'!$B$12,Paramètres!$A$1:$I$89,3,0)*VLOOKUP('Données projet'!$B$12,Paramètres!$A$1:$I$89,5,0)</f>
        <v>1.9065282685915009E-13</v>
      </c>
      <c r="CA172" s="14">
        <f t="shared" si="170"/>
        <v>2.6568987209435707E-12</v>
      </c>
      <c r="CB172" s="22">
        <f t="shared" si="171"/>
        <v>4.959485612423072E-12</v>
      </c>
      <c r="CC172" s="60">
        <f t="shared" si="119"/>
        <v>293.33333333333826</v>
      </c>
      <c r="CD172" s="60">
        <f ca="1">AVERAGE(OFFSET($CC$3,0,0,'Données projet'!$E$12+1,1))-AVERAGE(OFFSET($H$3,0,0,'Données projet'!$E$12+1,1))</f>
        <v>362.1372269575329</v>
      </c>
      <c r="CE172" s="60">
        <f t="shared" si="148"/>
        <v>308.1559670593121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6.4894984376121526E-2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6.4894984376121526E-2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2.2737367544323206E-13</v>
      </c>
      <c r="CU172" s="18">
        <f>CT172*VLOOKUP('Données projet'!$B$13,Paramètres!$A$1:$I$89,3,0)*VLOOKUP('Données projet'!$B$13,Paramètres!$A$1:$I$89,5,0)</f>
        <v>2.4474502424709499E-13</v>
      </c>
      <c r="CV172" s="14">
        <f t="shared" si="173"/>
        <v>3.3129863113888576E-12</v>
      </c>
      <c r="CW172" s="22">
        <f t="shared" si="174"/>
        <v>6.1963820762326169E-12</v>
      </c>
      <c r="CX172" s="60">
        <f t="shared" si="122"/>
        <v>293.33333333333951</v>
      </c>
      <c r="CY172" s="60">
        <f ca="1">AVERAGE(OFFSET($CX$3,0,0,'Données projet'!$E$13+1,1))-AVERAGE(OFFSET($H$3,0,0,'Données projet'!$E$13+1,1))</f>
        <v>488.44916315274139</v>
      </c>
      <c r="CZ172" s="60">
        <f t="shared" si="150"/>
        <v>348.17941150148209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8.4264320634575562E-2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8.4264320634575562E-2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4.5474735088646412E-13</v>
      </c>
      <c r="O173" s="14">
        <f>N173*VLOOKUP('Données projet'!$B$9,Paramètres!$A$1:$I$89,3,0)*VLOOKUP('Données projet'!$B$9,Paramètres!$A$1:$I$89,5,0)</f>
        <v>4.1145540308207271E-13</v>
      </c>
      <c r="P173" s="14">
        <f t="shared" si="141"/>
        <v>5.2428527960910789E-12</v>
      </c>
      <c r="Q173" s="22">
        <f t="shared" si="162"/>
        <v>9.8479201135599071E-12</v>
      </c>
      <c r="R173" s="60">
        <f t="shared" si="109"/>
        <v>293.33333333334315</v>
      </c>
      <c r="S173" s="60">
        <f ca="1">AVERAGE(OFFSET($R$3,0,0,'Données projet'!$E$9+1,1))-AVERAGE(OFFSET($H$3,0,0,'Données projet'!$E$9+1,1))</f>
        <v>319.72731970820928</v>
      </c>
      <c r="T173" s="60">
        <f t="shared" si="142"/>
        <v>279.93992813630513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1.1527845344971866E-13</v>
      </c>
      <c r="AK173" s="14">
        <f t="shared" si="164"/>
        <v>1.7033846239409443E-12</v>
      </c>
      <c r="AL173" s="22">
        <f t="shared" si="165"/>
        <v>3.1675048597887374E-12</v>
      </c>
      <c r="AM173" s="60">
        <f t="shared" si="113"/>
        <v>293.3333333333365</v>
      </c>
      <c r="AN173" s="60">
        <f ca="1">AVERAGE(OFFSET($AM$3,0,0,'Données projet'!$E$10+1,1))-AVERAGE(OFFSET($H$3,0,0,'Données projet'!$E$10+1,1))</f>
        <v>505.64100207870439</v>
      </c>
      <c r="AO173" s="60">
        <f t="shared" si="144"/>
        <v>371.76229669709249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9.3046499823939519E-2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9.3046499823939519E-2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-2.8421709430404007E-13</v>
      </c>
      <c r="BE173" s="14">
        <f>BD173*VLOOKUP('Données projet'!$B$11,Paramètres!$A$1:$I$89,3,0)*VLOOKUP('Données projet'!$B$11,Paramètres!$A$1:$I$89,5,0)</f>
        <v>-2.2612312022829427E-13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353.26636241468884</v>
      </c>
      <c r="BJ173" s="60">
        <f t="shared" si="146"/>
        <v>345.4750813433123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0.12534410474934868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0.12534410474934868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2.8421709430404007E-13</v>
      </c>
      <c r="BZ173" s="14">
        <f>BY173*VLOOKUP('Données projet'!$B$12,Paramètres!$A$1:$I$89,3,0)*VLOOKUP('Données projet'!$B$12,Paramètres!$A$1:$I$89,5,0)</f>
        <v>1.9065282685915009E-13</v>
      </c>
      <c r="CA173" s="14">
        <f t="shared" si="170"/>
        <v>2.6568987209435707E-12</v>
      </c>
      <c r="CB173" s="22">
        <f t="shared" si="171"/>
        <v>4.959485612423072E-12</v>
      </c>
      <c r="CC173" s="60">
        <f t="shared" si="119"/>
        <v>293.33333333333826</v>
      </c>
      <c r="CD173" s="60">
        <f ca="1">AVERAGE(OFFSET($CC$3,0,0,'Données projet'!$E$12+1,1))-AVERAGE(OFFSET($H$3,0,0,'Données projet'!$E$12+1,1))</f>
        <v>362.1372269575329</v>
      </c>
      <c r="CE173" s="60">
        <f t="shared" si="148"/>
        <v>308.1559670593121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6.3120427615677571E-2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6.3120427615677571E-2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2.2737367544323206E-13</v>
      </c>
      <c r="CU173" s="18">
        <f>CT173*VLOOKUP('Données projet'!$B$13,Paramètres!$A$1:$I$89,3,0)*VLOOKUP('Données projet'!$B$13,Paramètres!$A$1:$I$89,5,0)</f>
        <v>2.4474502424709499E-13</v>
      </c>
      <c r="CV173" s="14">
        <f t="shared" si="173"/>
        <v>3.3129863113888576E-12</v>
      </c>
      <c r="CW173" s="22">
        <f t="shared" si="174"/>
        <v>6.1963820762326169E-12</v>
      </c>
      <c r="CX173" s="60">
        <f t="shared" si="122"/>
        <v>293.33333333333951</v>
      </c>
      <c r="CY173" s="60">
        <f ca="1">AVERAGE(OFFSET($CX$3,0,0,'Données projet'!$E$13+1,1))-AVERAGE(OFFSET($H$3,0,0,'Données projet'!$E$13+1,1))</f>
        <v>488.44916315274139</v>
      </c>
      <c r="CZ173" s="60">
        <f t="shared" si="150"/>
        <v>348.17941150148209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8.1960108355555061E-2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8.1960108355555061E-2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4.5474735088646412E-13</v>
      </c>
      <c r="O174" s="14">
        <f>N174*VLOOKUP('Données projet'!$B$9,Paramètres!$A$1:$I$89,3,0)*VLOOKUP('Données projet'!$B$9,Paramètres!$A$1:$I$89,5,0)</f>
        <v>4.1145540308207271E-13</v>
      </c>
      <c r="P174" s="14">
        <f t="shared" si="141"/>
        <v>5.2428527960910789E-12</v>
      </c>
      <c r="Q174" s="22">
        <f t="shared" si="162"/>
        <v>9.8479201135599071E-12</v>
      </c>
      <c r="R174" s="60">
        <f t="shared" si="109"/>
        <v>293.33333333334315</v>
      </c>
      <c r="S174" s="60">
        <f ca="1">AVERAGE(OFFSET($R$3,0,0,'Données projet'!$E$9+1,1))-AVERAGE(OFFSET($H$3,0,0,'Données projet'!$E$9+1,1))</f>
        <v>319.72731970820928</v>
      </c>
      <c r="T174" s="60">
        <f t="shared" si="142"/>
        <v>279.93992813630513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1.1527845344971866E-13</v>
      </c>
      <c r="AK174" s="14">
        <f t="shared" si="164"/>
        <v>1.7033846239409443E-12</v>
      </c>
      <c r="AL174" s="22">
        <f t="shared" si="165"/>
        <v>3.1675048597887374E-12</v>
      </c>
      <c r="AM174" s="60">
        <f t="shared" si="113"/>
        <v>293.3333333333365</v>
      </c>
      <c r="AN174" s="60">
        <f ca="1">AVERAGE(OFFSET($AM$3,0,0,'Données projet'!$E$10+1,1))-AVERAGE(OFFSET($H$3,0,0,'Données projet'!$E$10+1,1))</f>
        <v>505.64100207870439</v>
      </c>
      <c r="AO174" s="60">
        <f t="shared" si="144"/>
        <v>371.76229669709249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9.0502138393151133E-2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9.0502138393151133E-2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-2.8421709430404007E-13</v>
      </c>
      <c r="BE174" s="14">
        <f>BD174*VLOOKUP('Données projet'!$B$11,Paramètres!$A$1:$I$89,3,0)*VLOOKUP('Données projet'!$B$11,Paramètres!$A$1:$I$89,5,0)</f>
        <v>-2.2612312022829427E-13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353.26636241468884</v>
      </c>
      <c r="BJ174" s="60">
        <f t="shared" si="146"/>
        <v>345.4750813433123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0.12191656361341775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0.12191656361341775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2.8421709430404007E-13</v>
      </c>
      <c r="BZ174" s="14">
        <f>BY174*VLOOKUP('Données projet'!$B$12,Paramètres!$A$1:$I$89,3,0)*VLOOKUP('Données projet'!$B$12,Paramètres!$A$1:$I$89,5,0)</f>
        <v>1.9065282685915009E-13</v>
      </c>
      <c r="CA174" s="14">
        <f t="shared" si="170"/>
        <v>2.6568987209435707E-12</v>
      </c>
      <c r="CB174" s="22">
        <f t="shared" si="171"/>
        <v>4.959485612423072E-12</v>
      </c>
      <c r="CC174" s="60">
        <f t="shared" si="119"/>
        <v>293.33333333333826</v>
      </c>
      <c r="CD174" s="60">
        <f ca="1">AVERAGE(OFFSET($CC$3,0,0,'Données projet'!$E$12+1,1))-AVERAGE(OFFSET($H$3,0,0,'Données projet'!$E$12+1,1))</f>
        <v>362.1372269575329</v>
      </c>
      <c r="CE174" s="60">
        <f t="shared" si="148"/>
        <v>308.1559670593121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6.1394396203167841E-2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6.1394396203167841E-2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2.2737367544323206E-13</v>
      </c>
      <c r="CU174" s="18">
        <f>CT174*VLOOKUP('Données projet'!$B$13,Paramètres!$A$1:$I$89,3,0)*VLOOKUP('Données projet'!$B$13,Paramètres!$A$1:$I$89,5,0)</f>
        <v>2.4474502424709499E-13</v>
      </c>
      <c r="CV174" s="14">
        <f t="shared" si="173"/>
        <v>3.3129863113888576E-12</v>
      </c>
      <c r="CW174" s="22">
        <f t="shared" si="174"/>
        <v>6.1963820762326169E-12</v>
      </c>
      <c r="CX174" s="60">
        <f t="shared" si="122"/>
        <v>293.33333333333951</v>
      </c>
      <c r="CY174" s="60">
        <f ca="1">AVERAGE(OFFSET($CX$3,0,0,'Données projet'!$E$13+1,1))-AVERAGE(OFFSET($H$3,0,0,'Données projet'!$E$13+1,1))</f>
        <v>488.44916315274139</v>
      </c>
      <c r="CZ174" s="60">
        <f t="shared" si="150"/>
        <v>348.17941150148209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7.9718904882477626E-2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7.9718904882477626E-2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4.5474735088646412E-13</v>
      </c>
      <c r="O175" s="14">
        <f>N175*VLOOKUP('Données projet'!$B$9,Paramètres!$A$1:$I$89,3,0)*VLOOKUP('Données projet'!$B$9,Paramètres!$A$1:$I$89,5,0)</f>
        <v>4.1145540308207271E-13</v>
      </c>
      <c r="P175" s="14">
        <f t="shared" si="141"/>
        <v>5.2428527960910789E-12</v>
      </c>
      <c r="Q175" s="22">
        <f t="shared" si="162"/>
        <v>9.8479201135599071E-12</v>
      </c>
      <c r="R175" s="60">
        <f t="shared" si="109"/>
        <v>293.33333333334315</v>
      </c>
      <c r="S175" s="60">
        <f ca="1">AVERAGE(OFFSET($R$3,0,0,'Données projet'!$E$9+1,1))-AVERAGE(OFFSET($H$3,0,0,'Données projet'!$E$9+1,1))</f>
        <v>319.72731970820928</v>
      </c>
      <c r="T175" s="60">
        <f t="shared" si="142"/>
        <v>279.93992813630513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1.1527845344971866E-13</v>
      </c>
      <c r="AK175" s="14">
        <f t="shared" si="164"/>
        <v>1.7033846239409443E-12</v>
      </c>
      <c r="AL175" s="22">
        <f t="shared" si="165"/>
        <v>3.1675048597887374E-12</v>
      </c>
      <c r="AM175" s="60">
        <f t="shared" si="113"/>
        <v>293.3333333333365</v>
      </c>
      <c r="AN175" s="60">
        <f ca="1">AVERAGE(OFFSET($AM$3,0,0,'Données projet'!$E$10+1,1))-AVERAGE(OFFSET($H$3,0,0,'Données projet'!$E$10+1,1))</f>
        <v>505.64100207870439</v>
      </c>
      <c r="AO175" s="60">
        <f t="shared" si="144"/>
        <v>371.76229669709249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8.8027352659489799E-2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8.8027352659489799E-2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-2.8421709430404007E-13</v>
      </c>
      <c r="BE175" s="14">
        <f>BD175*VLOOKUP('Données projet'!$B$11,Paramètres!$A$1:$I$89,3,0)*VLOOKUP('Données projet'!$B$11,Paramètres!$A$1:$I$89,5,0)</f>
        <v>-2.2612312022829427E-13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353.26636241468884</v>
      </c>
      <c r="BJ175" s="60">
        <f t="shared" si="146"/>
        <v>345.4750813433123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0.11858274877009541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0.11858274877009541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2.8421709430404007E-13</v>
      </c>
      <c r="BZ175" s="14">
        <f>BY175*VLOOKUP('Données projet'!$B$12,Paramètres!$A$1:$I$89,3,0)*VLOOKUP('Données projet'!$B$12,Paramètres!$A$1:$I$89,5,0)</f>
        <v>1.9065282685915009E-13</v>
      </c>
      <c r="CA175" s="14">
        <f t="shared" si="170"/>
        <v>2.6568987209435707E-12</v>
      </c>
      <c r="CB175" s="22">
        <f t="shared" si="171"/>
        <v>4.959485612423072E-12</v>
      </c>
      <c r="CC175" s="60">
        <f t="shared" si="119"/>
        <v>293.33333333333826</v>
      </c>
      <c r="CD175" s="60">
        <f ca="1">AVERAGE(OFFSET($CC$3,0,0,'Données projet'!$E$12+1,1))-AVERAGE(OFFSET($H$3,0,0,'Données projet'!$E$12+1,1))</f>
        <v>362.1372269575329</v>
      </c>
      <c r="CE175" s="60">
        <f t="shared" si="148"/>
        <v>308.1559670593121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5.9715563210401237E-2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5.9715563210401237E-2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2.2737367544323206E-13</v>
      </c>
      <c r="CU175" s="18">
        <f>CT175*VLOOKUP('Données projet'!$B$13,Paramètres!$A$1:$I$89,3,0)*VLOOKUP('Données projet'!$B$13,Paramètres!$A$1:$I$89,5,0)</f>
        <v>2.4474502424709499E-13</v>
      </c>
      <c r="CV175" s="14">
        <f t="shared" si="173"/>
        <v>3.3129863113888576E-12</v>
      </c>
      <c r="CW175" s="22">
        <f t="shared" si="174"/>
        <v>6.1963820762326169E-12</v>
      </c>
      <c r="CX175" s="60">
        <f t="shared" si="122"/>
        <v>293.33333333333951</v>
      </c>
      <c r="CY175" s="60">
        <f ca="1">AVERAGE(OFFSET($CX$3,0,0,'Données projet'!$E$13+1,1))-AVERAGE(OFFSET($H$3,0,0,'Données projet'!$E$13+1,1))</f>
        <v>488.44916315274139</v>
      </c>
      <c r="CZ175" s="60">
        <f t="shared" si="150"/>
        <v>348.17941150148209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7.7538987236231274E-2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7.7538987236231274E-2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4.5474735088646412E-13</v>
      </c>
      <c r="O176" s="14">
        <f>N176*VLOOKUP('Données projet'!$B$9,Paramètres!$A$1:$I$89,3,0)*VLOOKUP('Données projet'!$B$9,Paramètres!$A$1:$I$89,5,0)</f>
        <v>4.1145540308207271E-13</v>
      </c>
      <c r="P176" s="14">
        <f t="shared" si="141"/>
        <v>5.2428527960910789E-12</v>
      </c>
      <c r="Q176" s="22">
        <f t="shared" si="162"/>
        <v>9.8479201135599071E-12</v>
      </c>
      <c r="R176" s="60">
        <f t="shared" si="109"/>
        <v>293.33333333334315</v>
      </c>
      <c r="S176" s="60">
        <f ca="1">AVERAGE(OFFSET($R$3,0,0,'Données projet'!$E$9+1,1))-AVERAGE(OFFSET($H$3,0,0,'Données projet'!$E$9+1,1))</f>
        <v>319.72731970820928</v>
      </c>
      <c r="T176" s="60">
        <f t="shared" si="142"/>
        <v>279.93992813630513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1.1527845344971866E-13</v>
      </c>
      <c r="AK176" s="14">
        <f t="shared" si="164"/>
        <v>1.7033846239409443E-12</v>
      </c>
      <c r="AL176" s="22">
        <f t="shared" si="165"/>
        <v>3.1675048597887374E-12</v>
      </c>
      <c r="AM176" s="60">
        <f t="shared" si="113"/>
        <v>293.3333333333365</v>
      </c>
      <c r="AN176" s="60">
        <f ca="1">AVERAGE(OFFSET($AM$3,0,0,'Données projet'!$E$10+1,1))-AVERAGE(OFFSET($H$3,0,0,'Données projet'!$E$10+1,1))</f>
        <v>505.64100207870439</v>
      </c>
      <c r="AO176" s="60">
        <f t="shared" si="144"/>
        <v>371.76229669709249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8.5620240071858769E-2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8.5620240071858769E-2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-2.8421709430404007E-13</v>
      </c>
      <c r="BE176" s="14">
        <f>BD176*VLOOKUP('Données projet'!$B$11,Paramètres!$A$1:$I$89,3,0)*VLOOKUP('Données projet'!$B$11,Paramètres!$A$1:$I$89,5,0)</f>
        <v>-2.2612312022829427E-13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353.26636241468884</v>
      </c>
      <c r="BJ176" s="60">
        <f t="shared" si="146"/>
        <v>345.4750813433123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0.11534009726898141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0.11534009726898141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2.8421709430404007E-13</v>
      </c>
      <c r="BZ176" s="14">
        <f>BY176*VLOOKUP('Données projet'!$B$12,Paramètres!$A$1:$I$89,3,0)*VLOOKUP('Données projet'!$B$12,Paramètres!$A$1:$I$89,5,0)</f>
        <v>1.9065282685915009E-13</v>
      </c>
      <c r="CA176" s="14">
        <f t="shared" si="170"/>
        <v>2.6568987209435707E-12</v>
      </c>
      <c r="CB176" s="22">
        <f t="shared" si="171"/>
        <v>4.959485612423072E-12</v>
      </c>
      <c r="CC176" s="60">
        <f t="shared" si="119"/>
        <v>293.33333333333826</v>
      </c>
      <c r="CD176" s="60">
        <f ca="1">AVERAGE(OFFSET($CC$3,0,0,'Données projet'!$E$12+1,1))-AVERAGE(OFFSET($H$3,0,0,'Données projet'!$E$12+1,1))</f>
        <v>362.1372269575329</v>
      </c>
      <c r="CE176" s="60">
        <f t="shared" si="148"/>
        <v>308.1559670593121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5.808263799410783E-2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5.808263799410783E-2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2.2737367544323206E-13</v>
      </c>
      <c r="CU176" s="18">
        <f>CT176*VLOOKUP('Données projet'!$B$13,Paramètres!$A$1:$I$89,3,0)*VLOOKUP('Données projet'!$B$13,Paramètres!$A$1:$I$89,5,0)</f>
        <v>2.4474502424709499E-13</v>
      </c>
      <c r="CV176" s="14">
        <f t="shared" si="173"/>
        <v>3.3129863113888576E-12</v>
      </c>
      <c r="CW176" s="22">
        <f t="shared" si="174"/>
        <v>6.1963820762326169E-12</v>
      </c>
      <c r="CX176" s="60">
        <f t="shared" si="122"/>
        <v>293.33333333333951</v>
      </c>
      <c r="CY176" s="60">
        <f ca="1">AVERAGE(OFFSET($CX$3,0,0,'Données projet'!$E$13+1,1))-AVERAGE(OFFSET($H$3,0,0,'Données projet'!$E$13+1,1))</f>
        <v>488.44916315274139</v>
      </c>
      <c r="CZ176" s="60">
        <f t="shared" si="150"/>
        <v>348.17941150148209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7.5418679552658408E-2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7.5418679552658408E-2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4.5474735088646412E-13</v>
      </c>
      <c r="O177" s="14">
        <f>N177*VLOOKUP('Données projet'!$B$9,Paramètres!$A$1:$I$89,3,0)*VLOOKUP('Données projet'!$B$9,Paramètres!$A$1:$I$89,5,0)</f>
        <v>4.1145540308207271E-13</v>
      </c>
      <c r="P177" s="14">
        <f t="shared" si="141"/>
        <v>5.2428527960910789E-12</v>
      </c>
      <c r="Q177" s="22">
        <f t="shared" si="162"/>
        <v>9.8479201135599071E-12</v>
      </c>
      <c r="R177" s="60">
        <f t="shared" si="109"/>
        <v>293.33333333334315</v>
      </c>
      <c r="S177" s="60">
        <f ca="1">AVERAGE(OFFSET($R$3,0,0,'Données projet'!$E$9+1,1))-AVERAGE(OFFSET($H$3,0,0,'Données projet'!$E$9+1,1))</f>
        <v>319.72731970820928</v>
      </c>
      <c r="T177" s="60">
        <f t="shared" si="142"/>
        <v>279.93992813630513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1.1527845344971866E-13</v>
      </c>
      <c r="AK177" s="14">
        <f t="shared" si="164"/>
        <v>1.7033846239409443E-12</v>
      </c>
      <c r="AL177" s="22">
        <f t="shared" si="165"/>
        <v>3.1675048597887374E-12</v>
      </c>
      <c r="AM177" s="60">
        <f t="shared" si="113"/>
        <v>293.3333333333365</v>
      </c>
      <c r="AN177" s="60">
        <f ca="1">AVERAGE(OFFSET($AM$3,0,0,'Données projet'!$E$10+1,1))-AVERAGE(OFFSET($H$3,0,0,'Données projet'!$E$10+1,1))</f>
        <v>505.64100207870439</v>
      </c>
      <c r="AO177" s="60">
        <f t="shared" si="144"/>
        <v>371.76229669709249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8.3278950104521049E-2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8.3278950104521049E-2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-2.8421709430404007E-13</v>
      </c>
      <c r="BE177" s="14">
        <f>BD177*VLOOKUP('Données projet'!$B$11,Paramètres!$A$1:$I$89,3,0)*VLOOKUP('Données projet'!$B$11,Paramètres!$A$1:$I$89,5,0)</f>
        <v>-2.2612312022829427E-13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353.26636241468884</v>
      </c>
      <c r="BJ177" s="60">
        <f t="shared" si="146"/>
        <v>345.4750813433123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0.11218611624368902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0.11218611624368902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2.8421709430404007E-13</v>
      </c>
      <c r="BZ177" s="14">
        <f>BY177*VLOOKUP('Données projet'!$B$12,Paramètres!$A$1:$I$89,3,0)*VLOOKUP('Données projet'!$B$12,Paramètres!$A$1:$I$89,5,0)</f>
        <v>1.9065282685915009E-13</v>
      </c>
      <c r="CA177" s="14">
        <f t="shared" si="170"/>
        <v>2.6568987209435707E-12</v>
      </c>
      <c r="CB177" s="22">
        <f t="shared" si="171"/>
        <v>4.959485612423072E-12</v>
      </c>
      <c r="CC177" s="60">
        <f t="shared" si="119"/>
        <v>293.33333333333826</v>
      </c>
      <c r="CD177" s="60">
        <f ca="1">AVERAGE(OFFSET($CC$3,0,0,'Données projet'!$E$12+1,1))-AVERAGE(OFFSET($H$3,0,0,'Données projet'!$E$12+1,1))</f>
        <v>362.1372269575329</v>
      </c>
      <c r="CE177" s="60">
        <f t="shared" si="148"/>
        <v>308.1559670593121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5.649436520372577E-2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5.649436520372577E-2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2.2737367544323206E-13</v>
      </c>
      <c r="CU177" s="18">
        <f>CT177*VLOOKUP('Données projet'!$B$13,Paramètres!$A$1:$I$89,3,0)*VLOOKUP('Données projet'!$B$13,Paramètres!$A$1:$I$89,5,0)</f>
        <v>2.4474502424709499E-13</v>
      </c>
      <c r="CV177" s="14">
        <f t="shared" si="173"/>
        <v>3.3129863113888576E-12</v>
      </c>
      <c r="CW177" s="22">
        <f t="shared" si="174"/>
        <v>6.1963820762326169E-12</v>
      </c>
      <c r="CX177" s="60">
        <f t="shared" si="122"/>
        <v>293.33333333333951</v>
      </c>
      <c r="CY177" s="60">
        <f ca="1">AVERAGE(OFFSET($CX$3,0,0,'Données projet'!$E$13+1,1))-AVERAGE(OFFSET($H$3,0,0,'Données projet'!$E$13+1,1))</f>
        <v>488.44916315274139</v>
      </c>
      <c r="CZ177" s="60">
        <f t="shared" si="150"/>
        <v>348.17941150148209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7.3356351794194974E-2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7.3356351794194974E-2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4.5474735088646412E-13</v>
      </c>
      <c r="O178" s="14">
        <f>N178*VLOOKUP('Données projet'!$B$9,Paramètres!$A$1:$I$89,3,0)*VLOOKUP('Données projet'!$B$9,Paramètres!$A$1:$I$89,5,0)</f>
        <v>4.1145540308207271E-13</v>
      </c>
      <c r="P178" s="14">
        <f t="shared" si="141"/>
        <v>5.2428527960910789E-12</v>
      </c>
      <c r="Q178" s="22">
        <f t="shared" si="162"/>
        <v>9.8479201135599071E-12</v>
      </c>
      <c r="R178" s="60">
        <f t="shared" si="109"/>
        <v>293.33333333334315</v>
      </c>
      <c r="S178" s="60">
        <f ca="1">AVERAGE(OFFSET($R$3,0,0,'Données projet'!$E$9+1,1))-AVERAGE(OFFSET($H$3,0,0,'Données projet'!$E$9+1,1))</f>
        <v>319.72731970820928</v>
      </c>
      <c r="T178" s="60">
        <f t="shared" si="142"/>
        <v>279.93992813630513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1.1527845344971866E-13</v>
      </c>
      <c r="AK178" s="14">
        <f t="shared" si="164"/>
        <v>1.7033846239409443E-12</v>
      </c>
      <c r="AL178" s="22">
        <f t="shared" si="165"/>
        <v>3.1675048597887374E-12</v>
      </c>
      <c r="AM178" s="60">
        <f t="shared" si="113"/>
        <v>293.3333333333365</v>
      </c>
      <c r="AN178" s="60">
        <f ca="1">AVERAGE(OFFSET($AM$3,0,0,'Données projet'!$E$10+1,1))-AVERAGE(OFFSET($H$3,0,0,'Données projet'!$E$10+1,1))</f>
        <v>505.64100207870439</v>
      </c>
      <c r="AO178" s="60">
        <f t="shared" si="144"/>
        <v>371.76229669709249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8.1001682834463268E-2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8.1001682834463268E-2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-2.8421709430404007E-13</v>
      </c>
      <c r="BE178" s="14">
        <f>BD178*VLOOKUP('Données projet'!$B$11,Paramètres!$A$1:$I$89,3,0)*VLOOKUP('Données projet'!$B$11,Paramètres!$A$1:$I$89,5,0)</f>
        <v>-2.2612312022829427E-13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353.26636241468884</v>
      </c>
      <c r="BJ178" s="60">
        <f t="shared" si="146"/>
        <v>345.4750813433123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0.10911838099539389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0.10911838099539389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2.8421709430404007E-13</v>
      </c>
      <c r="BZ178" s="14">
        <f>BY178*VLOOKUP('Données projet'!$B$12,Paramètres!$A$1:$I$89,3,0)*VLOOKUP('Données projet'!$B$12,Paramètres!$A$1:$I$89,5,0)</f>
        <v>1.9065282685915009E-13</v>
      </c>
      <c r="CA178" s="14">
        <f t="shared" si="170"/>
        <v>2.6568987209435707E-12</v>
      </c>
      <c r="CB178" s="22">
        <f t="shared" si="171"/>
        <v>4.959485612423072E-12</v>
      </c>
      <c r="CC178" s="60">
        <f t="shared" si="119"/>
        <v>293.33333333333826</v>
      </c>
      <c r="CD178" s="60">
        <f ca="1">AVERAGE(OFFSET($CC$3,0,0,'Données projet'!$E$12+1,1))-AVERAGE(OFFSET($H$3,0,0,'Données projet'!$E$12+1,1))</f>
        <v>362.1372269575329</v>
      </c>
      <c r="CE178" s="60">
        <f t="shared" si="148"/>
        <v>308.1559670593121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5.4949523816320345E-2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5.4949523816320345E-2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2.2737367544323206E-13</v>
      </c>
      <c r="CU178" s="18">
        <f>CT178*VLOOKUP('Données projet'!$B$13,Paramètres!$A$1:$I$89,3,0)*VLOOKUP('Données projet'!$B$13,Paramètres!$A$1:$I$89,5,0)</f>
        <v>2.4474502424709499E-13</v>
      </c>
      <c r="CV178" s="14">
        <f t="shared" si="173"/>
        <v>3.3129863113888576E-12</v>
      </c>
      <c r="CW178" s="22">
        <f t="shared" si="174"/>
        <v>6.1963820762326169E-12</v>
      </c>
      <c r="CX178" s="60">
        <f t="shared" si="122"/>
        <v>293.33333333333951</v>
      </c>
      <c r="CY178" s="60">
        <f ca="1">AVERAGE(OFFSET($CX$3,0,0,'Données projet'!$E$13+1,1))-AVERAGE(OFFSET($H$3,0,0,'Données projet'!$E$13+1,1))</f>
        <v>488.44916315274139</v>
      </c>
      <c r="CZ178" s="60">
        <f t="shared" si="150"/>
        <v>348.17941150148209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7.1350418496739829E-2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7.1350418496739829E-2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4.5474735088646412E-13</v>
      </c>
      <c r="O179" s="14">
        <f>N179*VLOOKUP('Données projet'!$B$9,Paramètres!$A$1:$I$89,3,0)*VLOOKUP('Données projet'!$B$9,Paramètres!$A$1:$I$89,5,0)</f>
        <v>4.1145540308207271E-13</v>
      </c>
      <c r="P179" s="14">
        <f t="shared" si="141"/>
        <v>5.2428527960910789E-12</v>
      </c>
      <c r="Q179" s="22">
        <f t="shared" si="162"/>
        <v>9.8479201135599071E-12</v>
      </c>
      <c r="R179" s="60">
        <f t="shared" si="109"/>
        <v>293.33333333334315</v>
      </c>
      <c r="S179" s="60">
        <f ca="1">AVERAGE(OFFSET($R$3,0,0,'Données projet'!$E$9+1,1))-AVERAGE(OFFSET($H$3,0,0,'Données projet'!$E$9+1,1))</f>
        <v>319.72731970820928</v>
      </c>
      <c r="T179" s="60">
        <f t="shared" si="142"/>
        <v>279.93992813630513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1.1527845344971866E-13</v>
      </c>
      <c r="AK179" s="14">
        <f t="shared" si="164"/>
        <v>1.7033846239409443E-12</v>
      </c>
      <c r="AL179" s="22">
        <f t="shared" si="165"/>
        <v>3.1675048597887374E-12</v>
      </c>
      <c r="AM179" s="60">
        <f t="shared" si="113"/>
        <v>293.3333333333365</v>
      </c>
      <c r="AN179" s="60">
        <f ca="1">AVERAGE(OFFSET($AM$3,0,0,'Données projet'!$E$10+1,1))-AVERAGE(OFFSET($H$3,0,0,'Données projet'!$E$10+1,1))</f>
        <v>505.64100207870439</v>
      </c>
      <c r="AO179" s="60">
        <f t="shared" si="144"/>
        <v>371.76229669709249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7.8786687557661494E-2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7.8786687557661494E-2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-2.8421709430404007E-13</v>
      </c>
      <c r="BE179" s="14">
        <f>BD179*VLOOKUP('Données projet'!$B$11,Paramètres!$A$1:$I$89,3,0)*VLOOKUP('Données projet'!$B$11,Paramètres!$A$1:$I$89,5,0)</f>
        <v>-2.2612312022829427E-13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353.26636241468884</v>
      </c>
      <c r="BJ179" s="60">
        <f t="shared" si="146"/>
        <v>345.4750813433123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0.10613453312878858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0.10613453312878858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2.8421709430404007E-13</v>
      </c>
      <c r="BZ179" s="14">
        <f>BY179*VLOOKUP('Données projet'!$B$12,Paramètres!$A$1:$I$89,3,0)*VLOOKUP('Données projet'!$B$12,Paramètres!$A$1:$I$89,5,0)</f>
        <v>1.9065282685915009E-13</v>
      </c>
      <c r="CA179" s="14">
        <f t="shared" si="170"/>
        <v>2.6568987209435707E-12</v>
      </c>
      <c r="CB179" s="22">
        <f t="shared" si="171"/>
        <v>4.959485612423072E-12</v>
      </c>
      <c r="CC179" s="60">
        <f t="shared" si="119"/>
        <v>293.33333333333826</v>
      </c>
      <c r="CD179" s="60">
        <f ca="1">AVERAGE(OFFSET($CC$3,0,0,'Données projet'!$E$12+1,1))-AVERAGE(OFFSET($H$3,0,0,'Données projet'!$E$12+1,1))</f>
        <v>362.1372269575329</v>
      </c>
      <c r="CE179" s="60">
        <f t="shared" si="148"/>
        <v>308.1559670593121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5.3446926197893194E-2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5.3446926197893194E-2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2.2737367544323206E-13</v>
      </c>
      <c r="CU179" s="18">
        <f>CT179*VLOOKUP('Données projet'!$B$13,Paramètres!$A$1:$I$89,3,0)*VLOOKUP('Données projet'!$B$13,Paramètres!$A$1:$I$89,5,0)</f>
        <v>2.4474502424709499E-13</v>
      </c>
      <c r="CV179" s="14">
        <f t="shared" si="173"/>
        <v>3.3129863113888576E-12</v>
      </c>
      <c r="CW179" s="22">
        <f t="shared" si="174"/>
        <v>6.1963820762326169E-12</v>
      </c>
      <c r="CX179" s="60">
        <f t="shared" si="122"/>
        <v>293.33333333333951</v>
      </c>
      <c r="CY179" s="60">
        <f ca="1">AVERAGE(OFFSET($CX$3,0,0,'Données projet'!$E$13+1,1))-AVERAGE(OFFSET($H$3,0,0,'Données projet'!$E$13+1,1))</f>
        <v>488.44916315274139</v>
      </c>
      <c r="CZ179" s="60">
        <f t="shared" si="150"/>
        <v>348.17941150148209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6.9399337550791043E-2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6.9399337550791043E-2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4.5474735088646412E-13</v>
      </c>
      <c r="O180" s="14">
        <f>N180*VLOOKUP('Données projet'!$B$9,Paramètres!$A$1:$I$89,3,0)*VLOOKUP('Données projet'!$B$9,Paramètres!$A$1:$I$89,5,0)</f>
        <v>4.1145540308207271E-13</v>
      </c>
      <c r="P180" s="14">
        <f t="shared" si="141"/>
        <v>5.2428527960910789E-12</v>
      </c>
      <c r="Q180" s="22">
        <f t="shared" si="162"/>
        <v>9.8479201135599071E-12</v>
      </c>
      <c r="R180" s="60">
        <f t="shared" si="109"/>
        <v>293.33333333334315</v>
      </c>
      <c r="S180" s="60">
        <f ca="1">AVERAGE(OFFSET($R$3,0,0,'Données projet'!$E$9+1,1))-AVERAGE(OFFSET($H$3,0,0,'Données projet'!$E$9+1,1))</f>
        <v>319.72731970820928</v>
      </c>
      <c r="T180" s="60">
        <f t="shared" si="142"/>
        <v>279.93992813630513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1.1527845344971866E-13</v>
      </c>
      <c r="AK180" s="14">
        <f t="shared" si="164"/>
        <v>1.7033846239409443E-12</v>
      </c>
      <c r="AL180" s="22">
        <f t="shared" si="165"/>
        <v>3.1675048597887374E-12</v>
      </c>
      <c r="AM180" s="60">
        <f t="shared" si="113"/>
        <v>293.3333333333365</v>
      </c>
      <c r="AN180" s="60">
        <f ca="1">AVERAGE(OFFSET($AM$3,0,0,'Données projet'!$E$10+1,1))-AVERAGE(OFFSET($H$3,0,0,'Données projet'!$E$10+1,1))</f>
        <v>505.64100207870439</v>
      </c>
      <c r="AO180" s="60">
        <f t="shared" si="144"/>
        <v>371.76229669709249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7.6632261443185412E-2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7.6632261443185412E-2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-2.8421709430404007E-13</v>
      </c>
      <c r="BE180" s="14">
        <f>BD180*VLOOKUP('Données projet'!$B$11,Paramètres!$A$1:$I$89,3,0)*VLOOKUP('Données projet'!$B$11,Paramètres!$A$1:$I$89,5,0)</f>
        <v>-2.2612312022829427E-13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353.26636241468884</v>
      </c>
      <c r="BJ180" s="60">
        <f t="shared" si="146"/>
        <v>345.4750813433123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0.10323227873900934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0.10323227873900934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2.8421709430404007E-13</v>
      </c>
      <c r="BZ180" s="14">
        <f>BY180*VLOOKUP('Données projet'!$B$12,Paramètres!$A$1:$I$89,3,0)*VLOOKUP('Données projet'!$B$12,Paramètres!$A$1:$I$89,5,0)</f>
        <v>1.9065282685915009E-13</v>
      </c>
      <c r="CA180" s="14">
        <f t="shared" si="170"/>
        <v>2.6568987209435707E-12</v>
      </c>
      <c r="CB180" s="22">
        <f t="shared" si="171"/>
        <v>4.959485612423072E-12</v>
      </c>
      <c r="CC180" s="60">
        <f t="shared" si="119"/>
        <v>293.33333333333826</v>
      </c>
      <c r="CD180" s="60">
        <f ca="1">AVERAGE(OFFSET($CC$3,0,0,'Données projet'!$E$12+1,1))-AVERAGE(OFFSET($H$3,0,0,'Données projet'!$E$12+1,1))</f>
        <v>362.1372269575329</v>
      </c>
      <c r="CE180" s="60">
        <f t="shared" si="148"/>
        <v>308.1559670593121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5.1985417190360109E-2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5.1985417190360109E-2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2.2737367544323206E-13</v>
      </c>
      <c r="CU180" s="18">
        <f>CT180*VLOOKUP('Données projet'!$B$13,Paramètres!$A$1:$I$89,3,0)*VLOOKUP('Données projet'!$B$13,Paramètres!$A$1:$I$89,5,0)</f>
        <v>2.4474502424709499E-13</v>
      </c>
      <c r="CV180" s="14">
        <f t="shared" si="173"/>
        <v>3.3129863113888576E-12</v>
      </c>
      <c r="CW180" s="22">
        <f t="shared" si="174"/>
        <v>6.1963820762326169E-12</v>
      </c>
      <c r="CX180" s="60">
        <f t="shared" si="122"/>
        <v>293.33333333333951</v>
      </c>
      <c r="CY180" s="60">
        <f ca="1">AVERAGE(OFFSET($CX$3,0,0,'Données projet'!$E$13+1,1))-AVERAGE(OFFSET($H$3,0,0,'Données projet'!$E$13+1,1))</f>
        <v>488.44916315274139</v>
      </c>
      <c r="CZ180" s="60">
        <f t="shared" si="150"/>
        <v>348.17941150148209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6.7501609015912109E-2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6.7501609015912109E-2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4.5474735088646412E-13</v>
      </c>
      <c r="O181" s="14">
        <f>N181*VLOOKUP('Données projet'!$B$9,Paramètres!$A$1:$I$89,3,0)*VLOOKUP('Données projet'!$B$9,Paramètres!$A$1:$I$89,5,0)</f>
        <v>4.1145540308207271E-13</v>
      </c>
      <c r="P181" s="14">
        <f t="shared" si="141"/>
        <v>5.2428527960910789E-12</v>
      </c>
      <c r="Q181" s="22">
        <f t="shared" si="162"/>
        <v>9.8479201135599071E-12</v>
      </c>
      <c r="R181" s="60">
        <f t="shared" si="109"/>
        <v>293.33333333334315</v>
      </c>
      <c r="S181" s="60">
        <f ca="1">AVERAGE(OFFSET($R$3,0,0,'Données projet'!$E$9+1,1))-AVERAGE(OFFSET($H$3,0,0,'Données projet'!$E$9+1,1))</f>
        <v>319.72731970820928</v>
      </c>
      <c r="T181" s="60">
        <f t="shared" si="142"/>
        <v>279.93992813630513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1.1527845344971866E-13</v>
      </c>
      <c r="AK181" s="14">
        <f t="shared" si="164"/>
        <v>1.7033846239409443E-12</v>
      </c>
      <c r="AL181" s="22">
        <f t="shared" si="165"/>
        <v>3.1675048597887374E-12</v>
      </c>
      <c r="AM181" s="60">
        <f t="shared" si="113"/>
        <v>293.3333333333365</v>
      </c>
      <c r="AN181" s="60">
        <f ca="1">AVERAGE(OFFSET($AM$3,0,0,'Données projet'!$E$10+1,1))-AVERAGE(OFFSET($H$3,0,0,'Données projet'!$E$10+1,1))</f>
        <v>505.64100207870439</v>
      </c>
      <c r="AO181" s="60">
        <f t="shared" si="144"/>
        <v>371.76229669709249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7.4536748224106025E-2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7.4536748224106025E-2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-2.8421709430404007E-13</v>
      </c>
      <c r="BE181" s="14">
        <f>BD181*VLOOKUP('Données projet'!$B$11,Paramètres!$A$1:$I$89,3,0)*VLOOKUP('Données projet'!$B$11,Paramètres!$A$1:$I$89,5,0)</f>
        <v>-2.2612312022829427E-13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353.26636241468884</v>
      </c>
      <c r="BJ181" s="60">
        <f t="shared" si="146"/>
        <v>345.4750813433123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0.10040938664814153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0.10040938664814153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2.8421709430404007E-13</v>
      </c>
      <c r="BZ181" s="14">
        <f>BY181*VLOOKUP('Données projet'!$B$12,Paramètres!$A$1:$I$89,3,0)*VLOOKUP('Données projet'!$B$12,Paramètres!$A$1:$I$89,5,0)</f>
        <v>1.9065282685915009E-13</v>
      </c>
      <c r="CA181" s="14">
        <f t="shared" si="170"/>
        <v>2.6568987209435707E-12</v>
      </c>
      <c r="CB181" s="22">
        <f t="shared" si="171"/>
        <v>4.959485612423072E-12</v>
      </c>
      <c r="CC181" s="60">
        <f t="shared" si="119"/>
        <v>293.33333333333826</v>
      </c>
      <c r="CD181" s="60">
        <f ca="1">AVERAGE(OFFSET($CC$3,0,0,'Données projet'!$E$12+1,1))-AVERAGE(OFFSET($H$3,0,0,'Données projet'!$E$12+1,1))</f>
        <v>362.1372269575329</v>
      </c>
      <c r="CE181" s="60">
        <f t="shared" si="148"/>
        <v>308.1559670593121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5.0563873223495433E-2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5.0563873223495433E-2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2.2737367544323206E-13</v>
      </c>
      <c r="CU181" s="18">
        <f>CT181*VLOOKUP('Données projet'!$B$13,Paramètres!$A$1:$I$89,3,0)*VLOOKUP('Données projet'!$B$13,Paramètres!$A$1:$I$89,5,0)</f>
        <v>2.4474502424709499E-13</v>
      </c>
      <c r="CV181" s="14">
        <f t="shared" si="173"/>
        <v>3.3129863113888576E-12</v>
      </c>
      <c r="CW181" s="22">
        <f t="shared" si="174"/>
        <v>6.1963820762326169E-12</v>
      </c>
      <c r="CX181" s="60">
        <f t="shared" si="122"/>
        <v>293.33333333333951</v>
      </c>
      <c r="CY181" s="60">
        <f ca="1">AVERAGE(OFFSET($CX$3,0,0,'Données projet'!$E$13+1,1))-AVERAGE(OFFSET($H$3,0,0,'Données projet'!$E$13+1,1))</f>
        <v>488.44916315274139</v>
      </c>
      <c r="CZ181" s="60">
        <f t="shared" si="150"/>
        <v>348.17941150148209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6.5655773967616654E-2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6.5655773967616654E-2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4.5474735088646412E-13</v>
      </c>
      <c r="O182" s="14">
        <f>N182*VLOOKUP('Données projet'!$B$9,Paramètres!$A$1:$I$89,3,0)*VLOOKUP('Données projet'!$B$9,Paramètres!$A$1:$I$89,5,0)</f>
        <v>4.1145540308207271E-13</v>
      </c>
      <c r="P182" s="14">
        <f t="shared" si="141"/>
        <v>5.2428527960910789E-12</v>
      </c>
      <c r="Q182" s="22">
        <f t="shared" si="162"/>
        <v>9.8479201135599071E-12</v>
      </c>
      <c r="R182" s="60">
        <f t="shared" si="109"/>
        <v>293.33333333334315</v>
      </c>
      <c r="S182" s="60">
        <f ca="1">AVERAGE(OFFSET($R$3,0,0,'Données projet'!$E$9+1,1))-AVERAGE(OFFSET($H$3,0,0,'Données projet'!$E$9+1,1))</f>
        <v>319.72731970820928</v>
      </c>
      <c r="T182" s="60">
        <f t="shared" si="142"/>
        <v>279.93992813630513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1.1527845344971866E-13</v>
      </c>
      <c r="AK182" s="14">
        <f t="shared" si="164"/>
        <v>1.7033846239409443E-12</v>
      </c>
      <c r="AL182" s="22">
        <f t="shared" si="165"/>
        <v>3.1675048597887374E-12</v>
      </c>
      <c r="AM182" s="60">
        <f t="shared" si="113"/>
        <v>293.3333333333365</v>
      </c>
      <c r="AN182" s="60">
        <f ca="1">AVERAGE(OFFSET($AM$3,0,0,'Données projet'!$E$10+1,1))-AVERAGE(OFFSET($H$3,0,0,'Données projet'!$E$10+1,1))</f>
        <v>505.64100207870439</v>
      </c>
      <c r="AO182" s="60">
        <f t="shared" si="144"/>
        <v>371.76229669709249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7.2498536924200607E-2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7.2498536924200607E-2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-2.8421709430404007E-13</v>
      </c>
      <c r="BE182" s="14">
        <f>BD182*VLOOKUP('Données projet'!$B$11,Paramètres!$A$1:$I$89,3,0)*VLOOKUP('Données projet'!$B$11,Paramètres!$A$1:$I$89,5,0)</f>
        <v>-2.2612312022829427E-13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353.26636241468884</v>
      </c>
      <c r="BJ182" s="60">
        <f t="shared" si="146"/>
        <v>345.4750813433123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9.7663686689947946E-2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9.7663686689947946E-2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2.8421709430404007E-13</v>
      </c>
      <c r="BZ182" s="14">
        <f>BY182*VLOOKUP('Données projet'!$B$12,Paramètres!$A$1:$I$89,3,0)*VLOOKUP('Données projet'!$B$12,Paramètres!$A$1:$I$89,5,0)</f>
        <v>1.9065282685915009E-13</v>
      </c>
      <c r="CA182" s="14">
        <f t="shared" si="170"/>
        <v>2.6568987209435707E-12</v>
      </c>
      <c r="CB182" s="22">
        <f t="shared" si="171"/>
        <v>4.959485612423072E-12</v>
      </c>
      <c r="CC182" s="60">
        <f t="shared" si="119"/>
        <v>293.33333333333826</v>
      </c>
      <c r="CD182" s="60">
        <f ca="1">AVERAGE(OFFSET($CC$3,0,0,'Données projet'!$E$12+1,1))-AVERAGE(OFFSET($H$3,0,0,'Données projet'!$E$12+1,1))</f>
        <v>362.1372269575329</v>
      </c>
      <c r="CE182" s="60">
        <f t="shared" si="148"/>
        <v>308.1559670593121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4.9181201451160422E-2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4.9181201451160422E-2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2.2737367544323206E-13</v>
      </c>
      <c r="CU182" s="18">
        <f>CT182*VLOOKUP('Données projet'!$B$13,Paramètres!$A$1:$I$89,3,0)*VLOOKUP('Données projet'!$B$13,Paramètres!$A$1:$I$89,5,0)</f>
        <v>2.4474502424709499E-13</v>
      </c>
      <c r="CV182" s="14">
        <f t="shared" si="173"/>
        <v>3.3129863113888576E-12</v>
      </c>
      <c r="CW182" s="22">
        <f t="shared" si="174"/>
        <v>6.1963820762326169E-12</v>
      </c>
      <c r="CX182" s="60">
        <f t="shared" si="122"/>
        <v>293.33333333333951</v>
      </c>
      <c r="CY182" s="60">
        <f ca="1">AVERAGE(OFFSET($CX$3,0,0,'Données projet'!$E$13+1,1))-AVERAGE(OFFSET($H$3,0,0,'Données projet'!$E$13+1,1))</f>
        <v>488.44916315274139</v>
      </c>
      <c r="CZ182" s="60">
        <f t="shared" si="150"/>
        <v>348.17941150148209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6.3860413375785088E-2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6.3860413375785088E-2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4.5474735088646412E-13</v>
      </c>
      <c r="O183" s="14">
        <f>N183*VLOOKUP('Données projet'!$B$9,Paramètres!$A$1:$I$89,3,0)*VLOOKUP('Données projet'!$B$9,Paramètres!$A$1:$I$89,5,0)</f>
        <v>4.1145540308207271E-13</v>
      </c>
      <c r="P183" s="14">
        <f t="shared" si="141"/>
        <v>5.2428527960910789E-12</v>
      </c>
      <c r="Q183" s="22">
        <f t="shared" si="162"/>
        <v>9.8479201135599071E-12</v>
      </c>
      <c r="R183" s="60">
        <f t="shared" si="109"/>
        <v>293.33333333334315</v>
      </c>
      <c r="S183" s="60">
        <f ca="1">AVERAGE(OFFSET($R$3,0,0,'Données projet'!$E$9+1,1))-AVERAGE(OFFSET($H$3,0,0,'Données projet'!$E$9+1,1))</f>
        <v>319.72731970820928</v>
      </c>
      <c r="T183" s="60">
        <f t="shared" si="142"/>
        <v>279.93992813630513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1.1527845344971866E-13</v>
      </c>
      <c r="AK183" s="14">
        <f t="shared" si="164"/>
        <v>1.7033846239409443E-12</v>
      </c>
      <c r="AL183" s="22">
        <f t="shared" si="165"/>
        <v>3.1675048597887374E-12</v>
      </c>
      <c r="AM183" s="60">
        <f t="shared" si="113"/>
        <v>293.3333333333365</v>
      </c>
      <c r="AN183" s="60">
        <f ca="1">AVERAGE(OFFSET($AM$3,0,0,'Données projet'!$E$10+1,1))-AVERAGE(OFFSET($H$3,0,0,'Données projet'!$E$10+1,1))</f>
        <v>505.64100207870439</v>
      </c>
      <c r="AO183" s="60">
        <f t="shared" si="144"/>
        <v>371.76229669709249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7.0516060619475976E-2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7.0516060619475976E-2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-2.8421709430404007E-13</v>
      </c>
      <c r="BE183" s="14">
        <f>BD183*VLOOKUP('Données projet'!$B$11,Paramètres!$A$1:$I$89,3,0)*VLOOKUP('Données projet'!$B$11,Paramètres!$A$1:$I$89,5,0)</f>
        <v>-2.2612312022829427E-13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353.26636241468884</v>
      </c>
      <c r="BJ183" s="60">
        <f t="shared" si="146"/>
        <v>345.4750813433123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9.4993068041501247E-2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9.4993068041501247E-2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2.8421709430404007E-13</v>
      </c>
      <c r="BZ183" s="14">
        <f>BY183*VLOOKUP('Données projet'!$B$12,Paramètres!$A$1:$I$89,3,0)*VLOOKUP('Données projet'!$B$12,Paramètres!$A$1:$I$89,5,0)</f>
        <v>1.9065282685915009E-13</v>
      </c>
      <c r="CA183" s="14">
        <f t="shared" si="170"/>
        <v>2.6568987209435707E-12</v>
      </c>
      <c r="CB183" s="22">
        <f t="shared" si="171"/>
        <v>4.959485612423072E-12</v>
      </c>
      <c r="CC183" s="60">
        <f t="shared" si="119"/>
        <v>293.33333333333826</v>
      </c>
      <c r="CD183" s="60">
        <f ca="1">AVERAGE(OFFSET($CC$3,0,0,'Données projet'!$E$12+1,1))-AVERAGE(OFFSET($H$3,0,0,'Données projet'!$E$12+1,1))</f>
        <v>362.1372269575329</v>
      </c>
      <c r="CE183" s="60">
        <f t="shared" si="148"/>
        <v>308.1559670593121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4.7836338911151459E-2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4.7836338911151459E-2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2.2737367544323206E-13</v>
      </c>
      <c r="CU183" s="18">
        <f>CT183*VLOOKUP('Données projet'!$B$13,Paramètres!$A$1:$I$89,3,0)*VLOOKUP('Données projet'!$B$13,Paramètres!$A$1:$I$89,5,0)</f>
        <v>2.4474502424709499E-13</v>
      </c>
      <c r="CV183" s="14">
        <f t="shared" si="173"/>
        <v>3.3129863113888576E-12</v>
      </c>
      <c r="CW183" s="22">
        <f t="shared" si="174"/>
        <v>6.1963820762326169E-12</v>
      </c>
      <c r="CX183" s="60">
        <f t="shared" si="122"/>
        <v>293.33333333333951</v>
      </c>
      <c r="CY183" s="60">
        <f ca="1">AVERAGE(OFFSET($CX$3,0,0,'Données projet'!$E$13+1,1))-AVERAGE(OFFSET($H$3,0,0,'Données projet'!$E$13+1,1))</f>
        <v>488.44916315274139</v>
      </c>
      <c r="CZ183" s="60">
        <f t="shared" si="150"/>
        <v>348.17941150148209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6.2114147013751057E-2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6.2114147013751057E-2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4.5474735088646412E-13</v>
      </c>
      <c r="O184" s="14">
        <f>N184*VLOOKUP('Données projet'!$B$9,Paramètres!$A$1:$I$89,3,0)*VLOOKUP('Données projet'!$B$9,Paramètres!$A$1:$I$89,5,0)</f>
        <v>4.1145540308207271E-13</v>
      </c>
      <c r="P184" s="14">
        <f t="shared" si="141"/>
        <v>5.2428527960910789E-12</v>
      </c>
      <c r="Q184" s="22">
        <f t="shared" si="162"/>
        <v>9.8479201135599071E-12</v>
      </c>
      <c r="R184" s="60">
        <f t="shared" si="109"/>
        <v>293.33333333334315</v>
      </c>
      <c r="S184" s="60">
        <f ca="1">AVERAGE(OFFSET($R$3,0,0,'Données projet'!$E$9+1,1))-AVERAGE(OFFSET($H$3,0,0,'Données projet'!$E$9+1,1))</f>
        <v>319.72731970820928</v>
      </c>
      <c r="T184" s="60">
        <f t="shared" si="142"/>
        <v>279.93992813630513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1.1527845344971866E-13</v>
      </c>
      <c r="AK184" s="14">
        <f t="shared" si="164"/>
        <v>1.7033846239409443E-12</v>
      </c>
      <c r="AL184" s="22">
        <f t="shared" si="165"/>
        <v>3.1675048597887374E-12</v>
      </c>
      <c r="AM184" s="60">
        <f t="shared" si="113"/>
        <v>293.3333333333365</v>
      </c>
      <c r="AN184" s="60">
        <f ca="1">AVERAGE(OFFSET($AM$3,0,0,'Données projet'!$E$10+1,1))-AVERAGE(OFFSET($H$3,0,0,'Données projet'!$E$10+1,1))</f>
        <v>505.64100207870439</v>
      </c>
      <c r="AO184" s="60">
        <f t="shared" si="144"/>
        <v>371.76229669709249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6.8587795233557944E-2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6.8587795233557944E-2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-2.8421709430404007E-13</v>
      </c>
      <c r="BE184" s="14">
        <f>BD184*VLOOKUP('Données projet'!$B$11,Paramètres!$A$1:$I$89,3,0)*VLOOKUP('Données projet'!$B$11,Paramètres!$A$1:$I$89,5,0)</f>
        <v>-2.2612312022829427E-13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353.26636241468884</v>
      </c>
      <c r="BJ184" s="60">
        <f t="shared" si="146"/>
        <v>345.4750813433123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9.239547760043805E-2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9.239547760043805E-2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2.8421709430404007E-13</v>
      </c>
      <c r="BZ184" s="14">
        <f>BY184*VLOOKUP('Données projet'!$B$12,Paramètres!$A$1:$I$89,3,0)*VLOOKUP('Données projet'!$B$12,Paramètres!$A$1:$I$89,5,0)</f>
        <v>1.9065282685915009E-13</v>
      </c>
      <c r="CA184" s="14">
        <f t="shared" si="170"/>
        <v>2.6568987209435707E-12</v>
      </c>
      <c r="CB184" s="22">
        <f t="shared" si="171"/>
        <v>4.959485612423072E-12</v>
      </c>
      <c r="CC184" s="60">
        <f t="shared" si="119"/>
        <v>293.33333333333826</v>
      </c>
      <c r="CD184" s="60">
        <f ca="1">AVERAGE(OFFSET($CC$3,0,0,'Données projet'!$E$12+1,1))-AVERAGE(OFFSET($H$3,0,0,'Données projet'!$E$12+1,1))</f>
        <v>362.1372269575329</v>
      </c>
      <c r="CE184" s="60">
        <f t="shared" si="148"/>
        <v>308.1559670593121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4.6528251708022293E-2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4.6528251708022293E-2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2.2737367544323206E-13</v>
      </c>
      <c r="CU184" s="18">
        <f>CT184*VLOOKUP('Données projet'!$B$13,Paramètres!$A$1:$I$89,3,0)*VLOOKUP('Données projet'!$B$13,Paramètres!$A$1:$I$89,5,0)</f>
        <v>2.4474502424709499E-13</v>
      </c>
      <c r="CV184" s="14">
        <f t="shared" si="173"/>
        <v>3.3129863113888576E-12</v>
      </c>
      <c r="CW184" s="22">
        <f t="shared" si="174"/>
        <v>6.1963820762326169E-12</v>
      </c>
      <c r="CX184" s="60">
        <f t="shared" si="122"/>
        <v>293.33333333333951</v>
      </c>
      <c r="CY184" s="60">
        <f ca="1">AVERAGE(OFFSET($CX$3,0,0,'Données projet'!$E$13+1,1))-AVERAGE(OFFSET($H$3,0,0,'Données projet'!$E$13+1,1))</f>
        <v>488.44916315274139</v>
      </c>
      <c r="CZ184" s="60">
        <f t="shared" si="150"/>
        <v>348.17941150148209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6.0415632397219005E-2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6.0415632397219005E-2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4.5474735088646412E-13</v>
      </c>
      <c r="O185" s="14">
        <f>N185*VLOOKUP('Données projet'!$B$9,Paramètres!$A$1:$I$89,3,0)*VLOOKUP('Données projet'!$B$9,Paramètres!$A$1:$I$89,5,0)</f>
        <v>4.1145540308207271E-13</v>
      </c>
      <c r="P185" s="14">
        <f t="shared" si="141"/>
        <v>5.2428527960910789E-12</v>
      </c>
      <c r="Q185" s="22">
        <f t="shared" si="162"/>
        <v>9.8479201135599071E-12</v>
      </c>
      <c r="R185" s="60">
        <f t="shared" si="109"/>
        <v>293.33333333334315</v>
      </c>
      <c r="S185" s="60">
        <f ca="1">AVERAGE(OFFSET($R$3,0,0,'Données projet'!$E$9+1,1))-AVERAGE(OFFSET($H$3,0,0,'Données projet'!$E$9+1,1))</f>
        <v>319.72731970820928</v>
      </c>
      <c r="T185" s="60">
        <f t="shared" si="142"/>
        <v>279.93992813630513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1.1527845344971866E-13</v>
      </c>
      <c r="AK185" s="14">
        <f t="shared" si="164"/>
        <v>1.7033846239409443E-12</v>
      </c>
      <c r="AL185" s="22">
        <f t="shared" si="165"/>
        <v>3.1675048597887374E-12</v>
      </c>
      <c r="AM185" s="60">
        <f t="shared" si="113"/>
        <v>293.3333333333365</v>
      </c>
      <c r="AN185" s="60">
        <f ca="1">AVERAGE(OFFSET($AM$3,0,0,'Données projet'!$E$10+1,1))-AVERAGE(OFFSET($H$3,0,0,'Données projet'!$E$10+1,1))</f>
        <v>505.64100207870439</v>
      </c>
      <c r="AO185" s="60">
        <f t="shared" si="144"/>
        <v>371.76229669709249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6.6712258366020905E-2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6.6712258366020905E-2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-2.8421709430404007E-13</v>
      </c>
      <c r="BE185" s="14">
        <f>BD185*VLOOKUP('Données projet'!$B$11,Paramètres!$A$1:$I$89,3,0)*VLOOKUP('Données projet'!$B$11,Paramètres!$A$1:$I$89,5,0)</f>
        <v>-2.2612312022829427E-13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353.26636241468884</v>
      </c>
      <c r="BJ185" s="60">
        <f t="shared" si="146"/>
        <v>345.4750813433123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8.9868918406587076E-2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8.9868918406587076E-2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2.8421709430404007E-13</v>
      </c>
      <c r="BZ185" s="14">
        <f>BY185*VLOOKUP('Données projet'!$B$12,Paramètres!$A$1:$I$89,3,0)*VLOOKUP('Données projet'!$B$12,Paramètres!$A$1:$I$89,5,0)</f>
        <v>1.9065282685915009E-13</v>
      </c>
      <c r="CA185" s="14">
        <f t="shared" si="170"/>
        <v>2.6568987209435707E-12</v>
      </c>
      <c r="CB185" s="22">
        <f t="shared" si="171"/>
        <v>4.959485612423072E-12</v>
      </c>
      <c r="CC185" s="60">
        <f t="shared" si="119"/>
        <v>293.33333333333826</v>
      </c>
      <c r="CD185" s="60">
        <f ca="1">AVERAGE(OFFSET($CC$3,0,0,'Données projet'!$E$12+1,1))-AVERAGE(OFFSET($H$3,0,0,'Données projet'!$E$12+1,1))</f>
        <v>362.1372269575329</v>
      </c>
      <c r="CE185" s="60">
        <f t="shared" si="148"/>
        <v>308.1559670593121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4.5255934218252011E-2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4.5255934218252011E-2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2.2737367544323206E-13</v>
      </c>
      <c r="CU185" s="18">
        <f>CT185*VLOOKUP('Données projet'!$B$13,Paramètres!$A$1:$I$89,3,0)*VLOOKUP('Données projet'!$B$13,Paramètres!$A$1:$I$89,5,0)</f>
        <v>2.4474502424709499E-13</v>
      </c>
      <c r="CV185" s="14">
        <f t="shared" si="173"/>
        <v>3.3129863113888576E-12</v>
      </c>
      <c r="CW185" s="22">
        <f t="shared" si="174"/>
        <v>6.1963820762326169E-12</v>
      </c>
      <c r="CX185" s="60">
        <f t="shared" si="122"/>
        <v>293.33333333333951</v>
      </c>
      <c r="CY185" s="60">
        <f ca="1">AVERAGE(OFFSET($CX$3,0,0,'Données projet'!$E$13+1,1))-AVERAGE(OFFSET($H$3,0,0,'Données projet'!$E$13+1,1))</f>
        <v>488.44916315274139</v>
      </c>
      <c r="CZ185" s="60">
        <f t="shared" si="150"/>
        <v>348.17941150148209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5.8763563752197025E-2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5.8763563752197025E-2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4.5474735088646412E-13</v>
      </c>
      <c r="O186" s="14">
        <f>N186*VLOOKUP('Données projet'!$B$9,Paramètres!$A$1:$I$89,3,0)*VLOOKUP('Données projet'!$B$9,Paramètres!$A$1:$I$89,5,0)</f>
        <v>4.1145540308207271E-13</v>
      </c>
      <c r="P186" s="14">
        <f t="shared" si="141"/>
        <v>5.2428527960910789E-12</v>
      </c>
      <c r="Q186" s="22">
        <f t="shared" si="162"/>
        <v>9.8479201135599071E-12</v>
      </c>
      <c r="R186" s="60">
        <f t="shared" si="109"/>
        <v>293.33333333334315</v>
      </c>
      <c r="S186" s="60">
        <f ca="1">AVERAGE(OFFSET($R$3,0,0,'Données projet'!$E$9+1,1))-AVERAGE(OFFSET($H$3,0,0,'Données projet'!$E$9+1,1))</f>
        <v>319.72731970820928</v>
      </c>
      <c r="T186" s="60">
        <f t="shared" si="142"/>
        <v>279.93992813630513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1.1527845344971866E-13</v>
      </c>
      <c r="AK186" s="14">
        <f t="shared" si="164"/>
        <v>1.7033846239409443E-12</v>
      </c>
      <c r="AL186" s="22">
        <f t="shared" si="165"/>
        <v>3.1675048597887374E-12</v>
      </c>
      <c r="AM186" s="60">
        <f t="shared" si="113"/>
        <v>293.3333333333365</v>
      </c>
      <c r="AN186" s="60">
        <f ca="1">AVERAGE(OFFSET($AM$3,0,0,'Données projet'!$E$10+1,1))-AVERAGE(OFFSET($H$3,0,0,'Données projet'!$E$10+1,1))</f>
        <v>505.64100207870439</v>
      </c>
      <c r="AO186" s="60">
        <f t="shared" si="144"/>
        <v>371.76229669709249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6.4888008152756874E-2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6.4888008152756874E-2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-2.8421709430404007E-13</v>
      </c>
      <c r="BE186" s="14">
        <f>BD186*VLOOKUP('Données projet'!$B$11,Paramètres!$A$1:$I$89,3,0)*VLOOKUP('Données projet'!$B$11,Paramètres!$A$1:$I$89,5,0)</f>
        <v>-2.2612312022829427E-13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353.26636241468884</v>
      </c>
      <c r="BJ186" s="60">
        <f t="shared" si="146"/>
        <v>345.4750813433123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8.7411448106757925E-2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8.7411448106757925E-2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2.8421709430404007E-13</v>
      </c>
      <c r="BZ186" s="14">
        <f>BY186*VLOOKUP('Données projet'!$B$12,Paramètres!$A$1:$I$89,3,0)*VLOOKUP('Données projet'!$B$12,Paramètres!$A$1:$I$89,5,0)</f>
        <v>1.9065282685915009E-13</v>
      </c>
      <c r="CA186" s="14">
        <f t="shared" si="170"/>
        <v>2.6568987209435707E-12</v>
      </c>
      <c r="CB186" s="22">
        <f t="shared" si="171"/>
        <v>4.959485612423072E-12</v>
      </c>
      <c r="CC186" s="60">
        <f t="shared" si="119"/>
        <v>293.33333333333826</v>
      </c>
      <c r="CD186" s="60">
        <f ca="1">AVERAGE(OFFSET($CC$3,0,0,'Données projet'!$E$12+1,1))-AVERAGE(OFFSET($H$3,0,0,'Données projet'!$E$12+1,1))</f>
        <v>362.1372269575329</v>
      </c>
      <c r="CE186" s="60">
        <f t="shared" si="148"/>
        <v>308.1559670593121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4.4018408317147761E-2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4.4018408317147761E-2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2.2737367544323206E-13</v>
      </c>
      <c r="CU186" s="18">
        <f>CT186*VLOOKUP('Données projet'!$B$13,Paramètres!$A$1:$I$89,3,0)*VLOOKUP('Données projet'!$B$13,Paramètres!$A$1:$I$89,5,0)</f>
        <v>2.4474502424709499E-13</v>
      </c>
      <c r="CV186" s="14">
        <f t="shared" si="173"/>
        <v>3.3129863113888576E-12</v>
      </c>
      <c r="CW186" s="22">
        <f t="shared" si="174"/>
        <v>6.1963820762326169E-12</v>
      </c>
      <c r="CX186" s="60">
        <f t="shared" si="122"/>
        <v>293.33333333333951</v>
      </c>
      <c r="CY186" s="60">
        <f ca="1">AVERAGE(OFFSET($CX$3,0,0,'Données projet'!$E$13+1,1))-AVERAGE(OFFSET($H$3,0,0,'Données projet'!$E$13+1,1))</f>
        <v>488.44916315274139</v>
      </c>
      <c r="CZ186" s="60">
        <f t="shared" si="150"/>
        <v>348.17941150148209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5.7156671011151683E-2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5.7156671011151683E-2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4.5474735088646412E-13</v>
      </c>
      <c r="O187" s="14">
        <f>N187*VLOOKUP('Données projet'!$B$9,Paramètres!$A$1:$I$89,3,0)*VLOOKUP('Données projet'!$B$9,Paramètres!$A$1:$I$89,5,0)</f>
        <v>4.1145540308207271E-13</v>
      </c>
      <c r="P187" s="14">
        <f t="shared" si="141"/>
        <v>5.2428527960910789E-12</v>
      </c>
      <c r="Q187" s="22">
        <f t="shared" si="162"/>
        <v>9.8479201135599071E-12</v>
      </c>
      <c r="R187" s="60">
        <f t="shared" si="109"/>
        <v>293.33333333334315</v>
      </c>
      <c r="S187" s="60">
        <f ca="1">AVERAGE(OFFSET($R$3,0,0,'Données projet'!$E$9+1,1))-AVERAGE(OFFSET($H$3,0,0,'Données projet'!$E$9+1,1))</f>
        <v>319.72731970820928</v>
      </c>
      <c r="T187" s="60">
        <f t="shared" si="142"/>
        <v>279.93992813630513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1.1527845344971866E-13</v>
      </c>
      <c r="AK187" s="14">
        <f t="shared" si="164"/>
        <v>1.7033846239409443E-12</v>
      </c>
      <c r="AL187" s="22">
        <f t="shared" si="165"/>
        <v>3.1675048597887374E-12</v>
      </c>
      <c r="AM187" s="60">
        <f t="shared" si="113"/>
        <v>293.3333333333365</v>
      </c>
      <c r="AN187" s="60">
        <f ca="1">AVERAGE(OFFSET($AM$3,0,0,'Données projet'!$E$10+1,1))-AVERAGE(OFFSET($H$3,0,0,'Données projet'!$E$10+1,1))</f>
        <v>505.64100207870439</v>
      </c>
      <c r="AO187" s="60">
        <f t="shared" si="144"/>
        <v>371.76229669709249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6.3113642157507685E-2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6.3113642157507685E-2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-2.8421709430404007E-13</v>
      </c>
      <c r="BE187" s="14">
        <f>BD187*VLOOKUP('Données projet'!$B$11,Paramètres!$A$1:$I$89,3,0)*VLOOKUP('Données projet'!$B$11,Paramètres!$A$1:$I$89,5,0)</f>
        <v>-2.2612312022829427E-13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353.26636241468884</v>
      </c>
      <c r="BJ187" s="60">
        <f t="shared" si="146"/>
        <v>345.4750813433123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8.5021177461510361E-2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8.5021177461510361E-2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2.8421709430404007E-13</v>
      </c>
      <c r="BZ187" s="14">
        <f>BY187*VLOOKUP('Données projet'!$B$12,Paramètres!$A$1:$I$89,3,0)*VLOOKUP('Données projet'!$B$12,Paramètres!$A$1:$I$89,5,0)</f>
        <v>1.9065282685915009E-13</v>
      </c>
      <c r="CA187" s="14">
        <f t="shared" si="170"/>
        <v>2.6568987209435707E-12</v>
      </c>
      <c r="CB187" s="22">
        <f t="shared" si="171"/>
        <v>4.959485612423072E-12</v>
      </c>
      <c r="CC187" s="60">
        <f t="shared" si="119"/>
        <v>293.33333333333826</v>
      </c>
      <c r="CD187" s="60">
        <f ca="1">AVERAGE(OFFSET($CC$3,0,0,'Données projet'!$E$12+1,1))-AVERAGE(OFFSET($H$3,0,0,'Données projet'!$E$12+1,1))</f>
        <v>362.1372269575329</v>
      </c>
      <c r="CE187" s="60">
        <f t="shared" si="148"/>
        <v>308.1559670593121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4.2814722626887868E-2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4.2814722626887868E-2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2.2737367544323206E-13</v>
      </c>
      <c r="CU187" s="18">
        <f>CT187*VLOOKUP('Données projet'!$B$13,Paramètres!$A$1:$I$89,3,0)*VLOOKUP('Données projet'!$B$13,Paramètres!$A$1:$I$89,5,0)</f>
        <v>2.4474502424709499E-13</v>
      </c>
      <c r="CV187" s="14">
        <f t="shared" si="173"/>
        <v>3.3129863113888576E-12</v>
      </c>
      <c r="CW187" s="22">
        <f t="shared" si="174"/>
        <v>6.1963820762326169E-12</v>
      </c>
      <c r="CX187" s="60">
        <f t="shared" si="122"/>
        <v>293.33333333333951</v>
      </c>
      <c r="CY187" s="60">
        <f ca="1">AVERAGE(OFFSET($CX$3,0,0,'Données projet'!$E$13+1,1))-AVERAGE(OFFSET($H$3,0,0,'Données projet'!$E$13+1,1))</f>
        <v>488.44916315274139</v>
      </c>
      <c r="CZ187" s="60">
        <f t="shared" si="150"/>
        <v>348.17941150148209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5.5593718836613043E-2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5.5593718836613043E-2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4.5474735088646412E-13</v>
      </c>
      <c r="O188" s="14">
        <f>N188*VLOOKUP('Données projet'!$B$9,Paramètres!$A$1:$I$89,3,0)*VLOOKUP('Données projet'!$B$9,Paramètres!$A$1:$I$89,5,0)</f>
        <v>4.1145540308207271E-13</v>
      </c>
      <c r="P188" s="14">
        <f t="shared" si="141"/>
        <v>5.2428527960910789E-12</v>
      </c>
      <c r="Q188" s="22">
        <f t="shared" si="162"/>
        <v>9.8479201135599071E-12</v>
      </c>
      <c r="R188" s="60">
        <f t="shared" si="109"/>
        <v>293.33333333334315</v>
      </c>
      <c r="S188" s="60">
        <f ca="1">AVERAGE(OFFSET($R$3,0,0,'Données projet'!$E$9+1,1))-AVERAGE(OFFSET($H$3,0,0,'Données projet'!$E$9+1,1))</f>
        <v>319.72731970820928</v>
      </c>
      <c r="T188" s="60">
        <f t="shared" si="142"/>
        <v>279.93992813630513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1.1527845344971866E-13</v>
      </c>
      <c r="AK188" s="14">
        <f t="shared" si="164"/>
        <v>1.7033846239409443E-12</v>
      </c>
      <c r="AL188" s="22">
        <f t="shared" si="165"/>
        <v>3.1675048597887374E-12</v>
      </c>
      <c r="AM188" s="60">
        <f t="shared" si="113"/>
        <v>293.3333333333365</v>
      </c>
      <c r="AN188" s="60">
        <f ca="1">AVERAGE(OFFSET($AM$3,0,0,'Données projet'!$E$10+1,1))-AVERAGE(OFFSET($H$3,0,0,'Données projet'!$E$10+1,1))</f>
        <v>505.64100207870439</v>
      </c>
      <c r="AO188" s="60">
        <f t="shared" si="144"/>
        <v>371.76229669709249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6.1387796293708448E-2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6.1387796293708448E-2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-2.8421709430404007E-13</v>
      </c>
      <c r="BE188" s="14">
        <f>BD188*VLOOKUP('Données projet'!$B$11,Paramètres!$A$1:$I$89,3,0)*VLOOKUP('Données projet'!$B$11,Paramètres!$A$1:$I$89,5,0)</f>
        <v>-2.2612312022829427E-13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353.26636241468884</v>
      </c>
      <c r="BJ188" s="60">
        <f t="shared" si="146"/>
        <v>345.4750813433123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8.2696268892755956E-2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8.2696268892755956E-2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2.8421709430404007E-13</v>
      </c>
      <c r="BZ188" s="14">
        <f>BY188*VLOOKUP('Données projet'!$B$12,Paramètres!$A$1:$I$89,3,0)*VLOOKUP('Données projet'!$B$12,Paramètres!$A$1:$I$89,5,0)</f>
        <v>1.9065282685915009E-13</v>
      </c>
      <c r="CA188" s="14">
        <f t="shared" si="170"/>
        <v>2.6568987209435707E-12</v>
      </c>
      <c r="CB188" s="22">
        <f t="shared" si="171"/>
        <v>4.959485612423072E-12</v>
      </c>
      <c r="CC188" s="60">
        <f t="shared" si="119"/>
        <v>293.33333333333826</v>
      </c>
      <c r="CD188" s="60">
        <f ca="1">AVERAGE(OFFSET($CC$3,0,0,'Données projet'!$E$12+1,1))-AVERAGE(OFFSET($H$3,0,0,'Données projet'!$E$12+1,1))</f>
        <v>362.1372269575329</v>
      </c>
      <c r="CE188" s="60">
        <f t="shared" si="148"/>
        <v>308.1559670593121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4.1643951785127212E-2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4.1643951785127212E-2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2.2737367544323206E-13</v>
      </c>
      <c r="CU188" s="18">
        <f>CT188*VLOOKUP('Données projet'!$B$13,Paramètres!$A$1:$I$89,3,0)*VLOOKUP('Données projet'!$B$13,Paramètres!$A$1:$I$89,5,0)</f>
        <v>2.4474502424709499E-13</v>
      </c>
      <c r="CV188" s="14">
        <f t="shared" si="173"/>
        <v>3.3129863113888576E-12</v>
      </c>
      <c r="CW188" s="22">
        <f t="shared" si="174"/>
        <v>6.1963820762326169E-12</v>
      </c>
      <c r="CX188" s="60">
        <f t="shared" si="122"/>
        <v>293.33333333333951</v>
      </c>
      <c r="CY188" s="60">
        <f ca="1">AVERAGE(OFFSET($CX$3,0,0,'Données projet'!$E$13+1,1))-AVERAGE(OFFSET($H$3,0,0,'Données projet'!$E$13+1,1))</f>
        <v>488.44916315274139</v>
      </c>
      <c r="CZ188" s="60">
        <f t="shared" si="150"/>
        <v>348.17941150148209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5.4073505671479248E-2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5.4073505671479248E-2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4.5474735088646412E-13</v>
      </c>
      <c r="O189" s="14">
        <f>N189*VLOOKUP('Données projet'!$B$9,Paramètres!$A$1:$I$89,3,0)*VLOOKUP('Données projet'!$B$9,Paramètres!$A$1:$I$89,5,0)</f>
        <v>4.1145540308207271E-13</v>
      </c>
      <c r="P189" s="14">
        <f t="shared" si="141"/>
        <v>5.2428527960910789E-12</v>
      </c>
      <c r="Q189" s="22">
        <f t="shared" si="162"/>
        <v>9.8479201135599071E-12</v>
      </c>
      <c r="R189" s="60">
        <f t="shared" si="109"/>
        <v>293.33333333334315</v>
      </c>
      <c r="S189" s="60">
        <f ca="1">AVERAGE(OFFSET($R$3,0,0,'Données projet'!$E$9+1,1))-AVERAGE(OFFSET($H$3,0,0,'Données projet'!$E$9+1,1))</f>
        <v>319.72731970820928</v>
      </c>
      <c r="T189" s="60">
        <f t="shared" si="142"/>
        <v>279.93992813630513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1.1527845344971866E-13</v>
      </c>
      <c r="AK189" s="14">
        <f t="shared" si="164"/>
        <v>1.7033846239409443E-12</v>
      </c>
      <c r="AL189" s="22">
        <f t="shared" si="165"/>
        <v>3.1675048597887374E-12</v>
      </c>
      <c r="AM189" s="60">
        <f t="shared" si="113"/>
        <v>293.3333333333365</v>
      </c>
      <c r="AN189" s="60">
        <f ca="1">AVERAGE(OFFSET($AM$3,0,0,'Données projet'!$E$10+1,1))-AVERAGE(OFFSET($H$3,0,0,'Données projet'!$E$10+1,1))</f>
        <v>505.64100207870439</v>
      </c>
      <c r="AO189" s="60">
        <f t="shared" si="144"/>
        <v>371.76229669709249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5.9709143775813087E-2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5.9709143775813087E-2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-2.8421709430404007E-13</v>
      </c>
      <c r="BE189" s="14">
        <f>BD189*VLOOKUP('Données projet'!$B$11,Paramètres!$A$1:$I$89,3,0)*VLOOKUP('Données projet'!$B$11,Paramètres!$A$1:$I$89,5,0)</f>
        <v>-2.2612312022829427E-13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353.26636241468884</v>
      </c>
      <c r="BJ189" s="60">
        <f t="shared" si="146"/>
        <v>345.4750813433123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8.0434935071075769E-2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8.0434935071075769E-2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2.8421709430404007E-13</v>
      </c>
      <c r="BZ189" s="14">
        <f>BY189*VLOOKUP('Données projet'!$B$12,Paramètres!$A$1:$I$89,3,0)*VLOOKUP('Données projet'!$B$12,Paramètres!$A$1:$I$89,5,0)</f>
        <v>1.9065282685915009E-13</v>
      </c>
      <c r="CA189" s="14">
        <f t="shared" si="170"/>
        <v>2.6568987209435707E-12</v>
      </c>
      <c r="CB189" s="22">
        <f t="shared" si="171"/>
        <v>4.959485612423072E-12</v>
      </c>
      <c r="CC189" s="60">
        <f t="shared" si="119"/>
        <v>293.33333333333826</v>
      </c>
      <c r="CD189" s="60">
        <f ca="1">AVERAGE(OFFSET($CC$3,0,0,'Données projet'!$E$12+1,1))-AVERAGE(OFFSET($H$3,0,0,'Données projet'!$E$12+1,1))</f>
        <v>362.1372269575329</v>
      </c>
      <c r="CE189" s="60">
        <f t="shared" si="148"/>
        <v>308.1559670593121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4.0505195733602666E-2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4.0505195733602666E-2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2.2737367544323206E-13</v>
      </c>
      <c r="CU189" s="18">
        <f>CT189*VLOOKUP('Données projet'!$B$13,Paramètres!$A$1:$I$89,3,0)*VLOOKUP('Données projet'!$B$13,Paramètres!$A$1:$I$89,5,0)</f>
        <v>2.4474502424709499E-13</v>
      </c>
      <c r="CV189" s="14">
        <f t="shared" si="173"/>
        <v>3.3129863113888576E-12</v>
      </c>
      <c r="CW189" s="22">
        <f t="shared" si="174"/>
        <v>6.1963820762326169E-12</v>
      </c>
      <c r="CX189" s="60">
        <f t="shared" si="122"/>
        <v>293.33333333333951</v>
      </c>
      <c r="CY189" s="60">
        <f ca="1">AVERAGE(OFFSET($CX$3,0,0,'Données projet'!$E$13+1,1))-AVERAGE(OFFSET($H$3,0,0,'Données projet'!$E$13+1,1))</f>
        <v>488.44916315274139</v>
      </c>
      <c r="CZ189" s="60">
        <f t="shared" si="150"/>
        <v>348.17941150148209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5.259486281529057E-2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5.259486281529057E-2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4.5474735088646412E-13</v>
      </c>
      <c r="O190" s="14">
        <f>N190*VLOOKUP('Données projet'!$B$9,Paramètres!$A$1:$I$89,3,0)*VLOOKUP('Données projet'!$B$9,Paramètres!$A$1:$I$89,5,0)</f>
        <v>4.1145540308207271E-13</v>
      </c>
      <c r="P190" s="14">
        <f t="shared" si="141"/>
        <v>5.2428527960910789E-12</v>
      </c>
      <c r="Q190" s="22">
        <f t="shared" si="162"/>
        <v>9.8479201135599071E-12</v>
      </c>
      <c r="R190" s="60">
        <f t="shared" si="109"/>
        <v>293.33333333334315</v>
      </c>
      <c r="S190" s="60">
        <f ca="1">AVERAGE(OFFSET($R$3,0,0,'Données projet'!$E$9+1,1))-AVERAGE(OFFSET($H$3,0,0,'Données projet'!$E$9+1,1))</f>
        <v>319.72731970820928</v>
      </c>
      <c r="T190" s="60">
        <f t="shared" si="142"/>
        <v>279.93992813630513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1.1527845344971866E-13</v>
      </c>
      <c r="AK190" s="14">
        <f t="shared" si="164"/>
        <v>1.7033846239409443E-12</v>
      </c>
      <c r="AL190" s="22">
        <f t="shared" si="165"/>
        <v>3.1675048597887374E-12</v>
      </c>
      <c r="AM190" s="60">
        <f t="shared" si="113"/>
        <v>293.3333333333365</v>
      </c>
      <c r="AN190" s="60">
        <f ca="1">AVERAGE(OFFSET($AM$3,0,0,'Données projet'!$E$10+1,1))-AVERAGE(OFFSET($H$3,0,0,'Données projet'!$E$10+1,1))</f>
        <v>505.64100207870439</v>
      </c>
      <c r="AO190" s="60">
        <f t="shared" si="144"/>
        <v>371.76229669709249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5.8076394099296075E-2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5.8076394099296075E-2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-2.8421709430404007E-13</v>
      </c>
      <c r="BE190" s="14">
        <f>BD190*VLOOKUP('Données projet'!$B$11,Paramètres!$A$1:$I$89,3,0)*VLOOKUP('Données projet'!$B$11,Paramètres!$A$1:$I$89,5,0)</f>
        <v>-2.2612312022829427E-13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353.26636241468884</v>
      </c>
      <c r="BJ190" s="60">
        <f t="shared" si="146"/>
        <v>345.4750813433123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7.8235437541667799E-2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7.8235437541667799E-2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2.8421709430404007E-13</v>
      </c>
      <c r="BZ190" s="14">
        <f>BY190*VLOOKUP('Données projet'!$B$12,Paramètres!$A$1:$I$89,3,0)*VLOOKUP('Données projet'!$B$12,Paramètres!$A$1:$I$89,5,0)</f>
        <v>1.9065282685915009E-13</v>
      </c>
      <c r="CA190" s="14">
        <f t="shared" si="170"/>
        <v>2.6568987209435707E-12</v>
      </c>
      <c r="CB190" s="22">
        <f t="shared" si="171"/>
        <v>4.959485612423072E-12</v>
      </c>
      <c r="CC190" s="60">
        <f t="shared" si="119"/>
        <v>293.33333333333826</v>
      </c>
      <c r="CD190" s="60">
        <f ca="1">AVERAGE(OFFSET($CC$3,0,0,'Données projet'!$E$12+1,1))-AVERAGE(OFFSET($H$3,0,0,'Données projet'!$E$12+1,1))</f>
        <v>362.1372269575329</v>
      </c>
      <c r="CE190" s="60">
        <f t="shared" si="148"/>
        <v>308.1559670593121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3.9397579026191634E-2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3.9397579026191634E-2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2.2737367544323206E-13</v>
      </c>
      <c r="CU190" s="18">
        <f>CT190*VLOOKUP('Données projet'!$B$13,Paramètres!$A$1:$I$89,3,0)*VLOOKUP('Données projet'!$B$13,Paramètres!$A$1:$I$89,5,0)</f>
        <v>2.4474502424709499E-13</v>
      </c>
      <c r="CV190" s="14">
        <f t="shared" si="173"/>
        <v>3.3129863113888576E-12</v>
      </c>
      <c r="CW190" s="22">
        <f t="shared" si="174"/>
        <v>6.1963820762326169E-12</v>
      </c>
      <c r="CX190" s="60">
        <f t="shared" si="122"/>
        <v>293.33333333333951</v>
      </c>
      <c r="CY190" s="60">
        <f ca="1">AVERAGE(OFFSET($CX$3,0,0,'Données projet'!$E$13+1,1))-AVERAGE(OFFSET($H$3,0,0,'Données projet'!$E$13+1,1))</f>
        <v>488.44916315274139</v>
      </c>
      <c r="CZ190" s="60">
        <f t="shared" si="150"/>
        <v>348.17941150148209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5.1156653525762819E-2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5.1156653525762819E-2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4.5474735088646412E-13</v>
      </c>
      <c r="O191" s="14">
        <f>N191*VLOOKUP('Données projet'!$B$9,Paramètres!$A$1:$I$89,3,0)*VLOOKUP('Données projet'!$B$9,Paramètres!$A$1:$I$89,5,0)</f>
        <v>4.1145540308207271E-13</v>
      </c>
      <c r="P191" s="14">
        <f t="shared" si="141"/>
        <v>5.2428527960910789E-12</v>
      </c>
      <c r="Q191" s="22">
        <f t="shared" si="162"/>
        <v>9.8479201135599071E-12</v>
      </c>
      <c r="R191" s="60">
        <f t="shared" si="109"/>
        <v>293.33333333334315</v>
      </c>
      <c r="S191" s="60">
        <f ca="1">AVERAGE(OFFSET($R$3,0,0,'Données projet'!$E$9+1,1))-AVERAGE(OFFSET($H$3,0,0,'Données projet'!$E$9+1,1))</f>
        <v>319.72731970820928</v>
      </c>
      <c r="T191" s="60">
        <f t="shared" si="142"/>
        <v>279.93992813630513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1.1527845344971866E-13</v>
      </c>
      <c r="AK191" s="14">
        <f t="shared" si="164"/>
        <v>1.7033846239409443E-12</v>
      </c>
      <c r="AL191" s="22">
        <f t="shared" si="165"/>
        <v>3.1675048597887374E-12</v>
      </c>
      <c r="AM191" s="60">
        <f t="shared" si="113"/>
        <v>293.3333333333365</v>
      </c>
      <c r="AN191" s="60">
        <f ca="1">AVERAGE(OFFSET($AM$3,0,0,'Données projet'!$E$10+1,1))-AVERAGE(OFFSET($H$3,0,0,'Données projet'!$E$10+1,1))</f>
        <v>505.64100207870439</v>
      </c>
      <c r="AO191" s="60">
        <f t="shared" si="144"/>
        <v>371.76229669709249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5.6488292048545996E-2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5.6488292048545996E-2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-2.8421709430404007E-13</v>
      </c>
      <c r="BE191" s="14">
        <f>BD191*VLOOKUP('Données projet'!$B$11,Paramètres!$A$1:$I$89,3,0)*VLOOKUP('Données projet'!$B$11,Paramètres!$A$1:$I$89,5,0)</f>
        <v>-2.2612312022829427E-13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353.26636241468884</v>
      </c>
      <c r="BJ191" s="60">
        <f t="shared" si="146"/>
        <v>345.4750813433123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7.6096085387868037E-2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7.6096085387868037E-2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2.8421709430404007E-13</v>
      </c>
      <c r="BZ191" s="14">
        <f>BY191*VLOOKUP('Données projet'!$B$12,Paramètres!$A$1:$I$89,3,0)*VLOOKUP('Données projet'!$B$12,Paramètres!$A$1:$I$89,5,0)</f>
        <v>1.9065282685915009E-13</v>
      </c>
      <c r="CA191" s="14">
        <f t="shared" si="170"/>
        <v>2.6568987209435707E-12</v>
      </c>
      <c r="CB191" s="22">
        <f t="shared" si="171"/>
        <v>4.959485612423072E-12</v>
      </c>
      <c r="CC191" s="60">
        <f t="shared" si="119"/>
        <v>293.33333333333826</v>
      </c>
      <c r="CD191" s="60">
        <f ca="1">AVERAGE(OFFSET($CC$3,0,0,'Données projet'!$E$12+1,1))-AVERAGE(OFFSET($H$3,0,0,'Données projet'!$E$12+1,1))</f>
        <v>362.1372269575329</v>
      </c>
      <c r="CE191" s="60">
        <f t="shared" si="148"/>
        <v>308.1559670593121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3.8320250155891786E-2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3.8320250155891786E-2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2.2737367544323206E-13</v>
      </c>
      <c r="CU191" s="18">
        <f>CT191*VLOOKUP('Données projet'!$B$13,Paramètres!$A$1:$I$89,3,0)*VLOOKUP('Données projet'!$B$13,Paramètres!$A$1:$I$89,5,0)</f>
        <v>2.4474502424709499E-13</v>
      </c>
      <c r="CV191" s="14">
        <f t="shared" si="173"/>
        <v>3.3129863113888576E-12</v>
      </c>
      <c r="CW191" s="22">
        <f t="shared" si="174"/>
        <v>6.1963820762326169E-12</v>
      </c>
      <c r="CX191" s="60">
        <f t="shared" si="122"/>
        <v>293.33333333333951</v>
      </c>
      <c r="CY191" s="60">
        <f ca="1">AVERAGE(OFFSET($CX$3,0,0,'Données projet'!$E$13+1,1))-AVERAGE(OFFSET($H$3,0,0,'Données projet'!$E$13+1,1))</f>
        <v>488.44916315274139</v>
      </c>
      <c r="CZ191" s="60">
        <f t="shared" si="150"/>
        <v>348.17941150148209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4.9757772144889342E-2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4.9757772144889342E-2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4.5474735088646412E-13</v>
      </c>
      <c r="O192" s="14">
        <f>N192*VLOOKUP('Données projet'!$B$9,Paramètres!$A$1:$I$89,3,0)*VLOOKUP('Données projet'!$B$9,Paramètres!$A$1:$I$89,5,0)</f>
        <v>4.1145540308207271E-13</v>
      </c>
      <c r="P192" s="14">
        <f t="shared" si="141"/>
        <v>5.2428527960910789E-12</v>
      </c>
      <c r="Q192" s="22">
        <f t="shared" si="162"/>
        <v>9.8479201135599071E-12</v>
      </c>
      <c r="R192" s="60">
        <f t="shared" si="109"/>
        <v>293.33333333334315</v>
      </c>
      <c r="S192" s="60">
        <f ca="1">AVERAGE(OFFSET($R$3,0,0,'Données projet'!$E$9+1,1))-AVERAGE(OFFSET($H$3,0,0,'Données projet'!$E$9+1,1))</f>
        <v>319.72731970820928</v>
      </c>
      <c r="T192" s="60">
        <f t="shared" si="142"/>
        <v>279.93992813630513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1.1527845344971866E-13</v>
      </c>
      <c r="AK192" s="14">
        <f t="shared" si="164"/>
        <v>1.7033846239409443E-12</v>
      </c>
      <c r="AL192" s="22">
        <f t="shared" si="165"/>
        <v>3.1675048597887374E-12</v>
      </c>
      <c r="AM192" s="60">
        <f t="shared" si="113"/>
        <v>293.3333333333365</v>
      </c>
      <c r="AN192" s="60">
        <f ca="1">AVERAGE(OFFSET($AM$3,0,0,'Données projet'!$E$10+1,1))-AVERAGE(OFFSET($H$3,0,0,'Données projet'!$E$10+1,1))</f>
        <v>505.64100207870439</v>
      </c>
      <c r="AO192" s="60">
        <f t="shared" si="144"/>
        <v>371.76229669709249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5.4943616731888335E-2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5.4943616731888335E-2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-2.8421709430404007E-13</v>
      </c>
      <c r="BE192" s="14">
        <f>BD192*VLOOKUP('Données projet'!$B$11,Paramètres!$A$1:$I$89,3,0)*VLOOKUP('Données projet'!$B$11,Paramètres!$A$1:$I$89,5,0)</f>
        <v>-2.2612312022829427E-13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353.26636241468884</v>
      </c>
      <c r="BJ192" s="60">
        <f t="shared" si="146"/>
        <v>345.4750813433123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7.4015233931217575E-2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7.4015233931217575E-2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2.8421709430404007E-13</v>
      </c>
      <c r="BZ192" s="14">
        <f>BY192*VLOOKUP('Données projet'!$B$12,Paramètres!$A$1:$I$89,3,0)*VLOOKUP('Données projet'!$B$12,Paramètres!$A$1:$I$89,5,0)</f>
        <v>1.9065282685915009E-13</v>
      </c>
      <c r="CA192" s="14">
        <f t="shared" si="170"/>
        <v>2.6568987209435707E-12</v>
      </c>
      <c r="CB192" s="22">
        <f t="shared" si="171"/>
        <v>4.959485612423072E-12</v>
      </c>
      <c r="CC192" s="60">
        <f t="shared" si="119"/>
        <v>293.33333333333826</v>
      </c>
      <c r="CD192" s="60">
        <f ca="1">AVERAGE(OFFSET($CC$3,0,0,'Données projet'!$E$12+1,1))-AVERAGE(OFFSET($H$3,0,0,'Données projet'!$E$12+1,1))</f>
        <v>362.1372269575329</v>
      </c>
      <c r="CE192" s="60">
        <f t="shared" si="148"/>
        <v>308.1559670593121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3.7272380900204551E-2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3.7272380900204551E-2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2.2737367544323206E-13</v>
      </c>
      <c r="CU192" s="18">
        <f>CT192*VLOOKUP('Données projet'!$B$13,Paramètres!$A$1:$I$89,3,0)*VLOOKUP('Données projet'!$B$13,Paramètres!$A$1:$I$89,5,0)</f>
        <v>2.4474502424709499E-13</v>
      </c>
      <c r="CV192" s="14">
        <f t="shared" si="173"/>
        <v>3.3129863113888576E-12</v>
      </c>
      <c r="CW192" s="22">
        <f t="shared" si="174"/>
        <v>6.1963820762326169E-12</v>
      </c>
      <c r="CX192" s="60">
        <f t="shared" si="122"/>
        <v>293.33333333333951</v>
      </c>
      <c r="CY192" s="60">
        <f ca="1">AVERAGE(OFFSET($CX$3,0,0,'Données projet'!$E$13+1,1))-AVERAGE(OFFSET($H$3,0,0,'Données projet'!$E$13+1,1))</f>
        <v>488.44916315274139</v>
      </c>
      <c r="CZ192" s="60">
        <f t="shared" si="150"/>
        <v>348.17941150148209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4.8397143248939831E-2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4.8397143248939831E-2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4.5474735088646412E-13</v>
      </c>
      <c r="O193" s="14">
        <f>N193*VLOOKUP('Données projet'!$B$9,Paramètres!$A$1:$I$89,3,0)*VLOOKUP('Données projet'!$B$9,Paramètres!$A$1:$I$89,5,0)</f>
        <v>4.1145540308207271E-13</v>
      </c>
      <c r="P193" s="14">
        <f t="shared" si="141"/>
        <v>5.2428527960910789E-12</v>
      </c>
      <c r="Q193" s="22">
        <f t="shared" si="162"/>
        <v>9.8479201135599071E-12</v>
      </c>
      <c r="R193" s="60">
        <f t="shared" si="109"/>
        <v>293.33333333334315</v>
      </c>
      <c r="S193" s="60">
        <f ca="1">AVERAGE(OFFSET($R$3,0,0,'Données projet'!$E$9+1,1))-AVERAGE(OFFSET($H$3,0,0,'Données projet'!$E$9+1,1))</f>
        <v>319.72731970820928</v>
      </c>
      <c r="T193" s="60">
        <f t="shared" si="142"/>
        <v>279.93992813630513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1.1527845344971866E-13</v>
      </c>
      <c r="AK193" s="14">
        <f t="shared" si="164"/>
        <v>1.7033846239409443E-12</v>
      </c>
      <c r="AL193" s="22">
        <f t="shared" si="165"/>
        <v>3.1675048597887374E-12</v>
      </c>
      <c r="AM193" s="60">
        <f t="shared" si="113"/>
        <v>293.3333333333365</v>
      </c>
      <c r="AN193" s="60">
        <f ca="1">AVERAGE(OFFSET($AM$3,0,0,'Données projet'!$E$10+1,1))-AVERAGE(OFFSET($H$3,0,0,'Données projet'!$E$10+1,1))</f>
        <v>505.64100207870439</v>
      </c>
      <c r="AO193" s="60">
        <f t="shared" si="144"/>
        <v>371.76229669709249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5.344118064299562E-2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5.344118064299562E-2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-2.8421709430404007E-13</v>
      </c>
      <c r="BE193" s="14">
        <f>BD193*VLOOKUP('Données projet'!$B$11,Paramètres!$A$1:$I$89,3,0)*VLOOKUP('Données projet'!$B$11,Paramètres!$A$1:$I$89,5,0)</f>
        <v>-2.2612312022829427E-13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353.26636241468884</v>
      </c>
      <c r="BJ193" s="60">
        <f t="shared" si="146"/>
        <v>345.4750813433123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7.1991283467076436E-2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7.1991283467076436E-2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2.8421709430404007E-13</v>
      </c>
      <c r="BZ193" s="14">
        <f>BY193*VLOOKUP('Données projet'!$B$12,Paramètres!$A$1:$I$89,3,0)*VLOOKUP('Données projet'!$B$12,Paramètres!$A$1:$I$89,5,0)</f>
        <v>1.9065282685915009E-13</v>
      </c>
      <c r="CA193" s="14">
        <f t="shared" si="170"/>
        <v>2.6568987209435707E-12</v>
      </c>
      <c r="CB193" s="22">
        <f t="shared" si="171"/>
        <v>4.959485612423072E-12</v>
      </c>
      <c r="CC193" s="60">
        <f t="shared" si="119"/>
        <v>293.33333333333826</v>
      </c>
      <c r="CD193" s="60">
        <f ca="1">AVERAGE(OFFSET($CC$3,0,0,'Données projet'!$E$12+1,1))-AVERAGE(OFFSET($H$3,0,0,'Données projet'!$E$12+1,1))</f>
        <v>362.1372269575329</v>
      </c>
      <c r="CE193" s="60">
        <f t="shared" si="148"/>
        <v>308.1559670593121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3.6253165684419129E-2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3.6253165684419129E-2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2.2737367544323206E-13</v>
      </c>
      <c r="CU193" s="18">
        <f>CT193*VLOOKUP('Données projet'!$B$13,Paramètres!$A$1:$I$89,3,0)*VLOOKUP('Données projet'!$B$13,Paramètres!$A$1:$I$89,5,0)</f>
        <v>2.4474502424709499E-13</v>
      </c>
      <c r="CV193" s="14">
        <f t="shared" si="173"/>
        <v>3.3129863113888576E-12</v>
      </c>
      <c r="CW193" s="22">
        <f t="shared" si="174"/>
        <v>6.1963820762326169E-12</v>
      </c>
      <c r="CX193" s="60">
        <f t="shared" si="122"/>
        <v>293.33333333333951</v>
      </c>
      <c r="CY193" s="60">
        <f ca="1">AVERAGE(OFFSET($CX$3,0,0,'Données projet'!$E$13+1,1))-AVERAGE(OFFSET($H$3,0,0,'Données projet'!$E$13+1,1))</f>
        <v>488.44916315274139</v>
      </c>
      <c r="CZ193" s="60">
        <f t="shared" si="150"/>
        <v>348.17941150148209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4.7073720821702421E-2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4.7073720821702421E-2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4.5474735088646412E-13</v>
      </c>
      <c r="O194" s="14">
        <f>N194*VLOOKUP('Données projet'!$B$9,Paramètres!$A$1:$I$89,3,0)*VLOOKUP('Données projet'!$B$9,Paramètres!$A$1:$I$89,5,0)</f>
        <v>4.1145540308207271E-13</v>
      </c>
      <c r="P194" s="14">
        <f t="shared" si="141"/>
        <v>5.2428527960910789E-12</v>
      </c>
      <c r="Q194" s="22">
        <f t="shared" si="162"/>
        <v>9.8479201135599071E-12</v>
      </c>
      <c r="R194" s="60">
        <f t="shared" si="109"/>
        <v>293.33333333334315</v>
      </c>
      <c r="S194" s="60">
        <f ca="1">AVERAGE(OFFSET($R$3,0,0,'Données projet'!$E$9+1,1))-AVERAGE(OFFSET($H$3,0,0,'Données projet'!$E$9+1,1))</f>
        <v>319.72731970820928</v>
      </c>
      <c r="T194" s="60">
        <f t="shared" si="142"/>
        <v>279.93992813630513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1.1527845344971866E-13</v>
      </c>
      <c r="AK194" s="14">
        <f t="shared" si="164"/>
        <v>1.7033846239409443E-12</v>
      </c>
      <c r="AL194" s="22">
        <f t="shared" si="165"/>
        <v>3.1675048597887374E-12</v>
      </c>
      <c r="AM194" s="60">
        <f t="shared" si="113"/>
        <v>293.3333333333365</v>
      </c>
      <c r="AN194" s="60">
        <f ca="1">AVERAGE(OFFSET($AM$3,0,0,'Données projet'!$E$10+1,1))-AVERAGE(OFFSET($H$3,0,0,'Données projet'!$E$10+1,1))</f>
        <v>505.64100207870439</v>
      </c>
      <c r="AO194" s="60">
        <f t="shared" si="144"/>
        <v>371.76229669709249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5.1979828747963357E-2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5.1979828747963357E-2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-2.8421709430404007E-13</v>
      </c>
      <c r="BE194" s="14">
        <f>BD194*VLOOKUP('Données projet'!$B$11,Paramètres!$A$1:$I$89,3,0)*VLOOKUP('Données projet'!$B$11,Paramètres!$A$1:$I$89,5,0)</f>
        <v>-2.2612312022829427E-13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353.26636241468884</v>
      </c>
      <c r="BJ194" s="60">
        <f t="shared" si="146"/>
        <v>345.4750813433123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7.0022678034812172E-2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7.0022678034812172E-2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2.8421709430404007E-13</v>
      </c>
      <c r="BZ194" s="14">
        <f>BY194*VLOOKUP('Données projet'!$B$12,Paramètres!$A$1:$I$89,3,0)*VLOOKUP('Données projet'!$B$12,Paramètres!$A$1:$I$89,5,0)</f>
        <v>1.9065282685915009E-13</v>
      </c>
      <c r="CA194" s="14">
        <f t="shared" si="170"/>
        <v>2.6568987209435707E-12</v>
      </c>
      <c r="CB194" s="22">
        <f t="shared" si="171"/>
        <v>4.959485612423072E-12</v>
      </c>
      <c r="CC194" s="60">
        <f t="shared" si="119"/>
        <v>293.33333333333826</v>
      </c>
      <c r="CD194" s="60">
        <f ca="1">AVERAGE(OFFSET($CC$3,0,0,'Données projet'!$E$12+1,1))-AVERAGE(OFFSET($H$3,0,0,'Données projet'!$E$12+1,1))</f>
        <v>362.1372269575329</v>
      </c>
      <c r="CE194" s="60">
        <f t="shared" si="148"/>
        <v>308.1559670593121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3.5261820962307559E-2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3.5261820962307559E-2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2.2737367544323206E-13</v>
      </c>
      <c r="CU194" s="18">
        <f>CT194*VLOOKUP('Données projet'!$B$13,Paramètres!$A$1:$I$89,3,0)*VLOOKUP('Données projet'!$B$13,Paramètres!$A$1:$I$89,5,0)</f>
        <v>2.4474502424709499E-13</v>
      </c>
      <c r="CV194" s="14">
        <f t="shared" si="173"/>
        <v>3.3129863113888576E-12</v>
      </c>
      <c r="CW194" s="22">
        <f t="shared" si="174"/>
        <v>6.1963820762326169E-12</v>
      </c>
      <c r="CX194" s="60">
        <f t="shared" si="122"/>
        <v>293.33333333333951</v>
      </c>
      <c r="CY194" s="60">
        <f ca="1">AVERAGE(OFFSET($CX$3,0,0,'Données projet'!$E$13+1,1))-AVERAGE(OFFSET($H$3,0,0,'Données projet'!$E$13+1,1))</f>
        <v>488.44916315274139</v>
      </c>
      <c r="CZ194" s="60">
        <f t="shared" si="150"/>
        <v>348.17941150148209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4.5786487450333577E-2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4.5786487450333577E-2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4.5474735088646412E-13</v>
      </c>
      <c r="O195" s="14">
        <f>N195*VLOOKUP('Données projet'!$B$9,Paramètres!$A$1:$I$89,3,0)*VLOOKUP('Données projet'!$B$9,Paramètres!$A$1:$I$89,5,0)</f>
        <v>4.1145540308207271E-13</v>
      </c>
      <c r="P195" s="14">
        <f t="shared" si="141"/>
        <v>5.2428527960910789E-12</v>
      </c>
      <c r="Q195" s="22">
        <f t="shared" si="162"/>
        <v>9.8479201135599071E-12</v>
      </c>
      <c r="R195" s="60">
        <f t="shared" ref="R195:R203" si="191">Q195+(I195+J195)*44/12</f>
        <v>293.33333333334315</v>
      </c>
      <c r="S195" s="60">
        <f ca="1">AVERAGE(OFFSET($R$3,0,0,'Données projet'!$E$9+1,1))-AVERAGE(OFFSET($H$3,0,0,'Données projet'!$E$9+1,1))</f>
        <v>319.72731970820928</v>
      </c>
      <c r="T195" s="60">
        <f t="shared" si="142"/>
        <v>279.93992813630513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1.1527845344971866E-13</v>
      </c>
      <c r="AK195" s="14">
        <f t="shared" si="164"/>
        <v>1.7033846239409443E-12</v>
      </c>
      <c r="AL195" s="22">
        <f t="shared" si="165"/>
        <v>3.1675048597887374E-12</v>
      </c>
      <c r="AM195" s="60">
        <f t="shared" si="113"/>
        <v>293.3333333333365</v>
      </c>
      <c r="AN195" s="60">
        <f ca="1">AVERAGE(OFFSET($AM$3,0,0,'Données projet'!$E$10+1,1))-AVERAGE(OFFSET($H$3,0,0,'Données projet'!$E$10+1,1))</f>
        <v>505.64100207870439</v>
      </c>
      <c r="AO195" s="60">
        <f t="shared" si="144"/>
        <v>371.76229669709249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5.0558437597349903E-2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5.0558437597349903E-2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-2.8421709430404007E-13</v>
      </c>
      <c r="BE195" s="14">
        <f>BD195*VLOOKUP('Données projet'!$B$11,Paramètres!$A$1:$I$89,3,0)*VLOOKUP('Données projet'!$B$11,Paramètres!$A$1:$I$89,5,0)</f>
        <v>-2.2612312022829427E-13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353.26636241468884</v>
      </c>
      <c r="BJ195" s="60">
        <f t="shared" si="146"/>
        <v>345.4750813433123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6.8107904221617638E-2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6.8107904221617638E-2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2.8421709430404007E-13</v>
      </c>
      <c r="BZ195" s="14">
        <f>BY195*VLOOKUP('Données projet'!$B$12,Paramètres!$A$1:$I$89,3,0)*VLOOKUP('Données projet'!$B$12,Paramètres!$A$1:$I$89,5,0)</f>
        <v>1.9065282685915009E-13</v>
      </c>
      <c r="CA195" s="14">
        <f t="shared" si="170"/>
        <v>2.6568987209435707E-12</v>
      </c>
      <c r="CB195" s="22">
        <f t="shared" si="171"/>
        <v>4.959485612423072E-12</v>
      </c>
      <c r="CC195" s="60">
        <f t="shared" si="119"/>
        <v>293.33333333333826</v>
      </c>
      <c r="CD195" s="60">
        <f ca="1">AVERAGE(OFFSET($CC$3,0,0,'Données projet'!$E$12+1,1))-AVERAGE(OFFSET($H$3,0,0,'Données projet'!$E$12+1,1))</f>
        <v>362.1372269575329</v>
      </c>
      <c r="CE195" s="60">
        <f t="shared" si="148"/>
        <v>308.1559670593121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3.4297584613754685E-2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3.4297584613754685E-2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2.2737367544323206E-13</v>
      </c>
      <c r="CU195" s="18">
        <f>CT195*VLOOKUP('Données projet'!$B$13,Paramètres!$A$1:$I$89,3,0)*VLOOKUP('Données projet'!$B$13,Paramètres!$A$1:$I$89,5,0)</f>
        <v>2.4474502424709499E-13</v>
      </c>
      <c r="CV195" s="14">
        <f t="shared" si="173"/>
        <v>3.3129863113888576E-12</v>
      </c>
      <c r="CW195" s="22">
        <f t="shared" si="174"/>
        <v>6.1963820762326169E-12</v>
      </c>
      <c r="CX195" s="60">
        <f t="shared" si="122"/>
        <v>293.33333333333951</v>
      </c>
      <c r="CY195" s="60">
        <f ca="1">AVERAGE(OFFSET($CX$3,0,0,'Données projet'!$E$13+1,1))-AVERAGE(OFFSET($H$3,0,0,'Données projet'!$E$13+1,1))</f>
        <v>488.44916315274139</v>
      </c>
      <c r="CZ195" s="60">
        <f t="shared" si="150"/>
        <v>348.17941150148209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4.4534453543197475E-2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4.4534453543197475E-2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4.5474735088646412E-13</v>
      </c>
      <c r="O196" s="14">
        <f>N196*VLOOKUP('Données projet'!$B$9,Paramètres!$A$1:$I$89,3,0)*VLOOKUP('Données projet'!$B$9,Paramètres!$A$1:$I$89,5,0)</f>
        <v>4.1145540308207271E-13</v>
      </c>
      <c r="P196" s="14">
        <f t="shared" si="141"/>
        <v>5.2428527960910789E-12</v>
      </c>
      <c r="Q196" s="22">
        <f t="shared" si="162"/>
        <v>9.8479201135599071E-12</v>
      </c>
      <c r="R196" s="60">
        <f t="shared" si="191"/>
        <v>293.33333333334315</v>
      </c>
      <c r="S196" s="60">
        <f ca="1">AVERAGE(OFFSET($R$3,0,0,'Données projet'!$E$9+1,1))-AVERAGE(OFFSET($H$3,0,0,'Données projet'!$E$9+1,1))</f>
        <v>319.72731970820928</v>
      </c>
      <c r="T196" s="60">
        <f t="shared" si="142"/>
        <v>279.93992813630513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1.1527845344971866E-13</v>
      </c>
      <c r="AK196" s="14">
        <f t="shared" si="164"/>
        <v>1.7033846239409443E-12</v>
      </c>
      <c r="AL196" s="22">
        <f t="shared" si="165"/>
        <v>3.1675048597887374E-12</v>
      </c>
      <c r="AM196" s="60">
        <f t="shared" ref="AM196:AM203" si="193">AL196+(AD196+AE196)*44/12</f>
        <v>293.3333333333365</v>
      </c>
      <c r="AN196" s="60">
        <f ca="1">AVERAGE(OFFSET($AM$3,0,0,'Données projet'!$E$10+1,1))-AVERAGE(OFFSET($H$3,0,0,'Données projet'!$E$10+1,1))</f>
        <v>505.64100207870439</v>
      </c>
      <c r="AO196" s="60">
        <f t="shared" si="144"/>
        <v>371.76229669709249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4.9175914462497687E-2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4.9175914462497687E-2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-2.8421709430404007E-13</v>
      </c>
      <c r="BE196" s="14">
        <f>BD196*VLOOKUP('Données projet'!$B$11,Paramètres!$A$1:$I$89,3,0)*VLOOKUP('Données projet'!$B$11,Paramètres!$A$1:$I$89,5,0)</f>
        <v>-2.2612312022829427E-13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353.26636241468884</v>
      </c>
      <c r="BJ196" s="60">
        <f t="shared" si="146"/>
        <v>345.4750813433123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6.6245489999038482E-2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6.6245489999038482E-2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2.8421709430404007E-13</v>
      </c>
      <c r="BZ196" s="14">
        <f>BY196*VLOOKUP('Données projet'!$B$12,Paramètres!$A$1:$I$89,3,0)*VLOOKUP('Données projet'!$B$12,Paramètres!$A$1:$I$89,5,0)</f>
        <v>1.9065282685915009E-13</v>
      </c>
      <c r="CA196" s="14">
        <f t="shared" si="170"/>
        <v>2.6568987209435707E-12</v>
      </c>
      <c r="CB196" s="22">
        <f t="shared" si="171"/>
        <v>4.959485612423072E-12</v>
      </c>
      <c r="CC196" s="60">
        <f t="shared" ref="CC196:CC203" si="195">CB196+(BT196+BU196)*44/12</f>
        <v>293.33333333333826</v>
      </c>
      <c r="CD196" s="60">
        <f ca="1">AVERAGE(OFFSET($CC$3,0,0,'Données projet'!$E$12+1,1))-AVERAGE(OFFSET($H$3,0,0,'Données projet'!$E$12+1,1))</f>
        <v>362.1372269575329</v>
      </c>
      <c r="CE196" s="60">
        <f t="shared" si="148"/>
        <v>308.1559670593121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3.3359715358859975E-2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3.3359715358859975E-2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2.2737367544323206E-13</v>
      </c>
      <c r="CU196" s="18">
        <f>CT196*VLOOKUP('Données projet'!$B$13,Paramètres!$A$1:$I$89,3,0)*VLOOKUP('Données projet'!$B$13,Paramètres!$A$1:$I$89,5,0)</f>
        <v>2.4474502424709499E-13</v>
      </c>
      <c r="CV196" s="14">
        <f t="shared" si="173"/>
        <v>3.3129863113888576E-12</v>
      </c>
      <c r="CW196" s="22">
        <f t="shared" si="174"/>
        <v>6.1963820762326169E-12</v>
      </c>
      <c r="CX196" s="60">
        <f t="shared" ref="CX196:CX203" si="196">CW196+(CO196+CP196)*44/12</f>
        <v>293.33333333333951</v>
      </c>
      <c r="CY196" s="60">
        <f ca="1">AVERAGE(OFFSET($CX$3,0,0,'Données projet'!$E$13+1,1))-AVERAGE(OFFSET($H$3,0,0,'Données projet'!$E$13+1,1))</f>
        <v>488.44916315274139</v>
      </c>
      <c r="CZ196" s="60">
        <f t="shared" si="150"/>
        <v>348.17941150148209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4.3316656569093615E-2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4.3316656569093615E-2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4.5474735088646412E-13</v>
      </c>
      <c r="O197" s="14">
        <f>N197*VLOOKUP('Données projet'!$B$9,Paramètres!$A$1:$I$89,3,0)*VLOOKUP('Données projet'!$B$9,Paramètres!$A$1:$I$89,5,0)</f>
        <v>4.1145540308207271E-13</v>
      </c>
      <c r="P197" s="14">
        <f t="shared" ref="P197:P203" si="203">EXP(-1.0587+0.8836*LN(O197)+0.284)</f>
        <v>5.2428527960910789E-12</v>
      </c>
      <c r="Q197" s="22">
        <f t="shared" si="162"/>
        <v>9.8479201135599071E-12</v>
      </c>
      <c r="R197" s="60">
        <f t="shared" si="191"/>
        <v>293.33333333334315</v>
      </c>
      <c r="S197" s="60">
        <f ca="1">AVERAGE(OFFSET($R$3,0,0,'Données projet'!$E$9+1,1))-AVERAGE(OFFSET($H$3,0,0,'Données projet'!$E$9+1,1))</f>
        <v>319.72731970820928</v>
      </c>
      <c r="T197" s="60">
        <f t="shared" ref="T197:T203" si="204">$T$3</f>
        <v>279.93992813630513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1.1527845344971866E-13</v>
      </c>
      <c r="AK197" s="14">
        <f t="shared" si="164"/>
        <v>1.7033846239409443E-12</v>
      </c>
      <c r="AL197" s="22">
        <f t="shared" si="165"/>
        <v>3.1675048597887374E-12</v>
      </c>
      <c r="AM197" s="60">
        <f t="shared" si="193"/>
        <v>293.3333333333365</v>
      </c>
      <c r="AN197" s="60">
        <f ca="1">AVERAGE(OFFSET($AM$3,0,0,'Données projet'!$E$10+1,1))-AVERAGE(OFFSET($H$3,0,0,'Données projet'!$E$10+1,1))</f>
        <v>505.64100207870439</v>
      </c>
      <c r="AO197" s="60">
        <f t="shared" ref="AO197:AO203" si="205">$AO$3</f>
        <v>371.76229669709249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4.7831196495471739E-2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4.7831196495471739E-2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-2.8421709430404007E-13</v>
      </c>
      <c r="BE197" s="14">
        <f>BD197*VLOOKUP('Données projet'!$B$11,Paramètres!$A$1:$I$89,3,0)*VLOOKUP('Données projet'!$B$11,Paramètres!$A$1:$I$89,5,0)</f>
        <v>-2.2612312022829427E-13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353.26636241468884</v>
      </c>
      <c r="BJ197" s="60">
        <f t="shared" ref="BJ197:BJ203" si="206">$BJ$3</f>
        <v>345.4750813433123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6.4434003591315861E-2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6.4434003591315861E-2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2.8421709430404007E-13</v>
      </c>
      <c r="BZ197" s="14">
        <f>BY197*VLOOKUP('Données projet'!$B$12,Paramètres!$A$1:$I$89,3,0)*VLOOKUP('Données projet'!$B$12,Paramètres!$A$1:$I$89,5,0)</f>
        <v>1.9065282685915009E-13</v>
      </c>
      <c r="CA197" s="14">
        <f t="shared" si="170"/>
        <v>2.6568987209435707E-12</v>
      </c>
      <c r="CB197" s="22">
        <f t="shared" si="171"/>
        <v>4.959485612423072E-12</v>
      </c>
      <c r="CC197" s="60">
        <f t="shared" si="195"/>
        <v>293.33333333333826</v>
      </c>
      <c r="CD197" s="60">
        <f ca="1">AVERAGE(OFFSET($CC$3,0,0,'Données projet'!$E$12+1,1))-AVERAGE(OFFSET($H$3,0,0,'Données projet'!$E$12+1,1))</f>
        <v>362.1372269575329</v>
      </c>
      <c r="CE197" s="60">
        <f t="shared" ref="CE197:CE203" si="207">$CE$3</f>
        <v>308.1559670593121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3.2447492188060763E-2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3.2447492188060763E-2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2.2737367544323206E-13</v>
      </c>
      <c r="CU197" s="18">
        <f>CT197*VLOOKUP('Données projet'!$B$13,Paramètres!$A$1:$I$89,3,0)*VLOOKUP('Données projet'!$B$13,Paramètres!$A$1:$I$89,5,0)</f>
        <v>2.4474502424709499E-13</v>
      </c>
      <c r="CV197" s="14">
        <f t="shared" si="173"/>
        <v>3.3129863113888576E-12</v>
      </c>
      <c r="CW197" s="22">
        <f t="shared" si="174"/>
        <v>6.1963820762326169E-12</v>
      </c>
      <c r="CX197" s="60">
        <f t="shared" si="196"/>
        <v>293.33333333333951</v>
      </c>
      <c r="CY197" s="60">
        <f ca="1">AVERAGE(OFFSET($CX$3,0,0,'Données projet'!$E$13+1,1))-AVERAGE(OFFSET($H$3,0,0,'Données projet'!$E$13+1,1))</f>
        <v>488.44916315274139</v>
      </c>
      <c r="CZ197" s="60">
        <f t="shared" ref="CZ197:CZ203" si="208">$CZ$3</f>
        <v>348.17941150148209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4.2132160317287781E-2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4.2132160317287781E-2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4.5474735088646412E-13</v>
      </c>
      <c r="O198" s="14">
        <f>N198*VLOOKUP('Données projet'!$B$9,Paramètres!$A$1:$I$89,3,0)*VLOOKUP('Données projet'!$B$9,Paramètres!$A$1:$I$89,5,0)</f>
        <v>4.1145540308207271E-13</v>
      </c>
      <c r="P198" s="14">
        <f t="shared" si="203"/>
        <v>5.2428527960910789E-12</v>
      </c>
      <c r="Q198" s="22">
        <f t="shared" si="162"/>
        <v>9.8479201135599071E-12</v>
      </c>
      <c r="R198" s="60">
        <f t="shared" si="191"/>
        <v>293.33333333334315</v>
      </c>
      <c r="S198" s="60">
        <f ca="1">AVERAGE(OFFSET($R$3,0,0,'Données projet'!$E$9+1,1))-AVERAGE(OFFSET($H$3,0,0,'Données projet'!$E$9+1,1))</f>
        <v>319.72731970820928</v>
      </c>
      <c r="T198" s="60">
        <f t="shared" si="204"/>
        <v>279.93992813630513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1.1527845344971866E-13</v>
      </c>
      <c r="AK198" s="14">
        <f t="shared" si="164"/>
        <v>1.7033846239409443E-12</v>
      </c>
      <c r="AL198" s="22">
        <f t="shared" si="165"/>
        <v>3.1675048597887374E-12</v>
      </c>
      <c r="AM198" s="60">
        <f t="shared" si="193"/>
        <v>293.3333333333365</v>
      </c>
      <c r="AN198" s="60">
        <f ca="1">AVERAGE(OFFSET($AM$3,0,0,'Données projet'!$E$10+1,1))-AVERAGE(OFFSET($H$3,0,0,'Données projet'!$E$10+1,1))</f>
        <v>505.64100207870439</v>
      </c>
      <c r="AO198" s="60">
        <f t="shared" si="205"/>
        <v>371.76229669709249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4.6523249911969759E-2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4.6523249911969759E-2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-2.8421709430404007E-13</v>
      </c>
      <c r="BE198" s="14">
        <f>BD198*VLOOKUP('Données projet'!$B$11,Paramètres!$A$1:$I$89,3,0)*VLOOKUP('Données projet'!$B$11,Paramètres!$A$1:$I$89,5,0)</f>
        <v>-2.2612312022829427E-13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353.26636241468884</v>
      </c>
      <c r="BJ198" s="60">
        <f t="shared" si="206"/>
        <v>345.4750813433123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6.2672052374674339E-2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6.2672052374674339E-2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2.8421709430404007E-13</v>
      </c>
      <c r="BZ198" s="14">
        <f>BY198*VLOOKUP('Données projet'!$B$12,Paramètres!$A$1:$I$89,3,0)*VLOOKUP('Données projet'!$B$12,Paramètres!$A$1:$I$89,5,0)</f>
        <v>1.9065282685915009E-13</v>
      </c>
      <c r="CA198" s="14">
        <f t="shared" si="170"/>
        <v>2.6568987209435707E-12</v>
      </c>
      <c r="CB198" s="22">
        <f t="shared" si="171"/>
        <v>4.959485612423072E-12</v>
      </c>
      <c r="CC198" s="60">
        <f t="shared" si="195"/>
        <v>293.33333333333826</v>
      </c>
      <c r="CD198" s="60">
        <f ca="1">AVERAGE(OFFSET($CC$3,0,0,'Données projet'!$E$12+1,1))-AVERAGE(OFFSET($H$3,0,0,'Données projet'!$E$12+1,1))</f>
        <v>362.1372269575329</v>
      </c>
      <c r="CE198" s="60">
        <f t="shared" si="207"/>
        <v>308.1559670593121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3.1560213807838786E-2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3.1560213807838786E-2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2.2737367544323206E-13</v>
      </c>
      <c r="CU198" s="18">
        <f>CT198*VLOOKUP('Données projet'!$B$13,Paramètres!$A$1:$I$89,3,0)*VLOOKUP('Données projet'!$B$13,Paramètres!$A$1:$I$89,5,0)</f>
        <v>2.4474502424709499E-13</v>
      </c>
      <c r="CV198" s="14">
        <f t="shared" si="173"/>
        <v>3.3129863113888576E-12</v>
      </c>
      <c r="CW198" s="22">
        <f t="shared" si="174"/>
        <v>6.1963820762326169E-12</v>
      </c>
      <c r="CX198" s="60">
        <f t="shared" si="196"/>
        <v>293.33333333333951</v>
      </c>
      <c r="CY198" s="60">
        <f ca="1">AVERAGE(OFFSET($CX$3,0,0,'Données projet'!$E$13+1,1))-AVERAGE(OFFSET($H$3,0,0,'Données projet'!$E$13+1,1))</f>
        <v>488.44916315274139</v>
      </c>
      <c r="CZ198" s="60">
        <f t="shared" si="208"/>
        <v>348.17941150148209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4.0980054177777531E-2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4.0980054177777531E-2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4.5474735088646412E-13</v>
      </c>
      <c r="O199" s="14">
        <f>N199*VLOOKUP('Données projet'!$B$9,Paramètres!$A$1:$I$89,3,0)*VLOOKUP('Données projet'!$B$9,Paramètres!$A$1:$I$89,5,0)</f>
        <v>4.1145540308207271E-13</v>
      </c>
      <c r="P199" s="14">
        <f t="shared" si="203"/>
        <v>5.2428527960910789E-12</v>
      </c>
      <c r="Q199" s="22">
        <f t="shared" si="162"/>
        <v>9.8479201135599071E-12</v>
      </c>
      <c r="R199" s="60">
        <f t="shared" si="191"/>
        <v>293.33333333334315</v>
      </c>
      <c r="S199" s="60">
        <f ca="1">AVERAGE(OFFSET($R$3,0,0,'Données projet'!$E$9+1,1))-AVERAGE(OFFSET($H$3,0,0,'Données projet'!$E$9+1,1))</f>
        <v>319.72731970820928</v>
      </c>
      <c r="T199" s="60">
        <f t="shared" si="204"/>
        <v>279.93992813630513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1.1527845344971866E-13</v>
      </c>
      <c r="AK199" s="14">
        <f t="shared" si="164"/>
        <v>1.7033846239409443E-12</v>
      </c>
      <c r="AL199" s="22">
        <f t="shared" si="165"/>
        <v>3.1675048597887374E-12</v>
      </c>
      <c r="AM199" s="60">
        <f t="shared" si="193"/>
        <v>293.3333333333365</v>
      </c>
      <c r="AN199" s="60">
        <f ca="1">AVERAGE(OFFSET($AM$3,0,0,'Données projet'!$E$10+1,1))-AVERAGE(OFFSET($H$3,0,0,'Données projet'!$E$10+1,1))</f>
        <v>505.64100207870439</v>
      </c>
      <c r="AO199" s="60">
        <f t="shared" si="205"/>
        <v>371.76229669709249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4.5251069196575566E-2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4.5251069196575566E-2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-2.8421709430404007E-13</v>
      </c>
      <c r="BE199" s="14">
        <f>BD199*VLOOKUP('Données projet'!$B$11,Paramètres!$A$1:$I$89,3,0)*VLOOKUP('Données projet'!$B$11,Paramètres!$A$1:$I$89,5,0)</f>
        <v>-2.2612312022829427E-13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353.26636241468884</v>
      </c>
      <c r="BJ199" s="60">
        <f t="shared" si="206"/>
        <v>345.4750813433123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6.0958281806708876E-2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6.0958281806708876E-2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2.8421709430404007E-13</v>
      </c>
      <c r="BZ199" s="14">
        <f>BY199*VLOOKUP('Données projet'!$B$12,Paramètres!$A$1:$I$89,3,0)*VLOOKUP('Données projet'!$B$12,Paramètres!$A$1:$I$89,5,0)</f>
        <v>1.9065282685915009E-13</v>
      </c>
      <c r="CA199" s="14">
        <f t="shared" si="170"/>
        <v>2.6568987209435707E-12</v>
      </c>
      <c r="CB199" s="22">
        <f t="shared" si="171"/>
        <v>4.959485612423072E-12</v>
      </c>
      <c r="CC199" s="60">
        <f t="shared" si="195"/>
        <v>293.33333333333826</v>
      </c>
      <c r="CD199" s="60">
        <f ca="1">AVERAGE(OFFSET($CC$3,0,0,'Données projet'!$E$12+1,1))-AVERAGE(OFFSET($H$3,0,0,'Données projet'!$E$12+1,1))</f>
        <v>362.1372269575329</v>
      </c>
      <c r="CE199" s="60">
        <f t="shared" si="207"/>
        <v>308.1559670593121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3.069719810158392E-2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3.069719810158392E-2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2.2737367544323206E-13</v>
      </c>
      <c r="CU199" s="18">
        <f>CT199*VLOOKUP('Données projet'!$B$13,Paramètres!$A$1:$I$89,3,0)*VLOOKUP('Données projet'!$B$13,Paramètres!$A$1:$I$89,5,0)</f>
        <v>2.4474502424709499E-13</v>
      </c>
      <c r="CV199" s="14">
        <f t="shared" si="173"/>
        <v>3.3129863113888576E-12</v>
      </c>
      <c r="CW199" s="22">
        <f t="shared" si="174"/>
        <v>6.1963820762326169E-12</v>
      </c>
      <c r="CX199" s="60">
        <f t="shared" si="196"/>
        <v>293.33333333333951</v>
      </c>
      <c r="CY199" s="60">
        <f ca="1">AVERAGE(OFFSET($CX$3,0,0,'Données projet'!$E$13+1,1))-AVERAGE(OFFSET($H$3,0,0,'Données projet'!$E$13+1,1))</f>
        <v>488.44916315274139</v>
      </c>
      <c r="CZ199" s="60">
        <f t="shared" si="208"/>
        <v>348.17941150148209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3.9859452441238813E-2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3.9859452441238813E-2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4.5474735088646412E-13</v>
      </c>
      <c r="O200" s="14">
        <f>N200*VLOOKUP('Données projet'!$B$9,Paramètres!$A$1:$I$89,3,0)*VLOOKUP('Données projet'!$B$9,Paramètres!$A$1:$I$89,5,0)</f>
        <v>4.1145540308207271E-13</v>
      </c>
      <c r="P200" s="14">
        <f t="shared" si="203"/>
        <v>5.2428527960910789E-12</v>
      </c>
      <c r="Q200" s="22">
        <f t="shared" si="162"/>
        <v>9.8479201135599071E-12</v>
      </c>
      <c r="R200" s="60">
        <f t="shared" si="191"/>
        <v>293.33333333334315</v>
      </c>
      <c r="S200" s="60">
        <f ca="1">AVERAGE(OFFSET($R$3,0,0,'Données projet'!$E$9+1,1))-AVERAGE(OFFSET($H$3,0,0,'Données projet'!$E$9+1,1))</f>
        <v>319.72731970820928</v>
      </c>
      <c r="T200" s="60">
        <f t="shared" si="204"/>
        <v>279.93992813630513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1.1527845344971866E-13</v>
      </c>
      <c r="AK200" s="14">
        <f t="shared" si="164"/>
        <v>1.7033846239409443E-12</v>
      </c>
      <c r="AL200" s="22">
        <f t="shared" si="165"/>
        <v>3.1675048597887374E-12</v>
      </c>
      <c r="AM200" s="60">
        <f t="shared" si="193"/>
        <v>293.3333333333365</v>
      </c>
      <c r="AN200" s="60">
        <f ca="1">AVERAGE(OFFSET($AM$3,0,0,'Données projet'!$E$10+1,1))-AVERAGE(OFFSET($H$3,0,0,'Données projet'!$E$10+1,1))</f>
        <v>505.64100207870439</v>
      </c>
      <c r="AO200" s="60">
        <f t="shared" si="205"/>
        <v>371.76229669709249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4.40136763297449E-2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4.40136763297449E-2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-2.8421709430404007E-13</v>
      </c>
      <c r="BE200" s="14">
        <f>BD200*VLOOKUP('Données projet'!$B$11,Paramètres!$A$1:$I$89,3,0)*VLOOKUP('Données projet'!$B$11,Paramètres!$A$1:$I$89,5,0)</f>
        <v>-2.2612312022829427E-13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353.26636241468884</v>
      </c>
      <c r="BJ200" s="60">
        <f t="shared" si="206"/>
        <v>345.4750813433123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5.9291374385047703E-2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5.9291374385047703E-2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2.8421709430404007E-13</v>
      </c>
      <c r="BZ200" s="14">
        <f>BY200*VLOOKUP('Données projet'!$B$12,Paramètres!$A$1:$I$89,3,0)*VLOOKUP('Données projet'!$B$12,Paramètres!$A$1:$I$89,5,0)</f>
        <v>1.9065282685915009E-13</v>
      </c>
      <c r="CA200" s="14">
        <f t="shared" si="170"/>
        <v>2.6568987209435707E-12</v>
      </c>
      <c r="CB200" s="22">
        <f t="shared" si="171"/>
        <v>4.959485612423072E-12</v>
      </c>
      <c r="CC200" s="60">
        <f t="shared" si="195"/>
        <v>293.33333333333826</v>
      </c>
      <c r="CD200" s="60">
        <f ca="1">AVERAGE(OFFSET($CC$3,0,0,'Données projet'!$E$12+1,1))-AVERAGE(OFFSET($H$3,0,0,'Données projet'!$E$12+1,1))</f>
        <v>362.1372269575329</v>
      </c>
      <c r="CE200" s="60">
        <f t="shared" si="207"/>
        <v>308.1559670593121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2.9857781605200619E-2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2.9857781605200619E-2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2.2737367544323206E-13</v>
      </c>
      <c r="CU200" s="18">
        <f>CT200*VLOOKUP('Données projet'!$B$13,Paramètres!$A$1:$I$89,3,0)*VLOOKUP('Données projet'!$B$13,Paramètres!$A$1:$I$89,5,0)</f>
        <v>2.4474502424709499E-13</v>
      </c>
      <c r="CV200" s="14">
        <f t="shared" si="173"/>
        <v>3.3129863113888576E-12</v>
      </c>
      <c r="CW200" s="22">
        <f t="shared" si="174"/>
        <v>6.1963820762326169E-12</v>
      </c>
      <c r="CX200" s="60">
        <f t="shared" si="196"/>
        <v>293.33333333333951</v>
      </c>
      <c r="CY200" s="60">
        <f ca="1">AVERAGE(OFFSET($CX$3,0,0,'Données projet'!$E$13+1,1))-AVERAGE(OFFSET($H$3,0,0,'Données projet'!$E$13+1,1))</f>
        <v>488.44916315274139</v>
      </c>
      <c r="CZ200" s="60">
        <f t="shared" si="208"/>
        <v>348.17941150148209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3.8769493618115637E-2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3.8769493618115637E-2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4.5474735088646412E-13</v>
      </c>
      <c r="O201" s="14">
        <f>N201*VLOOKUP('Données projet'!$B$9,Paramètres!$A$1:$I$89,3,0)*VLOOKUP('Données projet'!$B$9,Paramètres!$A$1:$I$89,5,0)</f>
        <v>4.1145540308207271E-13</v>
      </c>
      <c r="P201" s="14">
        <f t="shared" si="203"/>
        <v>5.2428527960910789E-12</v>
      </c>
      <c r="Q201" s="22">
        <f t="shared" si="162"/>
        <v>9.8479201135599071E-12</v>
      </c>
      <c r="R201" s="60">
        <f t="shared" si="191"/>
        <v>293.33333333334315</v>
      </c>
      <c r="S201" s="60">
        <f ca="1">AVERAGE(OFFSET($R$3,0,0,'Données projet'!$E$9+1,1))-AVERAGE(OFFSET($H$3,0,0,'Données projet'!$E$9+1,1))</f>
        <v>319.72731970820928</v>
      </c>
      <c r="T201" s="60">
        <f t="shared" si="204"/>
        <v>279.93992813630513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1.1527845344971866E-13</v>
      </c>
      <c r="AK201" s="14">
        <f t="shared" si="164"/>
        <v>1.7033846239409443E-12</v>
      </c>
      <c r="AL201" s="22">
        <f t="shared" si="165"/>
        <v>3.1675048597887374E-12</v>
      </c>
      <c r="AM201" s="60">
        <f t="shared" si="193"/>
        <v>293.3333333333365</v>
      </c>
      <c r="AN201" s="60">
        <f ca="1">AVERAGE(OFFSET($AM$3,0,0,'Données projet'!$E$10+1,1))-AVERAGE(OFFSET($H$3,0,0,'Données projet'!$E$10+1,1))</f>
        <v>505.64100207870439</v>
      </c>
      <c r="AO201" s="60">
        <f t="shared" si="205"/>
        <v>371.76229669709249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4.2810120035929385E-2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4.2810120035929385E-2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-2.8421709430404007E-13</v>
      </c>
      <c r="BE201" s="14">
        <f>BD201*VLOOKUP('Données projet'!$B$11,Paramètres!$A$1:$I$89,3,0)*VLOOKUP('Données projet'!$B$11,Paramètres!$A$1:$I$89,5,0)</f>
        <v>-2.2612312022829427E-13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353.26636241468884</v>
      </c>
      <c r="BJ201" s="60">
        <f t="shared" si="206"/>
        <v>345.4750813433123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5.7670048634490705E-2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5.7670048634490705E-2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2.8421709430404007E-13</v>
      </c>
      <c r="BZ201" s="14">
        <f>BY201*VLOOKUP('Données projet'!$B$12,Paramètres!$A$1:$I$89,3,0)*VLOOKUP('Données projet'!$B$12,Paramètres!$A$1:$I$89,5,0)</f>
        <v>1.9065282685915009E-13</v>
      </c>
      <c r="CA201" s="14">
        <f t="shared" si="170"/>
        <v>2.6568987209435707E-12</v>
      </c>
      <c r="CB201" s="22">
        <f t="shared" si="171"/>
        <v>4.959485612423072E-12</v>
      </c>
      <c r="CC201" s="60">
        <f t="shared" si="195"/>
        <v>293.33333333333826</v>
      </c>
      <c r="CD201" s="60">
        <f ca="1">AVERAGE(OFFSET($CC$3,0,0,'Données projet'!$E$12+1,1))-AVERAGE(OFFSET($H$3,0,0,'Données projet'!$E$12+1,1))</f>
        <v>362.1372269575329</v>
      </c>
      <c r="CE201" s="60">
        <f t="shared" si="207"/>
        <v>308.1559670593121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2.9041318997053915E-2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2.9041318997053915E-2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2.2737367544323206E-13</v>
      </c>
      <c r="CU201" s="18">
        <f>CT201*VLOOKUP('Données projet'!$B$13,Paramètres!$A$1:$I$89,3,0)*VLOOKUP('Données projet'!$B$13,Paramètres!$A$1:$I$89,5,0)</f>
        <v>2.4474502424709499E-13</v>
      </c>
      <c r="CV201" s="14">
        <f t="shared" si="173"/>
        <v>3.3129863113888576E-12</v>
      </c>
      <c r="CW201" s="22">
        <f t="shared" si="174"/>
        <v>6.1963820762326169E-12</v>
      </c>
      <c r="CX201" s="60">
        <f t="shared" si="196"/>
        <v>293.33333333333951</v>
      </c>
      <c r="CY201" s="60">
        <f ca="1">AVERAGE(OFFSET($CX$3,0,0,'Données projet'!$E$13+1,1))-AVERAGE(OFFSET($H$3,0,0,'Données projet'!$E$13+1,1))</f>
        <v>488.44916315274139</v>
      </c>
      <c r="CZ201" s="60">
        <f t="shared" si="208"/>
        <v>348.17941150148209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3.7709339776329204E-2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3.7709339776329204E-2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4.5474735088646412E-13</v>
      </c>
      <c r="O202" s="14">
        <f>N202*VLOOKUP('Données projet'!$B$9,Paramètres!$A$1:$I$89,3,0)*VLOOKUP('Données projet'!$B$9,Paramètres!$A$1:$I$89,5,0)</f>
        <v>4.1145540308207271E-13</v>
      </c>
      <c r="P202" s="14">
        <f t="shared" si="203"/>
        <v>5.2428527960910789E-12</v>
      </c>
      <c r="Q202" s="22">
        <f t="shared" si="162"/>
        <v>9.8479201135599071E-12</v>
      </c>
      <c r="R202" s="60">
        <f t="shared" si="191"/>
        <v>293.33333333334315</v>
      </c>
      <c r="S202" s="60">
        <f ca="1">AVERAGE(OFFSET($R$3,0,0,'Données projet'!$E$9+1,1))-AVERAGE(OFFSET($H$3,0,0,'Données projet'!$E$9+1,1))</f>
        <v>319.72731970820928</v>
      </c>
      <c r="T202" s="60">
        <f t="shared" si="204"/>
        <v>279.93992813630513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1.1527845344971866E-13</v>
      </c>
      <c r="AK202" s="14">
        <f t="shared" si="164"/>
        <v>1.7033846239409443E-12</v>
      </c>
      <c r="AL202" s="22">
        <f t="shared" si="165"/>
        <v>3.1675048597887374E-12</v>
      </c>
      <c r="AM202" s="60">
        <f t="shared" si="193"/>
        <v>293.3333333333365</v>
      </c>
      <c r="AN202" s="60">
        <f ca="1">AVERAGE(OFFSET($AM$3,0,0,'Données projet'!$E$10+1,1))-AVERAGE(OFFSET($H$3,0,0,'Données projet'!$E$10+1,1))</f>
        <v>505.64100207870439</v>
      </c>
      <c r="AO202" s="60">
        <f t="shared" si="205"/>
        <v>371.76229669709249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4.1639475052260524E-2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4.1639475052260524E-2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-2.8421709430404007E-13</v>
      </c>
      <c r="BE202" s="14">
        <f>BD202*VLOOKUP('Données projet'!$B$11,Paramètres!$A$1:$I$89,3,0)*VLOOKUP('Données projet'!$B$11,Paramètres!$A$1:$I$89,5,0)</f>
        <v>-2.2612312022829427E-13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353.26636241468884</v>
      </c>
      <c r="BJ202" s="60">
        <f t="shared" si="206"/>
        <v>345.4750813433123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5.6093058121844508E-2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5.6093058121844508E-2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2.8421709430404007E-13</v>
      </c>
      <c r="BZ202" s="14">
        <f>BY202*VLOOKUP('Données projet'!$B$12,Paramètres!$A$1:$I$89,3,0)*VLOOKUP('Données projet'!$B$12,Paramètres!$A$1:$I$89,5,0)</f>
        <v>1.9065282685915009E-13</v>
      </c>
      <c r="CA202" s="14">
        <f t="shared" si="170"/>
        <v>2.6568987209435707E-12</v>
      </c>
      <c r="CB202" s="22">
        <f t="shared" si="171"/>
        <v>4.959485612423072E-12</v>
      </c>
      <c r="CC202" s="60">
        <f t="shared" si="195"/>
        <v>293.33333333333826</v>
      </c>
      <c r="CD202" s="60">
        <f ca="1">AVERAGE(OFFSET($CC$3,0,0,'Données projet'!$E$12+1,1))-AVERAGE(OFFSET($H$3,0,0,'Données projet'!$E$12+1,1))</f>
        <v>362.1372269575329</v>
      </c>
      <c r="CE202" s="60">
        <f t="shared" si="207"/>
        <v>308.1559670593121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2.8247182601862885E-2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2.8247182601862885E-2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2.2737367544323206E-13</v>
      </c>
      <c r="CU202" s="18">
        <f>CT202*VLOOKUP('Données projet'!$B$13,Paramètres!$A$1:$I$89,3,0)*VLOOKUP('Données projet'!$B$13,Paramètres!$A$1:$I$89,5,0)</f>
        <v>2.4474502424709499E-13</v>
      </c>
      <c r="CV202" s="14">
        <f t="shared" si="173"/>
        <v>3.3129863113888576E-12</v>
      </c>
      <c r="CW202" s="22">
        <f t="shared" si="174"/>
        <v>6.1963820762326169E-12</v>
      </c>
      <c r="CX202" s="60">
        <f t="shared" si="196"/>
        <v>293.33333333333951</v>
      </c>
      <c r="CY202" s="60">
        <f ca="1">AVERAGE(OFFSET($CX$3,0,0,'Données projet'!$E$13+1,1))-AVERAGE(OFFSET($H$3,0,0,'Données projet'!$E$13+1,1))</f>
        <v>488.44916315274139</v>
      </c>
      <c r="CZ202" s="60">
        <f t="shared" si="208"/>
        <v>348.17941150148209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3.6678175897097487E-2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3.6678175897097487E-2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4.5474735088646412E-13</v>
      </c>
      <c r="O203" s="14">
        <f>N203*VLOOKUP('Données projet'!$B$9,Paramètres!$A$1:$I$89,3,0)*VLOOKUP('Données projet'!$B$9,Paramètres!$A$1:$I$89,5,0)</f>
        <v>4.1145540308207271E-13</v>
      </c>
      <c r="P203" s="14">
        <f t="shared" si="203"/>
        <v>5.2428527960910789E-12</v>
      </c>
      <c r="Q203" s="22">
        <f t="shared" si="162"/>
        <v>9.8479201135599071E-12</v>
      </c>
      <c r="R203" s="60">
        <f t="shared" si="191"/>
        <v>293.33333333334315</v>
      </c>
      <c r="S203" s="60">
        <f ca="1">AVERAGE(OFFSET($R$3,0,0,'Données projet'!$E$9+1,1))-AVERAGE(OFFSET($H$3,0,0,'Données projet'!$E$9+1,1))</f>
        <v>319.72731970820928</v>
      </c>
      <c r="T203" s="60">
        <f t="shared" si="204"/>
        <v>279.93992813630513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1.1527845344971866E-13</v>
      </c>
      <c r="AK203" s="14">
        <f t="shared" si="164"/>
        <v>1.7033846239409443E-12</v>
      </c>
      <c r="AL203" s="22">
        <f t="shared" si="165"/>
        <v>3.1675048597887374E-12</v>
      </c>
      <c r="AM203" s="60">
        <f t="shared" si="193"/>
        <v>293.3333333333365</v>
      </c>
      <c r="AN203" s="60">
        <f ca="1">AVERAGE(OFFSET($AM$3,0,0,'Données projet'!$E$10+1,1))-AVERAGE(OFFSET($H$3,0,0,'Données projet'!$E$10+1,1))</f>
        <v>505.64100207870439</v>
      </c>
      <c r="AO203" s="60">
        <f t="shared" si="205"/>
        <v>371.76229669709249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4.0500841417231634E-2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4.0500841417231634E-2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-2.8421709430404007E-13</v>
      </c>
      <c r="BE203" s="14">
        <f>BD203*VLOOKUP('Données projet'!$B$11,Paramètres!$A$1:$I$89,3,0)*VLOOKUP('Données projet'!$B$11,Paramètres!$A$1:$I$89,5,0)</f>
        <v>-2.2612312022829427E-13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353.26636241468884</v>
      </c>
      <c r="BJ203" s="60">
        <f t="shared" si="206"/>
        <v>345.4750813433123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5.4559190497696947E-2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5.4559190497696947E-2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2.8421709430404007E-13</v>
      </c>
      <c r="BZ203" s="14">
        <f>BY203*VLOOKUP('Données projet'!$B$12,Paramètres!$A$1:$I$89,3,0)*VLOOKUP('Données projet'!$B$12,Paramètres!$A$1:$I$89,5,0)</f>
        <v>1.9065282685915009E-13</v>
      </c>
      <c r="CA203" s="14">
        <f t="shared" si="170"/>
        <v>2.6568987209435707E-12</v>
      </c>
      <c r="CB203" s="22">
        <f t="shared" si="171"/>
        <v>4.959485612423072E-12</v>
      </c>
      <c r="CC203" s="60">
        <f t="shared" si="195"/>
        <v>293.33333333333826</v>
      </c>
      <c r="CD203" s="60">
        <f ca="1">AVERAGE(OFFSET($CC$3,0,0,'Données projet'!$E$12+1,1))-AVERAGE(OFFSET($H$3,0,0,'Données projet'!$E$12+1,1))</f>
        <v>362.1372269575329</v>
      </c>
      <c r="CE203" s="60">
        <f t="shared" si="207"/>
        <v>308.1559670593121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2.7474761908160172E-2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2.7474761908160172E-2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2.2737367544323206E-13</v>
      </c>
      <c r="CU203" s="18">
        <f>CT203*VLOOKUP('Données projet'!$B$13,Paramètres!$A$1:$I$89,3,0)*VLOOKUP('Données projet'!$B$13,Paramètres!$A$1:$I$89,5,0)</f>
        <v>2.4474502424709499E-13</v>
      </c>
      <c r="CV203" s="14">
        <f t="shared" si="173"/>
        <v>3.3129863113888576E-12</v>
      </c>
      <c r="CW203" s="22">
        <f t="shared" si="174"/>
        <v>6.1963820762326169E-12</v>
      </c>
      <c r="CX203" s="60">
        <f t="shared" si="196"/>
        <v>293.33333333333951</v>
      </c>
      <c r="CY203" s="60">
        <f ca="1">AVERAGE(OFFSET($CX$3,0,0,'Données projet'!$E$13+1,1))-AVERAGE(OFFSET($H$3,0,0,'Données projet'!$E$13+1,1))</f>
        <v>488.44916315274139</v>
      </c>
      <c r="CZ203" s="60">
        <f t="shared" si="208"/>
        <v>348.17941150148209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3.5675209248369914E-2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3.5675209248369914E-2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1.1736311550444201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1.2472511258067986</v>
      </c>
      <c r="BA205" s="86">
        <f>EXP(LN('Données projet'!B88)/'Données projet'!A88)</f>
        <v>1.2709816152101407</v>
      </c>
      <c r="BV205" s="86">
        <f>EXP(LN('Données projet'!B114)/'Données projet'!A114)</f>
        <v>1.3372594701735672</v>
      </c>
      <c r="CQ205" s="86">
        <f>EXP(LN('Données projet'!B140)/'Données projet'!A140)</f>
        <v>1.237550464288224</v>
      </c>
      <c r="DL205" s="86" t="e">
        <f>EXP(LN('Données projet'!B166)/'Données projet'!A166)</f>
        <v>#NUM!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4" zoomScale="130" zoomScaleNormal="130" workbookViewId="0">
      <selection activeCell="I21" sqref="I2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sessile</v>
      </c>
      <c r="B6" s="153">
        <f>'Données projet'!D9</f>
        <v>0.91999999999999993</v>
      </c>
      <c r="C6" s="154">
        <f ca="1">IF(OR('Données projet'!B9="",'Données projet'!C9="",'Données projet'!C9=0%),0,Calculateur!S3)</f>
        <v>319.72731970820928</v>
      </c>
      <c r="D6" s="154">
        <f>IF(OR('Données projet'!B9="",'Données projet'!C9="",'Données projet'!C9=0%),0,Calculateur!T3)</f>
        <v>279.93992813630513</v>
      </c>
      <c r="E6" s="154">
        <f ca="1">MIN(C6,D6)</f>
        <v>279.93992813630513</v>
      </c>
      <c r="F6" s="154">
        <f ca="1">E6*B6</f>
        <v>257.54473388540072</v>
      </c>
      <c r="G6" s="154">
        <f ca="1">F6*(100%-'Données projet'!$C$24)*(100%-'Données projet'!$C$25)*(100%-'Données projet'!$C$26)*(100%-'Données projet'!$C$27)</f>
        <v>231.79026049686064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231.79026049686064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pubescent</v>
      </c>
      <c r="B7" s="161">
        <f>'Données projet'!D10</f>
        <v>0.69</v>
      </c>
      <c r="C7" s="154">
        <f ca="1">IF(OR('Données projet'!B10="",'Données projet'!C10="",'Données projet'!C10=0%),0,Calculateur!AN3)</f>
        <v>505.64100207870439</v>
      </c>
      <c r="D7" s="154">
        <f>IF(OR('Données projet'!B10="",'Données projet'!C10="",'Données projet'!C10=0%),0,Calculateur!AO3)</f>
        <v>371.76229669709249</v>
      </c>
      <c r="E7" s="154">
        <f t="shared" ref="E7:E15" ca="1" si="0">MIN(C7,D7)</f>
        <v>371.76229669709249</v>
      </c>
      <c r="F7" s="154">
        <f t="shared" ref="F7:F15" ca="1" si="1">E7*B7</f>
        <v>256.5159847209938</v>
      </c>
      <c r="G7" s="154">
        <f ca="1">F7*(100%-'Données projet'!$C$24)*(100%-'Données projet'!$C$25)*(100%-'Données projet'!$C$26)*(100%-'Données projet'!$C$27)</f>
        <v>230.86438624889442</v>
      </c>
      <c r="H7" s="162">
        <f>IF(OR('Données projet'!B10="",'Données projet'!C10="",'Données projet'!C10=0%),0,AVERAGE(Calculateur!$AX$3:$AX$33)*B7)</f>
        <v>0.10045126570825978</v>
      </c>
      <c r="I7" s="156">
        <f>H7*(100%-'Données projet'!$C$24)*(100%-'Données projet'!$C$25)*(100%-'Données projet'!$C$26)*(100%-'Données projet'!$C$27)</f>
        <v>9.0406139137433811E-2</v>
      </c>
      <c r="J7" s="157">
        <f>IF(OR('Données projet'!B10="",'Données projet'!C10="",'Données projet'!C10=0%),0,SUM(Calculateur!$AQ$3:$AQ$33)*VLOOKUP('Données projet'!$B$10,Paramètres!$A$1:$I$89,9,0)*B7)</f>
        <v>12.074999999999999</v>
      </c>
      <c r="K7" s="158">
        <f>J7*(100%-'Données projet'!$C$24)*(100%-'Données projet'!$C$25)*(100%-'Données projet'!$C$26)*(100%-'Données projet'!$C$27)</f>
        <v>10.8675</v>
      </c>
      <c r="L7" s="159">
        <f t="shared" ref="L7:L15" ca="1" si="2">G7+I7+K7</f>
        <v>241.82229238803185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Erable plane</v>
      </c>
      <c r="B8" s="161">
        <f>'Données projet'!D11</f>
        <v>0.22999999999999998</v>
      </c>
      <c r="C8" s="154">
        <f ca="1">IF(OR('Données projet'!B11="",'Données projet'!C11="",'Données projet'!C11=0%),0,Calculateur!BI3)</f>
        <v>353.26636241468884</v>
      </c>
      <c r="D8" s="154">
        <f>IF(OR('Données projet'!B11="",'Données projet'!C11="",'Données projet'!C11=0%),0,Calculateur!BJ3)</f>
        <v>345.4750813433123</v>
      </c>
      <c r="E8" s="154">
        <f t="shared" ca="1" si="0"/>
        <v>345.4750813433123</v>
      </c>
      <c r="F8" s="154">
        <f t="shared" ca="1" si="1"/>
        <v>79.459268708961815</v>
      </c>
      <c r="G8" s="154">
        <f ca="1">F8*(100%-'Données projet'!$C$24)*(100%-'Données projet'!$C$25)*(100%-'Données projet'!$C$26)*(100%-'Données projet'!$C$27)</f>
        <v>71.513341838065642</v>
      </c>
      <c r="H8" s="162">
        <f>IF(OR('Données projet'!B11="",'Données projet'!C11="",'Données projet'!C11=0%),0,AVERAGE(Calculateur!$BS$3:$BS$33)*B8)</f>
        <v>0.15926008268748384</v>
      </c>
      <c r="I8" s="156">
        <f>H8*(100%-'Données projet'!$C$24)*(100%-'Données projet'!$C$25)*(100%-'Données projet'!$C$26)*(100%-'Données projet'!$C$27)</f>
        <v>0.14333407441873547</v>
      </c>
      <c r="J8" s="157">
        <f>IF(OR('Données projet'!B11="",'Données projet'!C11="",'Données projet'!C11=0%),0,SUM(Calculateur!$BL$3:$BL$33)*VLOOKUP('Données projet'!$B$11,Paramètres!$A$1:$I$89,9,0)*B8)</f>
        <v>7.8774999999999995</v>
      </c>
      <c r="K8" s="158">
        <f>J8*(100%-'Données projet'!$C$24)*(100%-'Données projet'!$C$25)*(100%-'Données projet'!$C$26)*(100%-'Données projet'!$C$27)</f>
        <v>7.0897499999999996</v>
      </c>
      <c r="L8" s="159">
        <f t="shared" ca="1" si="2"/>
        <v>78.746425912484369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Tilleul</v>
      </c>
      <c r="B9" s="161">
        <f>'Données projet'!D12</f>
        <v>0.22999999999999998</v>
      </c>
      <c r="C9" s="154">
        <f ca="1">IF(OR('Données projet'!B12="",'Données projet'!C12="",'Données projet'!C12=0%),0,Calculateur!CD3)</f>
        <v>362.1372269575329</v>
      </c>
      <c r="D9" s="154">
        <f>IF(OR('Données projet'!B12="",'Données projet'!C12="",'Données projet'!C12=0%),0,Calculateur!CE3)</f>
        <v>308.1559670593121</v>
      </c>
      <c r="E9" s="154">
        <f t="shared" ca="1" si="0"/>
        <v>308.1559670593121</v>
      </c>
      <c r="F9" s="154">
        <f t="shared" ca="1" si="1"/>
        <v>70.875872423641781</v>
      </c>
      <c r="G9" s="154">
        <f ca="1">F9*(100%-'Données projet'!$C$24)*(100%-'Données projet'!$C$25)*(100%-'Données projet'!$C$26)*(100%-'Données projet'!$C$27)</f>
        <v>63.788285181277601</v>
      </c>
      <c r="H9" s="162">
        <f>IF(OR('Données projet'!B12="",'Données projet'!C12="",'Données projet'!C12=0%),0,AVERAGE(Calculateur!$CN$3:$CN$33)*B9)</f>
        <v>2.2714545444262862E-2</v>
      </c>
      <c r="I9" s="156">
        <f>H9*(100%-'Données projet'!$C$24)*(100%-'Données projet'!$C$25)*(100%-'Données projet'!$C$26)*(100%-'Données projet'!$C$27)</f>
        <v>2.0443090899836577E-2</v>
      </c>
      <c r="J9" s="157">
        <f>IF(OR('Données projet'!B12="",'Données projet'!C12="",'Données projet'!C12=0%),0,SUM(Calculateur!$CG$3:$CG$33)*VLOOKUP('Données projet'!$B$12,Paramètres!$A$1:$I$89,9,0)*B9)</f>
        <v>4.4967948717948714</v>
      </c>
      <c r="K9" s="158">
        <f>J9*(100%-'Données projet'!$C$24)*(100%-'Données projet'!$C$25)*(100%-'Données projet'!$C$26)*(100%-'Données projet'!$C$27)</f>
        <v>4.0471153846153847</v>
      </c>
      <c r="L9" s="159">
        <f t="shared" ca="1" si="2"/>
        <v>67.855843656792828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Cormier</v>
      </c>
      <c r="B10" s="161">
        <f>'Données projet'!D13</f>
        <v>0.22999999999999998</v>
      </c>
      <c r="C10" s="154">
        <f ca="1">IF(OR('Données projet'!B13="",'Données projet'!C13="",'Données projet'!C13=0%),0,Calculateur!CY3)</f>
        <v>488.44916315274139</v>
      </c>
      <c r="D10" s="154">
        <f>IF(OR('Données projet'!B13="",'Données projet'!C13="",'Données projet'!C13=0%),0,Calculateur!CZ3)</f>
        <v>348.17941150148209</v>
      </c>
      <c r="E10" s="154">
        <f t="shared" ca="1" si="0"/>
        <v>348.17941150148209</v>
      </c>
      <c r="F10" s="154">
        <f t="shared" ca="1" si="1"/>
        <v>80.08126464534088</v>
      </c>
      <c r="G10" s="154">
        <f ca="1">F10*(100%-'Données projet'!$C$24)*(100%-'Données projet'!$C$25)*(100%-'Données projet'!$C$26)*(100%-'Données projet'!$C$27)</f>
        <v>72.073138180806794</v>
      </c>
      <c r="H10" s="162">
        <f>IF(OR('Données projet'!B13="",'Données projet'!C13="",'Données projet'!C13=0%),0,AVERAGE(Calculateur!$DI$3:$DI$33)*B10)</f>
        <v>2.9494201420723079E-2</v>
      </c>
      <c r="I10" s="156">
        <f>H10*(100%-'Données projet'!$C$24)*(100%-'Données projet'!$C$25)*(100%-'Données projet'!$C$26)*(100%-'Données projet'!$C$27)</f>
        <v>2.6544781278650773E-2</v>
      </c>
      <c r="J10" s="157">
        <f>IF(OR('Données projet'!B13="",'Données projet'!C13="",'Données projet'!C13=0%),0,SUM(Calculateur!$DB$3:$DB$33)*VLOOKUP('Données projet'!$B$13,Paramètres!$A$1:$I$89,9,0)*B10)</f>
        <v>3.2774999999999999</v>
      </c>
      <c r="K10" s="158">
        <f>J10*(100%-'Données projet'!$C$24)*(100%-'Données projet'!$C$25)*(100%-'Données projet'!$C$26)*(100%-'Données projet'!$C$27)</f>
        <v>2.9497499999999999</v>
      </c>
      <c r="L10" s="159">
        <f t="shared" ca="1" si="2"/>
        <v>75.049432962085433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3"/>
      <c r="B16" s="230"/>
      <c r="C16" s="231"/>
      <c r="D16" s="25"/>
      <c r="E16" s="25"/>
      <c r="F16" s="172">
        <f t="shared" ref="F16:L16" ca="1" si="3">SUM(F6:F15)</f>
        <v>744.47712438433894</v>
      </c>
      <c r="G16" s="173">
        <f t="shared" ca="1" si="3"/>
        <v>670.02941194590517</v>
      </c>
      <c r="H16" s="174">
        <f t="shared" si="3"/>
        <v>0.31192009526072956</v>
      </c>
      <c r="I16" s="174">
        <f t="shared" si="3"/>
        <v>0.28072808573465663</v>
      </c>
      <c r="J16" s="175">
        <f t="shared" si="3"/>
        <v>27.726794871794873</v>
      </c>
      <c r="K16" s="175">
        <f t="shared" si="3"/>
        <v>24.954115384615385</v>
      </c>
      <c r="L16" s="176">
        <f t="shared" ca="1" si="3"/>
        <v>695.26425541625508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3"/>
      <c r="B17" s="230"/>
      <c r="C17" s="231"/>
      <c r="D17" s="228"/>
      <c r="E17" s="228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3"/>
      <c r="B18" s="230"/>
      <c r="C18" s="231"/>
      <c r="D18" s="228"/>
      <c r="E18" s="228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pubescent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Erable plane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Tilleul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Cormier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4" zoomScale="80" zoomScaleNormal="80" workbookViewId="0">
      <selection activeCell="P20" sqref="P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5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6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944.66771625758793</v>
      </c>
      <c r="U10" s="188">
        <f>'Données projet'!D9</f>
        <v>0.91999999999999993</v>
      </c>
      <c r="V10" s="187">
        <f>U10*T10</f>
        <v>869.09429895698088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3" t="str">
        <f>B45</f>
        <v>Chêne pubescent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1618.3578498361389</v>
      </c>
      <c r="U11" s="188">
        <f>'Données projet'!D10</f>
        <v>0.69</v>
      </c>
      <c r="V11" s="187">
        <f t="shared" ref="V11" si="0">U11*T11</f>
        <v>1116.6669163869358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3" t="str">
        <f>B76</f>
        <v>Erable plane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1796.127785127328</v>
      </c>
      <c r="U12" s="188">
        <f>'Données projet'!D11</f>
        <v>0.22999999999999998</v>
      </c>
      <c r="V12" s="187">
        <f t="shared" ref="V12:V19" si="1">U12*T12</f>
        <v>413.10939057928539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8"/>
      <c r="J13" s="25"/>
      <c r="K13" s="222"/>
      <c r="L13" s="182" t="s">
        <v>257</v>
      </c>
      <c r="M13" s="25"/>
      <c r="N13" s="25"/>
      <c r="O13" s="25"/>
      <c r="P13" s="25"/>
      <c r="Q13" s="262"/>
      <c r="R13" s="25"/>
      <c r="S13" s="183" t="str">
        <f>B107</f>
        <v>Tilleul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858.92494816917099</v>
      </c>
      <c r="U13" s="188">
        <f>'Données projet'!D12</f>
        <v>0.22999999999999998</v>
      </c>
      <c r="V13" s="187">
        <f t="shared" si="1"/>
        <v>197.5527380789093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8"/>
      <c r="G14" s="218"/>
      <c r="H14" s="183" t="s">
        <v>178</v>
      </c>
      <c r="I14" s="183" t="s">
        <v>290</v>
      </c>
      <c r="J14" s="212"/>
      <c r="K14" s="181"/>
      <c r="L14" s="214"/>
      <c r="M14" s="25"/>
      <c r="N14" s="25"/>
      <c r="O14" s="5"/>
      <c r="P14" s="5"/>
      <c r="Q14" s="263"/>
      <c r="R14" s="5"/>
      <c r="S14" s="183" t="str">
        <f>B138</f>
        <v>Cormier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1400.0913548752665</v>
      </c>
      <c r="U14" s="188">
        <f>'Données projet'!D13</f>
        <v>0.22999999999999998</v>
      </c>
      <c r="V14" s="187">
        <f t="shared" si="1"/>
        <v>322.02101162131129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8"/>
      <c r="G15" s="325" t="s">
        <v>318</v>
      </c>
      <c r="H15" s="201">
        <v>0</v>
      </c>
      <c r="I15" s="202">
        <v>0</v>
      </c>
      <c r="J15" s="213"/>
      <c r="K15" s="222"/>
      <c r="L15" s="214"/>
      <c r="M15" s="25"/>
      <c r="N15" s="25"/>
      <c r="O15" s="25"/>
      <c r="P15" s="25"/>
      <c r="Q15" s="262"/>
      <c r="R15" s="25"/>
      <c r="S15" s="183" t="str">
        <f>B169</f>
        <v/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4" t="s">
        <v>180</v>
      </c>
      <c r="B16" s="51" t="s">
        <v>256</v>
      </c>
      <c r="C16" s="51" t="s">
        <v>255</v>
      </c>
      <c r="D16" s="254" t="s">
        <v>252</v>
      </c>
      <c r="E16" s="254" t="s">
        <v>320</v>
      </c>
      <c r="F16" s="258"/>
      <c r="G16" s="325"/>
      <c r="H16" s="201"/>
      <c r="I16" s="202"/>
      <c r="J16" s="213"/>
      <c r="K16" s="222"/>
      <c r="L16" s="321" t="s">
        <v>254</v>
      </c>
      <c r="M16" s="322"/>
      <c r="N16" s="2"/>
      <c r="O16" s="25"/>
      <c r="P16" s="25"/>
      <c r="Q16" s="262"/>
      <c r="R16" s="25"/>
      <c r="S16" s="183" t="str">
        <f>B200</f>
        <v/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7">
        <v>0</v>
      </c>
      <c r="B17" s="210" t="s">
        <v>132</v>
      </c>
      <c r="C17" s="209" t="s">
        <v>132</v>
      </c>
      <c r="D17" s="208" t="s">
        <v>132</v>
      </c>
      <c r="E17" s="204"/>
      <c r="F17" s="258"/>
      <c r="G17" s="325"/>
      <c r="J17" s="213"/>
      <c r="K17" s="222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3" t="str">
        <f>B231</f>
        <v/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7">
        <v>1</v>
      </c>
      <c r="B18" s="210" t="s">
        <v>132</v>
      </c>
      <c r="C18" s="209" t="s">
        <v>132</v>
      </c>
      <c r="D18" s="208" t="s">
        <v>132</v>
      </c>
      <c r="E18" s="204"/>
      <c r="F18" s="258"/>
      <c r="G18" s="325"/>
      <c r="J18" s="213"/>
      <c r="K18" s="222"/>
      <c r="L18" s="292" t="s">
        <v>255</v>
      </c>
      <c r="M18" s="294"/>
      <c r="N18" s="203"/>
      <c r="O18" s="25"/>
      <c r="P18" s="25"/>
      <c r="Q18" s="262"/>
      <c r="R18" s="25"/>
      <c r="S18" s="183" t="str">
        <f>B262</f>
        <v/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7">
        <v>2</v>
      </c>
      <c r="B19" s="210" t="s">
        <v>132</v>
      </c>
      <c r="C19" s="209" t="s">
        <v>132</v>
      </c>
      <c r="D19" s="208" t="s">
        <v>132</v>
      </c>
      <c r="E19" s="204"/>
      <c r="F19" s="258"/>
      <c r="G19" s="325"/>
      <c r="H19" s="229" t="s">
        <v>178</v>
      </c>
      <c r="I19" s="229" t="s">
        <v>287</v>
      </c>
      <c r="J19" s="257"/>
      <c r="K19" s="181"/>
      <c r="L19" s="321" t="s">
        <v>288</v>
      </c>
      <c r="M19" s="322"/>
      <c r="N19" s="189">
        <f>N17*N18</f>
        <v>0</v>
      </c>
      <c r="O19" s="25"/>
      <c r="P19" s="5"/>
      <c r="Q19" s="263"/>
      <c r="R19" s="5"/>
      <c r="S19" s="183" t="str">
        <f>B293</f>
        <v/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7">
        <v>3</v>
      </c>
      <c r="B20" s="210" t="s">
        <v>132</v>
      </c>
      <c r="C20" s="209" t="s">
        <v>132</v>
      </c>
      <c r="D20" s="208" t="s">
        <v>132</v>
      </c>
      <c r="E20" s="204"/>
      <c r="F20" s="258"/>
      <c r="G20" s="325"/>
      <c r="H20" s="201">
        <v>0</v>
      </c>
      <c r="I20" s="202">
        <v>8500</v>
      </c>
      <c r="J20" s="5"/>
      <c r="K20" s="181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7">
        <v>4</v>
      </c>
      <c r="B21" s="210" t="s">
        <v>132</v>
      </c>
      <c r="C21" s="209" t="s">
        <v>132</v>
      </c>
      <c r="D21" s="208" t="s">
        <v>132</v>
      </c>
      <c r="E21" s="204"/>
      <c r="F21" s="258"/>
      <c r="H21" s="201"/>
      <c r="I21" s="202"/>
      <c r="K21" s="181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7">
        <v>5</v>
      </c>
      <c r="B22" s="210" t="s">
        <v>132</v>
      </c>
      <c r="C22" s="209" t="s">
        <v>132</v>
      </c>
      <c r="D22" s="208" t="s">
        <v>132</v>
      </c>
      <c r="E22" s="204"/>
      <c r="F22" s="258"/>
      <c r="H22" s="201"/>
      <c r="I22" s="202"/>
      <c r="K22" s="181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30</v>
      </c>
      <c r="B23" s="191">
        <f>'Données projet'!D36</f>
        <v>0</v>
      </c>
      <c r="C23" s="202"/>
      <c r="D23" s="192">
        <f>B23*C23</f>
        <v>0</v>
      </c>
      <c r="E23" s="204"/>
      <c r="F23" s="258"/>
      <c r="H23" s="201"/>
      <c r="I23" s="202"/>
      <c r="K23" s="222"/>
      <c r="L23" s="323" t="s">
        <v>260</v>
      </c>
      <c r="M23" s="323"/>
      <c r="N23" s="323"/>
      <c r="O23" s="25"/>
      <c r="P23" s="25"/>
      <c r="Q23" s="262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-16631.555644376578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35</v>
      </c>
      <c r="B24" s="191">
        <f>'Données projet'!D37</f>
        <v>60.602564102564102</v>
      </c>
      <c r="C24" s="204">
        <v>10</v>
      </c>
      <c r="D24" s="192">
        <f t="shared" ref="D24:D42" si="2">B24*C24</f>
        <v>606.02564102564099</v>
      </c>
      <c r="E24" s="204"/>
      <c r="F24" s="261"/>
      <c r="H24" s="201"/>
      <c r="I24" s="202"/>
      <c r="K24" s="222"/>
      <c r="O24" s="25"/>
      <c r="P24" s="25"/>
      <c r="Q24" s="262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41</v>
      </c>
      <c r="B25" s="191">
        <f>'Données projet'!D38</f>
        <v>38.512820512820511</v>
      </c>
      <c r="C25" s="204">
        <v>10</v>
      </c>
      <c r="D25" s="192">
        <f t="shared" si="2"/>
        <v>385.12820512820508</v>
      </c>
      <c r="E25" s="204"/>
      <c r="F25" s="261"/>
      <c r="G25" s="1"/>
      <c r="H25" s="201"/>
      <c r="I25" s="202"/>
      <c r="K25" s="222"/>
      <c r="L25" s="268" t="s">
        <v>285</v>
      </c>
      <c r="M25" s="268"/>
      <c r="N25" s="268"/>
      <c r="O25" s="268"/>
      <c r="P25" s="203">
        <v>0</v>
      </c>
      <c r="Q25" s="262"/>
      <c r="R25" s="25"/>
      <c r="S25" s="196" t="s">
        <v>266</v>
      </c>
      <c r="T25" s="339">
        <f ca="1">T23-T24</f>
        <v>-16631.555644376578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48</v>
      </c>
      <c r="B26" s="191">
        <f>'Données projet'!D39</f>
        <v>48.025641025641022</v>
      </c>
      <c r="C26" s="204">
        <v>20</v>
      </c>
      <c r="D26" s="192">
        <f t="shared" si="2"/>
        <v>960.51282051282044</v>
      </c>
      <c r="E26" s="204"/>
      <c r="F26" s="261"/>
      <c r="G26" s="256"/>
      <c r="H26" s="201"/>
      <c r="I26" s="202"/>
      <c r="K26" s="222"/>
      <c r="L26" s="326" t="s">
        <v>258</v>
      </c>
      <c r="M26" s="327"/>
      <c r="N26" s="327"/>
      <c r="O26" s="327"/>
      <c r="P26" s="328"/>
      <c r="Q26" s="262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55</v>
      </c>
      <c r="B27" s="191">
        <f>'Données projet'!D40</f>
        <v>45.147435897435898</v>
      </c>
      <c r="C27" s="204">
        <v>20</v>
      </c>
      <c r="D27" s="192">
        <f t="shared" si="2"/>
        <v>902.94871794871801</v>
      </c>
      <c r="E27" s="204"/>
      <c r="F27" s="261"/>
      <c r="G27" s="256"/>
      <c r="H27" s="201"/>
      <c r="I27" s="202"/>
      <c r="K27" s="222"/>
      <c r="L27" s="329"/>
      <c r="M27" s="330"/>
      <c r="N27" s="330"/>
      <c r="O27" s="330"/>
      <c r="P27" s="331"/>
      <c r="Q27" s="262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63</v>
      </c>
      <c r="B28" s="191">
        <f>'Données projet'!D41</f>
        <v>41.724358974358978</v>
      </c>
      <c r="C28" s="204">
        <v>30</v>
      </c>
      <c r="D28" s="192">
        <f t="shared" si="2"/>
        <v>1251.7307692307693</v>
      </c>
      <c r="E28" s="204"/>
      <c r="F28" s="261"/>
      <c r="G28" s="219"/>
      <c r="H28" s="201"/>
      <c r="I28" s="202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71</v>
      </c>
      <c r="B29" s="191">
        <f>'Données projet'!D42</f>
        <v>39.935897435897431</v>
      </c>
      <c r="C29" s="204">
        <v>40</v>
      </c>
      <c r="D29" s="192">
        <f t="shared" si="2"/>
        <v>1597.4358974358972</v>
      </c>
      <c r="E29" s="204"/>
      <c r="F29" s="261"/>
      <c r="G29" s="215"/>
      <c r="H29" s="201"/>
      <c r="I29" s="202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80</v>
      </c>
      <c r="B30" s="191">
        <f>'Données projet'!D43</f>
        <v>45.608974358974358</v>
      </c>
      <c r="C30" s="204">
        <v>50</v>
      </c>
      <c r="D30" s="192">
        <f t="shared" si="2"/>
        <v>2280.4487179487178</v>
      </c>
      <c r="E30" s="204"/>
      <c r="F30" s="261"/>
      <c r="G30" s="215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89</v>
      </c>
      <c r="B31" s="191">
        <f>'Données projet'!D44</f>
        <v>49.391025641025635</v>
      </c>
      <c r="C31" s="204">
        <v>60</v>
      </c>
      <c r="D31" s="192">
        <f t="shared" si="2"/>
        <v>2963.4615384615381</v>
      </c>
      <c r="E31" s="204"/>
      <c r="F31" s="261"/>
      <c r="G31" s="215"/>
      <c r="H31" s="201"/>
      <c r="I31" s="202"/>
      <c r="K31" s="181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99</v>
      </c>
      <c r="B32" s="191">
        <f>'Données projet'!D45</f>
        <v>48.019230769230766</v>
      </c>
      <c r="C32" s="204">
        <v>70</v>
      </c>
      <c r="D32" s="192">
        <f t="shared" si="2"/>
        <v>3361.3461538461538</v>
      </c>
      <c r="E32" s="204"/>
      <c r="F32" s="261"/>
      <c r="G32" s="215"/>
      <c r="H32" s="201"/>
      <c r="I32" s="202"/>
      <c r="K32" s="181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109</v>
      </c>
      <c r="B33" s="191">
        <f>'Données projet'!D46</f>
        <v>51.28846153846154</v>
      </c>
      <c r="C33" s="204">
        <v>80</v>
      </c>
      <c r="D33" s="192">
        <f t="shared" si="2"/>
        <v>4103.0769230769229</v>
      </c>
      <c r="E33" s="204"/>
      <c r="F33" s="261"/>
      <c r="G33" s="215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119</v>
      </c>
      <c r="B34" s="191">
        <f>'Données projet'!D47</f>
        <v>150.02564102564102</v>
      </c>
      <c r="C34" s="204">
        <v>90</v>
      </c>
      <c r="D34" s="192">
        <f t="shared" si="2"/>
        <v>13502.307692307691</v>
      </c>
      <c r="E34" s="204"/>
      <c r="F34" s="261"/>
      <c r="G34" s="215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123</v>
      </c>
      <c r="B35" s="191">
        <f>'Données projet'!D48</f>
        <v>77.17307692307692</v>
      </c>
      <c r="C35" s="204">
        <v>100</v>
      </c>
      <c r="D35" s="192">
        <f t="shared" si="2"/>
        <v>7717.3076923076924</v>
      </c>
      <c r="E35" s="204"/>
      <c r="F35" s="261"/>
      <c r="G35" s="215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127</v>
      </c>
      <c r="B36" s="191">
        <f>'Données projet'!D49</f>
        <v>49.916666666666671</v>
      </c>
      <c r="C36" s="204">
        <v>150</v>
      </c>
      <c r="D36" s="192">
        <f t="shared" si="2"/>
        <v>7487.5000000000009</v>
      </c>
      <c r="E36" s="204"/>
      <c r="F36" s="261"/>
      <c r="G36" s="215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131</v>
      </c>
      <c r="B37" s="191">
        <f>'Données projet'!D50</f>
        <v>110.91025641025641</v>
      </c>
      <c r="C37" s="204">
        <v>200</v>
      </c>
      <c r="D37" s="192">
        <f t="shared" si="2"/>
        <v>22182.051282051281</v>
      </c>
      <c r="E37" s="204"/>
      <c r="F37" s="261"/>
      <c r="G37" s="215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1"/>
      <c r="G38" s="215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1"/>
      <c r="G39" s="215"/>
      <c r="H39" s="201"/>
      <c r="I39" s="202"/>
      <c r="K39" s="222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1"/>
      <c r="G40" s="215"/>
      <c r="H40" s="201"/>
      <c r="I40" s="202"/>
      <c r="K40" s="222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1"/>
      <c r="G41" s="215"/>
      <c r="H41" s="201"/>
      <c r="I41" s="202"/>
      <c r="K41" s="222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1"/>
      <c r="G42" s="215"/>
      <c r="H42" s="201"/>
      <c r="I42" s="202"/>
      <c r="K42" s="222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3"/>
      <c r="E43" s="253"/>
      <c r="F43" s="266"/>
      <c r="G43" s="215"/>
      <c r="H43" s="201"/>
      <c r="I43" s="202"/>
      <c r="K43" s="222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8"/>
      <c r="G44" s="215"/>
      <c r="H44" s="201"/>
      <c r="I44" s="202"/>
      <c r="K44" s="222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Chêne pubescent</v>
      </c>
      <c r="C45" s="5"/>
      <c r="D45" s="5"/>
      <c r="E45" s="5"/>
      <c r="F45" s="258"/>
      <c r="G45" s="215"/>
      <c r="H45" s="201"/>
      <c r="I45" s="202"/>
      <c r="J45" s="25"/>
      <c r="K45" s="222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8"/>
      <c r="G46" s="215"/>
      <c r="H46" s="201"/>
      <c r="I46" s="202"/>
      <c r="J46" s="25"/>
      <c r="K46" s="222"/>
      <c r="L46" s="217"/>
      <c r="M46" s="217"/>
      <c r="N46" s="217"/>
      <c r="O46" s="205">
        <f>IF(O45+1&lt;=MIN('Données projet'!$E$9:$E$18),O45+1,"STOP")</f>
        <v>13</v>
      </c>
      <c r="P46" s="198">
        <f t="shared" si="3"/>
        <v>0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4" t="s">
        <v>180</v>
      </c>
      <c r="B47" s="51" t="s">
        <v>256</v>
      </c>
      <c r="C47" s="51" t="s">
        <v>255</v>
      </c>
      <c r="D47" s="254" t="s">
        <v>252</v>
      </c>
      <c r="E47" s="254" t="s">
        <v>320</v>
      </c>
      <c r="F47" s="259"/>
      <c r="G47" s="215"/>
      <c r="H47" s="201"/>
      <c r="I47" s="202"/>
      <c r="J47" s="25"/>
      <c r="K47" s="222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7">
        <v>0</v>
      </c>
      <c r="B48" s="210" t="s">
        <v>132</v>
      </c>
      <c r="C48" s="209" t="s">
        <v>132</v>
      </c>
      <c r="D48" s="208" t="s">
        <v>132</v>
      </c>
      <c r="E48" s="204"/>
      <c r="F48" s="259"/>
      <c r="G48" s="215"/>
      <c r="H48" s="201"/>
      <c r="I48" s="202"/>
      <c r="J48" s="25"/>
      <c r="K48" s="222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7">
        <v>1</v>
      </c>
      <c r="B49" s="210" t="s">
        <v>132</v>
      </c>
      <c r="C49" s="209" t="s">
        <v>132</v>
      </c>
      <c r="D49" s="208" t="s">
        <v>132</v>
      </c>
      <c r="E49" s="204"/>
      <c r="F49" s="259"/>
      <c r="G49" s="216"/>
      <c r="H49" s="201"/>
      <c r="I49" s="202"/>
      <c r="J49" s="217"/>
      <c r="K49" s="224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4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7">
        <v>2</v>
      </c>
      <c r="B50" s="210" t="s">
        <v>132</v>
      </c>
      <c r="C50" s="209" t="s">
        <v>132</v>
      </c>
      <c r="D50" s="208" t="s">
        <v>132</v>
      </c>
      <c r="E50" s="204"/>
      <c r="F50" s="259"/>
      <c r="G50" s="218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7">
        <v>3</v>
      </c>
      <c r="B51" s="210" t="s">
        <v>132</v>
      </c>
      <c r="C51" s="209" t="s">
        <v>132</v>
      </c>
      <c r="D51" s="208" t="s">
        <v>132</v>
      </c>
      <c r="E51" s="204"/>
      <c r="F51" s="259"/>
      <c r="G51" s="218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7">
        <v>4</v>
      </c>
      <c r="B52" s="210" t="s">
        <v>132</v>
      </c>
      <c r="C52" s="209" t="s">
        <v>132</v>
      </c>
      <c r="D52" s="208" t="s">
        <v>132</v>
      </c>
      <c r="E52" s="204"/>
      <c r="F52" s="259"/>
      <c r="G52" s="218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7">
        <v>5</v>
      </c>
      <c r="B53" s="210" t="s">
        <v>132</v>
      </c>
      <c r="C53" s="209" t="s">
        <v>132</v>
      </c>
      <c r="D53" s="208" t="s">
        <v>132</v>
      </c>
      <c r="E53" s="204"/>
      <c r="F53" s="259"/>
      <c r="G53" s="219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23</v>
      </c>
      <c r="C54" s="204">
        <v>10</v>
      </c>
      <c r="D54" s="189">
        <f>B54*C54</f>
        <v>230</v>
      </c>
      <c r="E54" s="204"/>
      <c r="F54" s="260"/>
      <c r="G54" s="219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0</v>
      </c>
      <c r="C55" s="204">
        <v>10</v>
      </c>
      <c r="D55" s="189">
        <f t="shared" ref="D55:D73" si="4">B55*C55</f>
        <v>0</v>
      </c>
      <c r="E55" s="204"/>
      <c r="F55" s="260"/>
      <c r="G55" s="219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47</v>
      </c>
      <c r="C56" s="204">
        <v>10</v>
      </c>
      <c r="D56" s="189">
        <f t="shared" si="4"/>
        <v>470</v>
      </c>
      <c r="E56" s="204"/>
      <c r="F56" s="260"/>
      <c r="G56" s="219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0</v>
      </c>
      <c r="C57" s="204">
        <v>20</v>
      </c>
      <c r="D57" s="189">
        <f t="shared" si="4"/>
        <v>0</v>
      </c>
      <c r="E57" s="204"/>
      <c r="F57" s="260"/>
      <c r="G57" s="219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56</v>
      </c>
      <c r="C58" s="204">
        <v>20</v>
      </c>
      <c r="D58" s="189">
        <f t="shared" si="4"/>
        <v>1120</v>
      </c>
      <c r="E58" s="204"/>
      <c r="F58" s="260"/>
      <c r="G58" s="219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0</v>
      </c>
      <c r="C59" s="204">
        <v>30</v>
      </c>
      <c r="D59" s="189">
        <f t="shared" si="4"/>
        <v>0</v>
      </c>
      <c r="E59" s="204"/>
      <c r="F59" s="260"/>
      <c r="G59" s="219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61</v>
      </c>
      <c r="C60" s="204">
        <v>30</v>
      </c>
      <c r="D60" s="189">
        <f t="shared" si="4"/>
        <v>1830</v>
      </c>
      <c r="E60" s="204"/>
      <c r="F60" s="260"/>
      <c r="G60" s="220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0</v>
      </c>
      <c r="C61" s="204">
        <v>40</v>
      </c>
      <c r="D61" s="189">
        <f t="shared" si="4"/>
        <v>0</v>
      </c>
      <c r="E61" s="204"/>
      <c r="F61" s="260"/>
      <c r="G61" s="220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64</v>
      </c>
      <c r="C62" s="204">
        <v>40</v>
      </c>
      <c r="D62" s="189">
        <f t="shared" si="4"/>
        <v>2560</v>
      </c>
      <c r="E62" s="204"/>
      <c r="F62" s="260"/>
      <c r="G62" s="220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0</v>
      </c>
      <c r="C63" s="204">
        <v>50</v>
      </c>
      <c r="D63" s="189">
        <f t="shared" si="4"/>
        <v>0</v>
      </c>
      <c r="E63" s="204"/>
      <c r="F63" s="260"/>
      <c r="G63" s="220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62</v>
      </c>
      <c r="C64" s="204">
        <v>50</v>
      </c>
      <c r="D64" s="189">
        <f t="shared" si="4"/>
        <v>3100</v>
      </c>
      <c r="E64" s="204"/>
      <c r="F64" s="260"/>
      <c r="G64" s="220"/>
      <c r="H64" s="201"/>
      <c r="I64" s="202"/>
      <c r="J64" s="221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0</v>
      </c>
      <c r="C65" s="204">
        <v>60</v>
      </c>
      <c r="D65" s="189">
        <f t="shared" si="4"/>
        <v>0</v>
      </c>
      <c r="E65" s="204"/>
      <c r="F65" s="260"/>
      <c r="G65" s="220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59</v>
      </c>
      <c r="C66" s="204">
        <v>60</v>
      </c>
      <c r="D66" s="189">
        <f t="shared" si="4"/>
        <v>3540</v>
      </c>
      <c r="E66" s="204"/>
      <c r="F66" s="260"/>
      <c r="G66" s="220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85</v>
      </c>
      <c r="B67" s="191">
        <f>'Données projet'!D75</f>
        <v>0</v>
      </c>
      <c r="C67" s="204">
        <v>70</v>
      </c>
      <c r="D67" s="189">
        <f t="shared" si="4"/>
        <v>0</v>
      </c>
      <c r="E67" s="204"/>
      <c r="F67" s="260"/>
      <c r="G67" s="220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90</v>
      </c>
      <c r="B68" s="191">
        <f>'Données projet'!D76</f>
        <v>55</v>
      </c>
      <c r="C68" s="204">
        <v>80</v>
      </c>
      <c r="D68" s="189">
        <f t="shared" si="4"/>
        <v>4400</v>
      </c>
      <c r="E68" s="204"/>
      <c r="F68" s="260"/>
      <c r="G68" s="220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95</v>
      </c>
      <c r="B69" s="191">
        <f>'Données projet'!D77</f>
        <v>0</v>
      </c>
      <c r="C69" s="202">
        <v>90</v>
      </c>
      <c r="D69" s="189">
        <f t="shared" si="4"/>
        <v>0</v>
      </c>
      <c r="E69" s="204"/>
      <c r="F69" s="260"/>
      <c r="G69" s="220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100</v>
      </c>
      <c r="B70" s="191">
        <f>'Données projet'!D78</f>
        <v>51</v>
      </c>
      <c r="C70" s="202">
        <v>100</v>
      </c>
      <c r="D70" s="189">
        <f t="shared" si="4"/>
        <v>5100</v>
      </c>
      <c r="E70" s="204"/>
      <c r="F70" s="260"/>
      <c r="G70" s="220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105</v>
      </c>
      <c r="B71" s="191">
        <f>'Données projet'!D79</f>
        <v>0</v>
      </c>
      <c r="C71" s="202">
        <v>150</v>
      </c>
      <c r="D71" s="189">
        <f t="shared" si="4"/>
        <v>0</v>
      </c>
      <c r="E71" s="204"/>
      <c r="F71" s="260"/>
      <c r="G71" s="220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110</v>
      </c>
      <c r="B72" s="191">
        <f>'Données projet'!D80</f>
        <v>47</v>
      </c>
      <c r="C72" s="202">
        <v>150</v>
      </c>
      <c r="D72" s="189">
        <f t="shared" si="4"/>
        <v>7050</v>
      </c>
      <c r="E72" s="204"/>
      <c r="F72" s="260"/>
      <c r="G72" s="220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120</v>
      </c>
      <c r="B73" s="191">
        <f>'Données projet'!D81</f>
        <v>365</v>
      </c>
      <c r="C73" s="204">
        <v>200</v>
      </c>
      <c r="D73" s="189">
        <f t="shared" si="4"/>
        <v>73000</v>
      </c>
      <c r="E73" s="204"/>
      <c r="F73" s="260"/>
      <c r="G73" s="220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8"/>
      <c r="G74" s="220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8"/>
      <c r="G75" s="220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Erable plane</v>
      </c>
      <c r="C76" s="5"/>
      <c r="D76" s="5"/>
      <c r="E76" s="5"/>
      <c r="F76" s="258"/>
      <c r="G76" s="220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8"/>
      <c r="G77" s="220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4" t="s">
        <v>180</v>
      </c>
      <c r="B78" s="51" t="s">
        <v>256</v>
      </c>
      <c r="C78" s="51" t="s">
        <v>255</v>
      </c>
      <c r="D78" s="254" t="s">
        <v>252</v>
      </c>
      <c r="E78" s="254" t="s">
        <v>320</v>
      </c>
      <c r="F78" s="259"/>
      <c r="G78" s="220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7">
        <v>0</v>
      </c>
      <c r="B79" s="210" t="s">
        <v>132</v>
      </c>
      <c r="C79" s="209" t="s">
        <v>132</v>
      </c>
      <c r="D79" s="208" t="s">
        <v>132</v>
      </c>
      <c r="E79" s="204"/>
      <c r="F79" s="259"/>
      <c r="G79" s="220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7">
        <v>1</v>
      </c>
      <c r="B80" s="210" t="s">
        <v>132</v>
      </c>
      <c r="C80" s="209" t="s">
        <v>132</v>
      </c>
      <c r="D80" s="208" t="s">
        <v>132</v>
      </c>
      <c r="E80" s="204"/>
      <c r="F80" s="259"/>
      <c r="G80" s="218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7">
        <v>2</v>
      </c>
      <c r="B81" s="210" t="s">
        <v>132</v>
      </c>
      <c r="C81" s="209" t="s">
        <v>132</v>
      </c>
      <c r="D81" s="208" t="s">
        <v>132</v>
      </c>
      <c r="E81" s="204"/>
      <c r="F81" s="259"/>
      <c r="G81" s="218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7">
        <v>3</v>
      </c>
      <c r="B82" s="210" t="s">
        <v>132</v>
      </c>
      <c r="C82" s="209"/>
      <c r="D82" s="208" t="s">
        <v>132</v>
      </c>
      <c r="E82" s="204"/>
      <c r="F82" s="259"/>
      <c r="G82" s="218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7">
        <v>4</v>
      </c>
      <c r="B83" s="210" t="s">
        <v>132</v>
      </c>
      <c r="C83" s="209"/>
      <c r="D83" s="208" t="s">
        <v>132</v>
      </c>
      <c r="E83" s="204"/>
      <c r="F83" s="259"/>
      <c r="G83" s="218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7">
        <v>5</v>
      </c>
      <c r="B84" s="210" t="s">
        <v>132</v>
      </c>
      <c r="C84" s="209"/>
      <c r="D84" s="208" t="s">
        <v>132</v>
      </c>
      <c r="E84" s="204"/>
      <c r="F84" s="259"/>
      <c r="G84" s="219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10</v>
      </c>
      <c r="B85" s="191">
        <f>'Données projet'!D88</f>
        <v>0</v>
      </c>
      <c r="C85" s="204"/>
      <c r="D85" s="189">
        <f>B85*C85</f>
        <v>0</v>
      </c>
      <c r="E85" s="204"/>
      <c r="F85" s="260"/>
      <c r="G85" s="219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15</v>
      </c>
      <c r="B86" s="191">
        <f>'Données projet'!D89</f>
        <v>32</v>
      </c>
      <c r="C86" s="204">
        <v>10</v>
      </c>
      <c r="D86" s="189">
        <f t="shared" ref="D86:D104" si="6">B86*C86</f>
        <v>320</v>
      </c>
      <c r="E86" s="204"/>
      <c r="F86" s="260"/>
      <c r="G86" s="219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20</v>
      </c>
      <c r="B87" s="191">
        <f>'Données projet'!D90</f>
        <v>35</v>
      </c>
      <c r="C87" s="204">
        <v>10</v>
      </c>
      <c r="D87" s="189">
        <f t="shared" si="6"/>
        <v>350</v>
      </c>
      <c r="E87" s="204"/>
      <c r="F87" s="260"/>
      <c r="G87" s="219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25</v>
      </c>
      <c r="B88" s="191">
        <f>'Données projet'!D91</f>
        <v>35</v>
      </c>
      <c r="C88" s="204">
        <v>10</v>
      </c>
      <c r="D88" s="189">
        <f t="shared" si="6"/>
        <v>350</v>
      </c>
      <c r="E88" s="204"/>
      <c r="F88" s="260"/>
      <c r="G88" s="219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30</v>
      </c>
      <c r="B89" s="191">
        <f>'Données projet'!D92</f>
        <v>35</v>
      </c>
      <c r="C89" s="204">
        <v>20</v>
      </c>
      <c r="D89" s="189">
        <f t="shared" si="6"/>
        <v>700</v>
      </c>
      <c r="E89" s="204"/>
      <c r="F89" s="260"/>
      <c r="G89" s="219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35</v>
      </c>
      <c r="B90" s="191">
        <f>'Données projet'!D93</f>
        <v>35</v>
      </c>
      <c r="C90" s="204">
        <v>20</v>
      </c>
      <c r="D90" s="189">
        <f t="shared" si="6"/>
        <v>700</v>
      </c>
      <c r="E90" s="204"/>
      <c r="F90" s="260"/>
      <c r="G90" s="219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40</v>
      </c>
      <c r="B91" s="191">
        <f>'Données projet'!D94</f>
        <v>35</v>
      </c>
      <c r="C91" s="204">
        <v>20</v>
      </c>
      <c r="D91" s="189">
        <f t="shared" si="6"/>
        <v>700</v>
      </c>
      <c r="E91" s="204"/>
      <c r="F91" s="260"/>
      <c r="G91" s="220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45</v>
      </c>
      <c r="B92" s="191">
        <f>'Données projet'!D95</f>
        <v>24</v>
      </c>
      <c r="C92" s="204">
        <v>30</v>
      </c>
      <c r="D92" s="189">
        <f t="shared" si="6"/>
        <v>720</v>
      </c>
      <c r="E92" s="204"/>
      <c r="F92" s="260"/>
      <c r="G92" s="220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50</v>
      </c>
      <c r="B93" s="191">
        <f>'Données projet'!D96</f>
        <v>19</v>
      </c>
      <c r="C93" s="204">
        <v>30</v>
      </c>
      <c r="D93" s="189">
        <f t="shared" si="6"/>
        <v>570</v>
      </c>
      <c r="E93" s="204"/>
      <c r="F93" s="260"/>
      <c r="G93" s="220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55</v>
      </c>
      <c r="B94" s="191">
        <f>'Données projet'!D97</f>
        <v>16</v>
      </c>
      <c r="C94" s="204">
        <v>30</v>
      </c>
      <c r="D94" s="189">
        <f t="shared" si="6"/>
        <v>480</v>
      </c>
      <c r="E94" s="204"/>
      <c r="F94" s="260"/>
      <c r="G94" s="220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60</v>
      </c>
      <c r="B95" s="191">
        <f>'Données projet'!D98</f>
        <v>14</v>
      </c>
      <c r="C95" s="204">
        <v>40</v>
      </c>
      <c r="D95" s="189">
        <f t="shared" si="6"/>
        <v>560</v>
      </c>
      <c r="E95" s="204"/>
      <c r="F95" s="260"/>
      <c r="G95" s="220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65</v>
      </c>
      <c r="B96" s="191">
        <f>'Données projet'!D99</f>
        <v>13</v>
      </c>
      <c r="C96" s="204">
        <v>40</v>
      </c>
      <c r="D96" s="189">
        <f t="shared" si="6"/>
        <v>520</v>
      </c>
      <c r="E96" s="204"/>
      <c r="F96" s="260"/>
      <c r="G96" s="220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70</v>
      </c>
      <c r="B97" s="191">
        <f>'Données projet'!D100</f>
        <v>13</v>
      </c>
      <c r="C97" s="204">
        <v>50</v>
      </c>
      <c r="D97" s="189">
        <f t="shared" si="6"/>
        <v>650</v>
      </c>
      <c r="E97" s="204"/>
      <c r="F97" s="260"/>
      <c r="G97" s="220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75</v>
      </c>
      <c r="B98" s="191">
        <f>'Données projet'!D101</f>
        <v>12</v>
      </c>
      <c r="C98" s="204">
        <v>50</v>
      </c>
      <c r="D98" s="189">
        <f t="shared" si="6"/>
        <v>600</v>
      </c>
      <c r="E98" s="204"/>
      <c r="F98" s="260"/>
      <c r="G98" s="220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80</v>
      </c>
      <c r="B99" s="191">
        <f>'Données projet'!D102</f>
        <v>330</v>
      </c>
      <c r="C99" s="204">
        <v>60</v>
      </c>
      <c r="D99" s="189">
        <f t="shared" si="6"/>
        <v>19800</v>
      </c>
      <c r="E99" s="204"/>
      <c r="F99" s="260"/>
      <c r="G99" s="220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4"/>
      <c r="D100" s="189">
        <f t="shared" si="6"/>
        <v>0</v>
      </c>
      <c r="E100" s="204"/>
      <c r="F100" s="260"/>
      <c r="G100" s="220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4"/>
      <c r="D101" s="189">
        <f t="shared" si="6"/>
        <v>0</v>
      </c>
      <c r="E101" s="204"/>
      <c r="F101" s="260"/>
      <c r="G101" s="220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4"/>
      <c r="D102" s="189">
        <f t="shared" si="6"/>
        <v>0</v>
      </c>
      <c r="E102" s="204"/>
      <c r="F102" s="260"/>
      <c r="G102" s="220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4"/>
      <c r="D103" s="189">
        <f t="shared" si="6"/>
        <v>0</v>
      </c>
      <c r="E103" s="204"/>
      <c r="F103" s="260"/>
      <c r="G103" s="220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4"/>
      <c r="D104" s="189">
        <f t="shared" si="6"/>
        <v>0</v>
      </c>
      <c r="E104" s="204"/>
      <c r="F104" s="260"/>
      <c r="G104" s="220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0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8"/>
      <c r="G105" s="220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0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8"/>
      <c r="G106" s="220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0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Tilleul</v>
      </c>
      <c r="C107" s="5"/>
      <c r="D107" s="5"/>
      <c r="E107" s="5"/>
      <c r="F107" s="258"/>
      <c r="G107" s="220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0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8"/>
      <c r="G108" s="220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0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4" t="s">
        <v>180</v>
      </c>
      <c r="B109" s="51" t="s">
        <v>256</v>
      </c>
      <c r="C109" s="51" t="s">
        <v>255</v>
      </c>
      <c r="D109" s="254" t="s">
        <v>252</v>
      </c>
      <c r="E109" s="254" t="s">
        <v>320</v>
      </c>
      <c r="F109" s="259"/>
      <c r="G109" s="220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0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7">
        <v>0</v>
      </c>
      <c r="B110" s="210" t="s">
        <v>132</v>
      </c>
      <c r="C110" s="209" t="s">
        <v>132</v>
      </c>
      <c r="D110" s="208" t="s">
        <v>132</v>
      </c>
      <c r="E110" s="204"/>
      <c r="F110" s="259"/>
      <c r="G110" s="220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0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7">
        <v>1</v>
      </c>
      <c r="B111" s="210" t="s">
        <v>132</v>
      </c>
      <c r="C111" s="209" t="s">
        <v>132</v>
      </c>
      <c r="D111" s="208" t="s">
        <v>132</v>
      </c>
      <c r="E111" s="204"/>
      <c r="F111" s="259"/>
      <c r="G111" s="218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0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7">
        <v>2</v>
      </c>
      <c r="B112" s="210" t="s">
        <v>132</v>
      </c>
      <c r="C112" s="209" t="s">
        <v>132</v>
      </c>
      <c r="D112" s="208" t="s">
        <v>132</v>
      </c>
      <c r="E112" s="204"/>
      <c r="F112" s="259"/>
      <c r="G112" s="218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0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7">
        <v>3</v>
      </c>
      <c r="B113" s="210" t="s">
        <v>132</v>
      </c>
      <c r="C113" s="209" t="s">
        <v>132</v>
      </c>
      <c r="D113" s="208" t="s">
        <v>132</v>
      </c>
      <c r="E113" s="204"/>
      <c r="F113" s="259"/>
      <c r="G113" s="218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0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7">
        <v>4</v>
      </c>
      <c r="B114" s="210" t="s">
        <v>132</v>
      </c>
      <c r="C114" s="209" t="s">
        <v>132</v>
      </c>
      <c r="D114" s="208" t="s">
        <v>132</v>
      </c>
      <c r="E114" s="204"/>
      <c r="F114" s="259"/>
      <c r="G114" s="218"/>
      <c r="H114" s="201"/>
      <c r="I114" s="202"/>
      <c r="J114" s="5"/>
      <c r="K114" s="181"/>
      <c r="L114" s="5"/>
      <c r="M114" s="5"/>
      <c r="N114" s="5"/>
      <c r="O114" s="205" t="str">
        <f>IF(O113+1&lt;=MIN('Données projet'!$E$9:$E$18),O113+1,"STOP")</f>
        <v>STOP</v>
      </c>
      <c r="P114" s="195" t="e">
        <f t="shared" si="7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7">
        <v>5</v>
      </c>
      <c r="B115" s="210" t="s">
        <v>132</v>
      </c>
      <c r="C115" s="209" t="s">
        <v>132</v>
      </c>
      <c r="D115" s="208" t="s">
        <v>132</v>
      </c>
      <c r="E115" s="204"/>
      <c r="F115" s="259"/>
      <c r="G115" s="219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15</v>
      </c>
      <c r="B116" s="191">
        <f>'Données projet'!D114</f>
        <v>0</v>
      </c>
      <c r="C116" s="202">
        <v>10</v>
      </c>
      <c r="D116" s="189">
        <f>B116*C116</f>
        <v>0</v>
      </c>
      <c r="E116" s="204"/>
      <c r="F116" s="260"/>
      <c r="G116" s="219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20</v>
      </c>
      <c r="B117" s="191">
        <f>'Données projet'!D115</f>
        <v>39.102564102564102</v>
      </c>
      <c r="C117" s="202">
        <v>10</v>
      </c>
      <c r="D117" s="189">
        <f t="shared" ref="D117:D135" si="8">B117*C117</f>
        <v>391.02564102564099</v>
      </c>
      <c r="E117" s="204"/>
      <c r="F117" s="260"/>
      <c r="G117" s="219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25</v>
      </c>
      <c r="B118" s="191">
        <f>'Données projet'!D116</f>
        <v>0</v>
      </c>
      <c r="C118" s="204">
        <v>10</v>
      </c>
      <c r="D118" s="189">
        <f t="shared" si="8"/>
        <v>0</v>
      </c>
      <c r="E118" s="204"/>
      <c r="F118" s="260"/>
      <c r="G118" s="219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30</v>
      </c>
      <c r="B119" s="191">
        <f>'Données projet'!D117</f>
        <v>39.102564102564102</v>
      </c>
      <c r="C119" s="204">
        <v>10</v>
      </c>
      <c r="D119" s="189">
        <f t="shared" si="8"/>
        <v>391.02564102564099</v>
      </c>
      <c r="E119" s="204"/>
      <c r="F119" s="260"/>
      <c r="G119" s="219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35</v>
      </c>
      <c r="B120" s="191">
        <f>'Données projet'!D118</f>
        <v>0</v>
      </c>
      <c r="C120" s="204">
        <v>10</v>
      </c>
      <c r="D120" s="189">
        <f t="shared" si="8"/>
        <v>0</v>
      </c>
      <c r="E120" s="204"/>
      <c r="F120" s="260"/>
      <c r="G120" s="219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40</v>
      </c>
      <c r="B121" s="191">
        <f>'Données projet'!D119</f>
        <v>39.743589743589745</v>
      </c>
      <c r="C121" s="204">
        <v>20</v>
      </c>
      <c r="D121" s="189">
        <f t="shared" si="8"/>
        <v>794.87179487179492</v>
      </c>
      <c r="E121" s="204"/>
      <c r="F121" s="260"/>
      <c r="G121" s="219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45</v>
      </c>
      <c r="B122" s="191">
        <f>'Données projet'!D120</f>
        <v>0</v>
      </c>
      <c r="C122" s="204">
        <v>20</v>
      </c>
      <c r="D122" s="189">
        <f t="shared" si="8"/>
        <v>0</v>
      </c>
      <c r="E122" s="204"/>
      <c r="F122" s="260"/>
      <c r="G122" s="220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50</v>
      </c>
      <c r="B123" s="191">
        <f>'Données projet'!D121</f>
        <v>36.53846153846154</v>
      </c>
      <c r="C123" s="204">
        <v>20</v>
      </c>
      <c r="D123" s="189">
        <f t="shared" si="8"/>
        <v>730.76923076923083</v>
      </c>
      <c r="E123" s="204"/>
      <c r="F123" s="260"/>
      <c r="G123" s="220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55</v>
      </c>
      <c r="B124" s="191">
        <f>'Données projet'!D122</f>
        <v>0</v>
      </c>
      <c r="C124" s="204">
        <v>20</v>
      </c>
      <c r="D124" s="189">
        <f t="shared" si="8"/>
        <v>0</v>
      </c>
      <c r="E124" s="204"/>
      <c r="F124" s="260"/>
      <c r="G124" s="220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60</v>
      </c>
      <c r="B125" s="191">
        <f>'Données projet'!D123</f>
        <v>35.256410256410255</v>
      </c>
      <c r="C125" s="204">
        <v>20</v>
      </c>
      <c r="D125" s="189">
        <f t="shared" si="8"/>
        <v>705.12820512820508</v>
      </c>
      <c r="E125" s="204"/>
      <c r="F125" s="260"/>
      <c r="G125" s="220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65</v>
      </c>
      <c r="B126" s="191">
        <f>'Données projet'!D124</f>
        <v>0</v>
      </c>
      <c r="C126" s="204">
        <v>30</v>
      </c>
      <c r="D126" s="189">
        <f t="shared" si="8"/>
        <v>0</v>
      </c>
      <c r="E126" s="204"/>
      <c r="F126" s="260"/>
      <c r="G126" s="220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70</v>
      </c>
      <c r="B127" s="191">
        <f>'Données projet'!D125</f>
        <v>31.410256410256409</v>
      </c>
      <c r="C127" s="204">
        <v>30</v>
      </c>
      <c r="D127" s="189">
        <f t="shared" si="8"/>
        <v>942.30769230769226</v>
      </c>
      <c r="E127" s="204"/>
      <c r="F127" s="260"/>
      <c r="G127" s="220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75</v>
      </c>
      <c r="B128" s="191">
        <f>'Données projet'!D126</f>
        <v>0</v>
      </c>
      <c r="C128" s="204">
        <v>30</v>
      </c>
      <c r="D128" s="189">
        <f t="shared" si="8"/>
        <v>0</v>
      </c>
      <c r="E128" s="204"/>
      <c r="F128" s="260"/>
      <c r="G128" s="220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80</v>
      </c>
      <c r="B129" s="191">
        <f>'Données projet'!D127</f>
        <v>28.846153846153847</v>
      </c>
      <c r="C129" s="204">
        <v>40</v>
      </c>
      <c r="D129" s="189">
        <f t="shared" si="8"/>
        <v>1153.8461538461538</v>
      </c>
      <c r="E129" s="204"/>
      <c r="F129" s="260"/>
      <c r="G129" s="220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85</v>
      </c>
      <c r="B130" s="191">
        <f>'Données projet'!D128</f>
        <v>0</v>
      </c>
      <c r="C130" s="204">
        <v>40</v>
      </c>
      <c r="D130" s="189">
        <f t="shared" si="8"/>
        <v>0</v>
      </c>
      <c r="E130" s="204"/>
      <c r="F130" s="260"/>
      <c r="G130" s="220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90</v>
      </c>
      <c r="B131" s="191">
        <f>'Données projet'!D129</f>
        <v>27.564102564102562</v>
      </c>
      <c r="C131" s="204">
        <v>50</v>
      </c>
      <c r="D131" s="189">
        <f t="shared" si="8"/>
        <v>1378.2051282051282</v>
      </c>
      <c r="E131" s="204"/>
      <c r="F131" s="260"/>
      <c r="G131" s="220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95</v>
      </c>
      <c r="B132" s="191">
        <f>'Données projet'!D130</f>
        <v>0</v>
      </c>
      <c r="C132" s="204">
        <v>50</v>
      </c>
      <c r="D132" s="189">
        <f t="shared" si="8"/>
        <v>0</v>
      </c>
      <c r="E132" s="204"/>
      <c r="F132" s="260"/>
      <c r="G132" s="220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100</v>
      </c>
      <c r="B133" s="191">
        <f>'Données projet'!D131</f>
        <v>25</v>
      </c>
      <c r="C133" s="204">
        <v>60</v>
      </c>
      <c r="D133" s="189">
        <f t="shared" si="8"/>
        <v>1500</v>
      </c>
      <c r="E133" s="204"/>
      <c r="F133" s="260"/>
      <c r="G133" s="220"/>
      <c r="H133" s="201"/>
      <c r="I133" s="202"/>
      <c r="J133" s="5"/>
      <c r="K133" s="181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105</v>
      </c>
      <c r="B134" s="191">
        <f>'Données projet'!D132</f>
        <v>0</v>
      </c>
      <c r="C134" s="204">
        <v>60</v>
      </c>
      <c r="D134" s="189">
        <f t="shared" si="8"/>
        <v>0</v>
      </c>
      <c r="E134" s="204"/>
      <c r="F134" s="260"/>
      <c r="G134" s="220"/>
      <c r="H134" s="201"/>
      <c r="I134" s="202"/>
      <c r="J134" s="5"/>
      <c r="K134" s="181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110</v>
      </c>
      <c r="B135" s="191">
        <f>'Données projet'!D133</f>
        <v>366.66666666666663</v>
      </c>
      <c r="C135" s="204">
        <v>70</v>
      </c>
      <c r="D135" s="189">
        <f t="shared" si="8"/>
        <v>25666.666666666664</v>
      </c>
      <c r="E135" s="204"/>
      <c r="F135" s="260"/>
      <c r="G135" s="220"/>
      <c r="H135" s="201"/>
      <c r="I135" s="202"/>
      <c r="J135" s="5"/>
      <c r="K135" s="181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8"/>
      <c r="G136" s="220"/>
      <c r="H136" s="201"/>
      <c r="I136" s="202"/>
      <c r="J136" s="5"/>
      <c r="K136" s="181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8"/>
      <c r="G137" s="220"/>
      <c r="H137" s="201"/>
      <c r="I137" s="202"/>
      <c r="J137" s="5"/>
      <c r="K137" s="181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Cormier</v>
      </c>
      <c r="C138" s="5"/>
      <c r="D138" s="5"/>
      <c r="E138" s="5"/>
      <c r="F138" s="258"/>
      <c r="G138" s="220"/>
      <c r="H138" s="201"/>
      <c r="I138" s="202"/>
      <c r="J138" s="5"/>
      <c r="K138" s="181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8"/>
      <c r="G139" s="220"/>
      <c r="H139" s="201"/>
      <c r="I139" s="202"/>
      <c r="J139" s="5"/>
      <c r="K139" s="181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4" t="s">
        <v>180</v>
      </c>
      <c r="B140" s="51" t="s">
        <v>256</v>
      </c>
      <c r="C140" s="51" t="s">
        <v>255</v>
      </c>
      <c r="D140" s="254" t="s">
        <v>252</v>
      </c>
      <c r="E140" s="254" t="s">
        <v>320</v>
      </c>
      <c r="F140" s="259"/>
      <c r="G140" s="220"/>
      <c r="H140" s="201"/>
      <c r="I140" s="202"/>
      <c r="J140" s="5"/>
      <c r="K140" s="181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7">
        <v>0</v>
      </c>
      <c r="B141" s="210" t="s">
        <v>132</v>
      </c>
      <c r="C141" s="209"/>
      <c r="D141" s="208" t="s">
        <v>132</v>
      </c>
      <c r="E141" s="204"/>
      <c r="F141" s="259"/>
      <c r="G141" s="220"/>
      <c r="H141" s="201"/>
      <c r="I141" s="202"/>
      <c r="J141" s="5"/>
      <c r="K141" s="181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7">
        <v>1</v>
      </c>
      <c r="B142" s="210" t="s">
        <v>132</v>
      </c>
      <c r="C142" s="209"/>
      <c r="D142" s="208" t="s">
        <v>132</v>
      </c>
      <c r="E142" s="204"/>
      <c r="F142" s="259"/>
      <c r="G142" s="218"/>
      <c r="H142" s="201"/>
      <c r="I142" s="202"/>
      <c r="J142" s="5"/>
      <c r="K142" s="181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7">
        <v>2</v>
      </c>
      <c r="B143" s="210" t="s">
        <v>132</v>
      </c>
      <c r="C143" s="209"/>
      <c r="D143" s="208" t="s">
        <v>132</v>
      </c>
      <c r="E143" s="204"/>
      <c r="F143" s="259"/>
      <c r="G143" s="218"/>
      <c r="H143" s="201"/>
      <c r="I143" s="202"/>
      <c r="J143" s="5"/>
      <c r="K143" s="181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7">
        <v>3</v>
      </c>
      <c r="B144" s="210" t="s">
        <v>132</v>
      </c>
      <c r="C144" s="209"/>
      <c r="D144" s="208" t="s">
        <v>132</v>
      </c>
      <c r="E144" s="204"/>
      <c r="F144" s="259"/>
      <c r="G144" s="218"/>
      <c r="H144" s="201"/>
      <c r="I144" s="202"/>
      <c r="J144" s="5"/>
      <c r="K144" s="181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7">
        <v>4</v>
      </c>
      <c r="B145" s="210" t="s">
        <v>132</v>
      </c>
      <c r="C145" s="209"/>
      <c r="D145" s="208" t="s">
        <v>132</v>
      </c>
      <c r="E145" s="204"/>
      <c r="F145" s="259"/>
      <c r="G145" s="218"/>
      <c r="H145" s="201"/>
      <c r="I145" s="202"/>
      <c r="J145" s="5"/>
      <c r="K145" s="181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7">
        <v>5</v>
      </c>
      <c r="B146" s="210" t="s">
        <v>132</v>
      </c>
      <c r="C146" s="202"/>
      <c r="D146" s="208" t="s">
        <v>132</v>
      </c>
      <c r="E146" s="204"/>
      <c r="F146" s="259"/>
      <c r="G146" s="219"/>
      <c r="H146" s="201"/>
      <c r="I146" s="202"/>
      <c r="J146" s="5"/>
      <c r="K146" s="181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5">
        <f>'Données projet'!D140</f>
        <v>18</v>
      </c>
      <c r="C147" s="204">
        <v>10</v>
      </c>
      <c r="D147" s="192">
        <f>B147*C147</f>
        <v>180</v>
      </c>
      <c r="E147" s="204"/>
      <c r="F147" s="261"/>
      <c r="G147" s="219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5">
        <f>'Données projet'!D141</f>
        <v>0</v>
      </c>
      <c r="C148" s="204">
        <v>10</v>
      </c>
      <c r="D148" s="192">
        <f t="shared" ref="D148:D166" si="10">B148*C148</f>
        <v>0</v>
      </c>
      <c r="E148" s="204"/>
      <c r="F148" s="261"/>
      <c r="G148" s="219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5">
        <f>'Données projet'!D142</f>
        <v>39</v>
      </c>
      <c r="C149" s="204">
        <v>10</v>
      </c>
      <c r="D149" s="192">
        <f t="shared" si="10"/>
        <v>390</v>
      </c>
      <c r="E149" s="204"/>
      <c r="F149" s="261"/>
      <c r="G149" s="219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5">
        <f>'Données projet'!D143</f>
        <v>0</v>
      </c>
      <c r="C150" s="204">
        <v>20</v>
      </c>
      <c r="D150" s="192">
        <f t="shared" si="10"/>
        <v>0</v>
      </c>
      <c r="E150" s="204"/>
      <c r="F150" s="261"/>
      <c r="G150" s="219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5">
        <f>'Données projet'!D144</f>
        <v>48</v>
      </c>
      <c r="C151" s="204">
        <v>20</v>
      </c>
      <c r="D151" s="192">
        <f t="shared" si="10"/>
        <v>960</v>
      </c>
      <c r="E151" s="204"/>
      <c r="F151" s="261"/>
      <c r="G151" s="219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5">
        <f>'Données projet'!D145</f>
        <v>0</v>
      </c>
      <c r="C152" s="204">
        <v>30</v>
      </c>
      <c r="D152" s="192">
        <f t="shared" si="10"/>
        <v>0</v>
      </c>
      <c r="E152" s="204"/>
      <c r="F152" s="261"/>
      <c r="G152" s="219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5">
        <f>'Données projet'!D146</f>
        <v>53</v>
      </c>
      <c r="C153" s="204">
        <v>30</v>
      </c>
      <c r="D153" s="192">
        <f t="shared" si="10"/>
        <v>1590</v>
      </c>
      <c r="E153" s="204"/>
      <c r="F153" s="261"/>
      <c r="G153" s="215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5">
        <f>'Données projet'!D147</f>
        <v>0</v>
      </c>
      <c r="C154" s="204">
        <v>40</v>
      </c>
      <c r="D154" s="192">
        <f t="shared" si="10"/>
        <v>0</v>
      </c>
      <c r="E154" s="204"/>
      <c r="F154" s="261"/>
      <c r="G154" s="215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5">
        <f>'Données projet'!D148</f>
        <v>54</v>
      </c>
      <c r="C155" s="204">
        <v>40</v>
      </c>
      <c r="D155" s="192">
        <f t="shared" si="10"/>
        <v>2160</v>
      </c>
      <c r="E155" s="204"/>
      <c r="F155" s="261"/>
      <c r="G155" s="215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5">
        <f>'Données projet'!D149</f>
        <v>0</v>
      </c>
      <c r="C156" s="204">
        <v>50</v>
      </c>
      <c r="D156" s="192">
        <f t="shared" si="10"/>
        <v>0</v>
      </c>
      <c r="E156" s="204"/>
      <c r="F156" s="261"/>
      <c r="G156" s="215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5">
        <f>'Données projet'!D150</f>
        <v>53</v>
      </c>
      <c r="C157" s="204">
        <v>50</v>
      </c>
      <c r="D157" s="192">
        <f t="shared" si="10"/>
        <v>2650</v>
      </c>
      <c r="E157" s="204"/>
      <c r="F157" s="261"/>
      <c r="G157" s="215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5">
        <f>'Données projet'!D151</f>
        <v>0</v>
      </c>
      <c r="C158" s="204">
        <v>60</v>
      </c>
      <c r="D158" s="192">
        <f t="shared" si="10"/>
        <v>0</v>
      </c>
      <c r="E158" s="204"/>
      <c r="F158" s="261"/>
      <c r="G158" s="215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5">
        <f>'Données projet'!D152</f>
        <v>51</v>
      </c>
      <c r="C159" s="204">
        <v>60</v>
      </c>
      <c r="D159" s="192">
        <f t="shared" si="10"/>
        <v>3060</v>
      </c>
      <c r="E159" s="204"/>
      <c r="F159" s="261"/>
      <c r="G159" s="215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85</v>
      </c>
      <c r="B160" s="185">
        <f>'Données projet'!D153</f>
        <v>0</v>
      </c>
      <c r="C160" s="204">
        <v>70</v>
      </c>
      <c r="D160" s="192">
        <f t="shared" si="10"/>
        <v>0</v>
      </c>
      <c r="E160" s="204"/>
      <c r="F160" s="261"/>
      <c r="G160" s="215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90</v>
      </c>
      <c r="B161" s="185">
        <f>'Données projet'!D154</f>
        <v>47</v>
      </c>
      <c r="C161" s="204">
        <v>80</v>
      </c>
      <c r="D161" s="192">
        <f t="shared" si="10"/>
        <v>3760</v>
      </c>
      <c r="E161" s="204"/>
      <c r="F161" s="261"/>
      <c r="G161" s="215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95</v>
      </c>
      <c r="B162" s="185">
        <f>'Données projet'!D155</f>
        <v>0</v>
      </c>
      <c r="C162" s="202">
        <v>90</v>
      </c>
      <c r="D162" s="192">
        <f t="shared" si="10"/>
        <v>0</v>
      </c>
      <c r="E162" s="204"/>
      <c r="F162" s="261"/>
      <c r="G162" s="215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100</v>
      </c>
      <c r="B163" s="185">
        <f>'Données projet'!D156</f>
        <v>43</v>
      </c>
      <c r="C163" s="202">
        <v>100</v>
      </c>
      <c r="D163" s="192">
        <f t="shared" si="10"/>
        <v>4300</v>
      </c>
      <c r="E163" s="204"/>
      <c r="F163" s="261"/>
      <c r="G163" s="215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105</v>
      </c>
      <c r="B164" s="185">
        <f>'Données projet'!D157</f>
        <v>0</v>
      </c>
      <c r="C164" s="202">
        <v>150</v>
      </c>
      <c r="D164" s="192">
        <f t="shared" si="10"/>
        <v>0</v>
      </c>
      <c r="E164" s="204"/>
      <c r="F164" s="261"/>
      <c r="G164" s="215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110</v>
      </c>
      <c r="B165" s="185">
        <f>'Données projet'!D158</f>
        <v>40</v>
      </c>
      <c r="C165" s="202">
        <v>150</v>
      </c>
      <c r="D165" s="192">
        <f t="shared" si="10"/>
        <v>6000</v>
      </c>
      <c r="E165" s="204"/>
      <c r="F165" s="261"/>
      <c r="G165" s="215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120</v>
      </c>
      <c r="B166" s="185">
        <f>'Données projet'!D159</f>
        <v>337</v>
      </c>
      <c r="C166" s="204">
        <v>200</v>
      </c>
      <c r="D166" s="192">
        <f t="shared" si="10"/>
        <v>67400</v>
      </c>
      <c r="E166" s="204"/>
      <c r="F166" s="261"/>
      <c r="G166" s="215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8"/>
      <c r="G167" s="215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8"/>
      <c r="G168" s="215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8"/>
      <c r="G169" s="215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8"/>
      <c r="G170" s="215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4" t="s">
        <v>180</v>
      </c>
      <c r="B171" s="51" t="s">
        <v>256</v>
      </c>
      <c r="C171" s="51" t="s">
        <v>255</v>
      </c>
      <c r="D171" s="254" t="s">
        <v>252</v>
      </c>
      <c r="E171" s="254" t="s">
        <v>320</v>
      </c>
      <c r="F171" s="259"/>
      <c r="G171" s="215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7">
        <v>0</v>
      </c>
      <c r="B172" s="210" t="s">
        <v>132</v>
      </c>
      <c r="C172" s="209"/>
      <c r="D172" s="208" t="s">
        <v>132</v>
      </c>
      <c r="E172" s="204"/>
      <c r="F172" s="259"/>
      <c r="G172" s="215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7">
        <v>1</v>
      </c>
      <c r="B173" s="210" t="s">
        <v>132</v>
      </c>
      <c r="C173" s="209"/>
      <c r="D173" s="208" t="s">
        <v>132</v>
      </c>
      <c r="E173" s="204"/>
      <c r="F173" s="259"/>
      <c r="G173" s="218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7">
        <v>2</v>
      </c>
      <c r="B174" s="210" t="s">
        <v>132</v>
      </c>
      <c r="C174" s="209"/>
      <c r="D174" s="208" t="s">
        <v>132</v>
      </c>
      <c r="E174" s="204"/>
      <c r="F174" s="259"/>
      <c r="G174" s="218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7">
        <v>3</v>
      </c>
      <c r="B175" s="210" t="s">
        <v>132</v>
      </c>
      <c r="C175" s="209"/>
      <c r="D175" s="208" t="s">
        <v>132</v>
      </c>
      <c r="E175" s="204"/>
      <c r="F175" s="259"/>
      <c r="G175" s="218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7">
        <v>4</v>
      </c>
      <c r="B176" s="210" t="s">
        <v>132</v>
      </c>
      <c r="C176" s="209"/>
      <c r="D176" s="208" t="s">
        <v>132</v>
      </c>
      <c r="E176" s="204"/>
      <c r="F176" s="259"/>
      <c r="G176" s="218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7">
        <v>5</v>
      </c>
      <c r="B177" s="210" t="s">
        <v>132</v>
      </c>
      <c r="C177" s="209"/>
      <c r="D177" s="208" t="s">
        <v>132</v>
      </c>
      <c r="E177" s="204"/>
      <c r="F177" s="259"/>
      <c r="G177" s="219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0"/>
      <c r="G178" s="219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0</v>
      </c>
      <c r="B179" s="191">
        <f>'Données projet'!D167</f>
        <v>0</v>
      </c>
      <c r="C179" s="202"/>
      <c r="D179" s="189">
        <f t="shared" ref="D179:D197" si="11">B179*C179</f>
        <v>0</v>
      </c>
      <c r="E179" s="204"/>
      <c r="F179" s="260"/>
      <c r="G179" s="219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0</v>
      </c>
      <c r="B180" s="191">
        <f>'Données projet'!D168</f>
        <v>0</v>
      </c>
      <c r="C180" s="202"/>
      <c r="D180" s="189">
        <f t="shared" si="11"/>
        <v>0</v>
      </c>
      <c r="E180" s="204"/>
      <c r="F180" s="260"/>
      <c r="G180" s="219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0</v>
      </c>
      <c r="B181" s="191">
        <f>'Données projet'!D169</f>
        <v>0</v>
      </c>
      <c r="C181" s="202"/>
      <c r="D181" s="189">
        <f t="shared" si="11"/>
        <v>0</v>
      </c>
      <c r="E181" s="204"/>
      <c r="F181" s="260"/>
      <c r="G181" s="219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0</v>
      </c>
      <c r="B182" s="191">
        <f>'Données projet'!D170</f>
        <v>0</v>
      </c>
      <c r="C182" s="202"/>
      <c r="D182" s="189">
        <f t="shared" si="11"/>
        <v>0</v>
      </c>
      <c r="E182" s="204"/>
      <c r="F182" s="260"/>
      <c r="G182" s="219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0</v>
      </c>
      <c r="B183" s="191">
        <f>'Données projet'!D171</f>
        <v>0</v>
      </c>
      <c r="C183" s="202"/>
      <c r="D183" s="189">
        <f t="shared" si="11"/>
        <v>0</v>
      </c>
      <c r="E183" s="204"/>
      <c r="F183" s="260"/>
      <c r="G183" s="219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0</v>
      </c>
      <c r="B184" s="191">
        <f>'Données projet'!D172</f>
        <v>0</v>
      </c>
      <c r="C184" s="202"/>
      <c r="D184" s="189">
        <f t="shared" si="11"/>
        <v>0</v>
      </c>
      <c r="E184" s="204"/>
      <c r="F184" s="260"/>
      <c r="G184" s="220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0</v>
      </c>
      <c r="B185" s="191">
        <f>'Données projet'!D173</f>
        <v>0</v>
      </c>
      <c r="C185" s="202"/>
      <c r="D185" s="189">
        <f t="shared" si="11"/>
        <v>0</v>
      </c>
      <c r="E185" s="204"/>
      <c r="F185" s="260"/>
      <c r="G185" s="220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0"/>
      <c r="G186" s="220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0"/>
      <c r="G187" s="220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0"/>
      <c r="G188" s="220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0"/>
      <c r="G189" s="220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0"/>
      <c r="G190" s="220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0"/>
      <c r="G191" s="220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0"/>
      <c r="G192" s="220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0"/>
      <c r="G193" s="220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0"/>
      <c r="G194" s="220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0"/>
      <c r="G195" s="220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0"/>
      <c r="G196" s="220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0"/>
      <c r="G197" s="220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8"/>
      <c r="G198" s="220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8"/>
      <c r="G199" s="220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8"/>
      <c r="G200" s="220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8"/>
      <c r="G201" s="220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4" t="s">
        <v>180</v>
      </c>
      <c r="B202" s="51" t="s">
        <v>256</v>
      </c>
      <c r="C202" s="51" t="s">
        <v>255</v>
      </c>
      <c r="D202" s="254" t="s">
        <v>252</v>
      </c>
      <c r="E202" s="254" t="s">
        <v>320</v>
      </c>
      <c r="F202" s="259"/>
      <c r="G202" s="220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7">
        <v>0</v>
      </c>
      <c r="B203" s="210" t="s">
        <v>132</v>
      </c>
      <c r="C203" s="209" t="s">
        <v>132</v>
      </c>
      <c r="D203" s="208" t="s">
        <v>132</v>
      </c>
      <c r="E203" s="204"/>
      <c r="F203" s="259"/>
      <c r="G203" s="220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7">
        <v>1</v>
      </c>
      <c r="B204" s="210" t="s">
        <v>132</v>
      </c>
      <c r="C204" s="209" t="s">
        <v>132</v>
      </c>
      <c r="D204" s="208" t="s">
        <v>132</v>
      </c>
      <c r="E204" s="204"/>
      <c r="F204" s="259"/>
      <c r="G204" s="218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7">
        <v>2</v>
      </c>
      <c r="B205" s="210" t="s">
        <v>132</v>
      </c>
      <c r="C205" s="209" t="s">
        <v>132</v>
      </c>
      <c r="D205" s="208" t="s">
        <v>132</v>
      </c>
      <c r="E205" s="204"/>
      <c r="F205" s="259"/>
      <c r="G205" s="218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7">
        <v>3</v>
      </c>
      <c r="B206" s="210" t="s">
        <v>132</v>
      </c>
      <c r="C206" s="209"/>
      <c r="D206" s="208" t="s">
        <v>132</v>
      </c>
      <c r="E206" s="204"/>
      <c r="F206" s="259"/>
      <c r="G206" s="218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7">
        <v>4</v>
      </c>
      <c r="B207" s="210" t="s">
        <v>132</v>
      </c>
      <c r="C207" s="209"/>
      <c r="D207" s="208" t="s">
        <v>132</v>
      </c>
      <c r="E207" s="204"/>
      <c r="F207" s="259"/>
      <c r="G207" s="218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7">
        <v>5</v>
      </c>
      <c r="B208" s="210" t="s">
        <v>132</v>
      </c>
      <c r="C208" s="209"/>
      <c r="D208" s="208" t="s">
        <v>132</v>
      </c>
      <c r="E208" s="204"/>
      <c r="F208" s="259"/>
      <c r="G208" s="219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0</v>
      </c>
      <c r="B209" s="191">
        <f>'Données projet'!D192</f>
        <v>0</v>
      </c>
      <c r="C209" s="202"/>
      <c r="D209" s="189">
        <f>B209*C209</f>
        <v>0</v>
      </c>
      <c r="E209" s="204"/>
      <c r="F209" s="260"/>
      <c r="G209" s="219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0</v>
      </c>
      <c r="B210" s="191">
        <f>'Données projet'!D193</f>
        <v>0</v>
      </c>
      <c r="C210" s="202"/>
      <c r="D210" s="189">
        <f t="shared" ref="D210:D228" si="12">B210*C210</f>
        <v>0</v>
      </c>
      <c r="E210" s="204"/>
      <c r="F210" s="260"/>
      <c r="G210" s="219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0</v>
      </c>
      <c r="B211" s="191">
        <f>'Données projet'!D194</f>
        <v>0</v>
      </c>
      <c r="C211" s="202"/>
      <c r="D211" s="189">
        <f t="shared" si="12"/>
        <v>0</v>
      </c>
      <c r="E211" s="204"/>
      <c r="F211" s="260"/>
      <c r="G211" s="219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0</v>
      </c>
      <c r="B212" s="191">
        <f>'Données projet'!D195</f>
        <v>0</v>
      </c>
      <c r="C212" s="202"/>
      <c r="D212" s="189">
        <f t="shared" si="12"/>
        <v>0</v>
      </c>
      <c r="E212" s="204"/>
      <c r="F212" s="260"/>
      <c r="G212" s="219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0</v>
      </c>
      <c r="B213" s="191">
        <f>'Données projet'!D196</f>
        <v>0</v>
      </c>
      <c r="C213" s="202"/>
      <c r="D213" s="189">
        <f t="shared" si="12"/>
        <v>0</v>
      </c>
      <c r="E213" s="204"/>
      <c r="F213" s="260"/>
      <c r="G213" s="219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0</v>
      </c>
      <c r="B214" s="191">
        <f>'Données projet'!D197</f>
        <v>0</v>
      </c>
      <c r="C214" s="202"/>
      <c r="D214" s="189">
        <f>B214*C214</f>
        <v>0</v>
      </c>
      <c r="E214" s="204"/>
      <c r="F214" s="260"/>
      <c r="G214" s="219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0</v>
      </c>
      <c r="B215" s="191">
        <f>'Données projet'!D198</f>
        <v>0</v>
      </c>
      <c r="C215" s="202"/>
      <c r="D215" s="189">
        <f t="shared" si="12"/>
        <v>0</v>
      </c>
      <c r="E215" s="204"/>
      <c r="F215" s="260"/>
      <c r="G215" s="220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0</v>
      </c>
      <c r="B216" s="191">
        <f>'Données projet'!D199</f>
        <v>0</v>
      </c>
      <c r="C216" s="202"/>
      <c r="D216" s="189">
        <f t="shared" si="12"/>
        <v>0</v>
      </c>
      <c r="E216" s="204"/>
      <c r="F216" s="260"/>
      <c r="G216" s="220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0</v>
      </c>
      <c r="B217" s="191">
        <f>'Données projet'!D200</f>
        <v>0</v>
      </c>
      <c r="C217" s="204"/>
      <c r="D217" s="189">
        <f>B217*C217</f>
        <v>0</v>
      </c>
      <c r="E217" s="204"/>
      <c r="F217" s="260"/>
      <c r="G217" s="220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0"/>
      <c r="G218" s="220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0"/>
      <c r="G219" s="220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0"/>
      <c r="G220" s="220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0"/>
      <c r="G221" s="220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2"/>
      <c r="D222" s="189">
        <f t="shared" si="12"/>
        <v>0</v>
      </c>
      <c r="E222" s="204"/>
      <c r="F222" s="260"/>
      <c r="G222" s="220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2"/>
      <c r="D223" s="189">
        <f t="shared" si="12"/>
        <v>0</v>
      </c>
      <c r="E223" s="204"/>
      <c r="F223" s="260"/>
      <c r="G223" s="220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0"/>
      <c r="G224" s="220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0"/>
      <c r="G225" s="220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0"/>
      <c r="G226" s="220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0"/>
      <c r="G227" s="220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0"/>
      <c r="G228" s="220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8"/>
      <c r="G231" s="220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8"/>
      <c r="G232" s="220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4" t="s">
        <v>180</v>
      </c>
      <c r="B233" s="51" t="s">
        <v>256</v>
      </c>
      <c r="C233" s="51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7">
        <v>0</v>
      </c>
      <c r="B234" s="210" t="s">
        <v>132</v>
      </c>
      <c r="C234" s="209" t="s">
        <v>132</v>
      </c>
      <c r="D234" s="208" t="s">
        <v>132</v>
      </c>
      <c r="E234" s="204"/>
      <c r="F234" s="259"/>
      <c r="G234" s="220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7">
        <v>1</v>
      </c>
      <c r="B235" s="210" t="s">
        <v>132</v>
      </c>
      <c r="C235" s="209" t="s">
        <v>132</v>
      </c>
      <c r="D235" s="208" t="s">
        <v>132</v>
      </c>
      <c r="E235" s="204"/>
      <c r="F235" s="259"/>
      <c r="G235" s="218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7">
        <v>2</v>
      </c>
      <c r="B236" s="210" t="s">
        <v>132</v>
      </c>
      <c r="C236" s="209" t="s">
        <v>132</v>
      </c>
      <c r="D236" s="208" t="s">
        <v>132</v>
      </c>
      <c r="E236" s="204"/>
      <c r="F236" s="259"/>
      <c r="G236" s="218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7">
        <v>3</v>
      </c>
      <c r="B237" s="210" t="s">
        <v>132</v>
      </c>
      <c r="C237" s="209"/>
      <c r="D237" s="208" t="s">
        <v>132</v>
      </c>
      <c r="E237" s="204"/>
      <c r="F237" s="259"/>
      <c r="G237" s="218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7">
        <v>4</v>
      </c>
      <c r="B238" s="210" t="s">
        <v>132</v>
      </c>
      <c r="C238" s="209"/>
      <c r="D238" s="208" t="s">
        <v>132</v>
      </c>
      <c r="E238" s="204"/>
      <c r="F238" s="259"/>
      <c r="G238" s="218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7">
        <v>5</v>
      </c>
      <c r="B239" s="210" t="s">
        <v>132</v>
      </c>
      <c r="C239" s="209"/>
      <c r="D239" s="208" t="s">
        <v>132</v>
      </c>
      <c r="E239" s="204"/>
      <c r="F239" s="259"/>
      <c r="G239" s="219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0"/>
      <c r="G240" s="219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0"/>
      <c r="G241" s="219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0"/>
      <c r="G242" s="219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0"/>
      <c r="G243" s="219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0"/>
      <c r="G244" s="219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0"/>
      <c r="G245" s="219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0"/>
      <c r="G246" s="220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0"/>
      <c r="G247" s="220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0"/>
      <c r="G248" s="220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0"/>
      <c r="G249" s="220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0"/>
      <c r="G250" s="220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0"/>
      <c r="G251" s="220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0"/>
      <c r="G252" s="220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0"/>
      <c r="G253" s="220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0"/>
      <c r="G254" s="220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0"/>
      <c r="G255" s="220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0"/>
      <c r="G256" s="220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0"/>
      <c r="G257" s="220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0"/>
      <c r="G258" s="220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0"/>
      <c r="G259" s="220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8"/>
      <c r="G262" s="220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8"/>
      <c r="G263" s="220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4" t="s">
        <v>180</v>
      </c>
      <c r="B264" s="51" t="s">
        <v>256</v>
      </c>
      <c r="C264" s="51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7">
        <v>0</v>
      </c>
      <c r="B265" s="210" t="s">
        <v>132</v>
      </c>
      <c r="C265" s="209" t="s">
        <v>132</v>
      </c>
      <c r="D265" s="208" t="s">
        <v>132</v>
      </c>
      <c r="E265" s="204"/>
      <c r="F265" s="259"/>
      <c r="G265" s="220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7">
        <v>1</v>
      </c>
      <c r="B266" s="210" t="s">
        <v>132</v>
      </c>
      <c r="C266" s="209" t="s">
        <v>132</v>
      </c>
      <c r="D266" s="208" t="s">
        <v>132</v>
      </c>
      <c r="E266" s="204"/>
      <c r="F266" s="259"/>
      <c r="G266" s="218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7">
        <v>2</v>
      </c>
      <c r="B267" s="210" t="s">
        <v>132</v>
      </c>
      <c r="C267" s="209"/>
      <c r="D267" s="208" t="s">
        <v>132</v>
      </c>
      <c r="E267" s="204"/>
      <c r="F267" s="259"/>
      <c r="G267" s="218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7">
        <v>3</v>
      </c>
      <c r="B268" s="210" t="s">
        <v>132</v>
      </c>
      <c r="C268" s="209"/>
      <c r="D268" s="208" t="s">
        <v>132</v>
      </c>
      <c r="E268" s="204"/>
      <c r="F268" s="259"/>
      <c r="G268" s="218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7">
        <v>4</v>
      </c>
      <c r="B269" s="210" t="s">
        <v>132</v>
      </c>
      <c r="C269" s="209"/>
      <c r="D269" s="208" t="s">
        <v>132</v>
      </c>
      <c r="E269" s="204"/>
      <c r="F269" s="259"/>
      <c r="G269" s="218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7">
        <v>5</v>
      </c>
      <c r="B270" s="210" t="s">
        <v>132</v>
      </c>
      <c r="C270" s="209"/>
      <c r="D270" s="208" t="s">
        <v>132</v>
      </c>
      <c r="E270" s="204"/>
      <c r="F270" s="259"/>
      <c r="G270" s="219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0"/>
      <c r="G271" s="219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0"/>
      <c r="G272" s="219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2"/>
      <c r="D273" s="189">
        <f t="shared" si="14"/>
        <v>0</v>
      </c>
      <c r="E273" s="204"/>
      <c r="F273" s="260"/>
      <c r="G273" s="219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2"/>
      <c r="D274" s="189">
        <f t="shared" si="14"/>
        <v>0</v>
      </c>
      <c r="E274" s="204"/>
      <c r="F274" s="260"/>
      <c r="G274" s="219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2"/>
      <c r="D275" s="189">
        <f t="shared" si="14"/>
        <v>0</v>
      </c>
      <c r="E275" s="204"/>
      <c r="F275" s="260"/>
      <c r="G275" s="219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2"/>
      <c r="D276" s="189">
        <f t="shared" si="14"/>
        <v>0</v>
      </c>
      <c r="E276" s="204"/>
      <c r="F276" s="260"/>
      <c r="G276" s="219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2"/>
      <c r="D277" s="189">
        <f t="shared" si="14"/>
        <v>0</v>
      </c>
      <c r="E277" s="204"/>
      <c r="F277" s="260"/>
      <c r="G277" s="220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2"/>
      <c r="D278" s="189">
        <f t="shared" si="14"/>
        <v>0</v>
      </c>
      <c r="E278" s="204"/>
      <c r="F278" s="260"/>
      <c r="G278" s="220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2"/>
      <c r="D279" s="189">
        <f t="shared" si="14"/>
        <v>0</v>
      </c>
      <c r="E279" s="204"/>
      <c r="F279" s="260"/>
      <c r="G279" s="220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2"/>
      <c r="D280" s="189">
        <f t="shared" si="14"/>
        <v>0</v>
      </c>
      <c r="E280" s="204"/>
      <c r="F280" s="260"/>
      <c r="G280" s="220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2"/>
      <c r="D281" s="189">
        <f t="shared" si="14"/>
        <v>0</v>
      </c>
      <c r="E281" s="204"/>
      <c r="F281" s="260"/>
      <c r="G281" s="220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2"/>
      <c r="D282" s="189">
        <f t="shared" si="14"/>
        <v>0</v>
      </c>
      <c r="E282" s="204"/>
      <c r="F282" s="260"/>
      <c r="G282" s="220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2"/>
      <c r="D283" s="189">
        <f t="shared" si="14"/>
        <v>0</v>
      </c>
      <c r="E283" s="204"/>
      <c r="F283" s="260"/>
      <c r="G283" s="220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2"/>
      <c r="D284" s="189">
        <f t="shared" si="14"/>
        <v>0</v>
      </c>
      <c r="E284" s="204"/>
      <c r="F284" s="260"/>
      <c r="G284" s="220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2"/>
      <c r="D285" s="189">
        <f t="shared" si="14"/>
        <v>0</v>
      </c>
      <c r="E285" s="204"/>
      <c r="F285" s="260"/>
      <c r="G285" s="220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2"/>
      <c r="D286" s="189">
        <f t="shared" si="14"/>
        <v>0</v>
      </c>
      <c r="E286" s="204"/>
      <c r="F286" s="260"/>
      <c r="G286" s="220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2"/>
      <c r="D287" s="189">
        <f t="shared" si="14"/>
        <v>0</v>
      </c>
      <c r="E287" s="204"/>
      <c r="F287" s="260"/>
      <c r="G287" s="220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2"/>
      <c r="D288" s="189">
        <f t="shared" si="14"/>
        <v>0</v>
      </c>
      <c r="E288" s="204"/>
      <c r="F288" s="260"/>
      <c r="G288" s="220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2"/>
      <c r="D289" s="189">
        <f t="shared" si="14"/>
        <v>0</v>
      </c>
      <c r="E289" s="204"/>
      <c r="F289" s="260"/>
      <c r="G289" s="220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2"/>
      <c r="D290" s="189">
        <f t="shared" si="14"/>
        <v>0</v>
      </c>
      <c r="E290" s="204"/>
      <c r="F290" s="260"/>
      <c r="G290" s="220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8"/>
      <c r="G293" s="220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8"/>
      <c r="G294" s="220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4" t="s">
        <v>180</v>
      </c>
      <c r="B295" s="51" t="s">
        <v>256</v>
      </c>
      <c r="C295" s="51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7">
        <v>0</v>
      </c>
      <c r="B296" s="210" t="s">
        <v>132</v>
      </c>
      <c r="C296" s="209" t="s">
        <v>132</v>
      </c>
      <c r="D296" s="208" t="s">
        <v>132</v>
      </c>
      <c r="E296" s="204"/>
      <c r="F296" s="259"/>
      <c r="G296" s="220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7">
        <v>1</v>
      </c>
      <c r="B297" s="210" t="s">
        <v>132</v>
      </c>
      <c r="C297" s="209" t="s">
        <v>132</v>
      </c>
      <c r="D297" s="208" t="s">
        <v>132</v>
      </c>
      <c r="E297" s="204"/>
      <c r="F297" s="259"/>
      <c r="G297" s="218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7">
        <v>2</v>
      </c>
      <c r="B298" s="210" t="s">
        <v>132</v>
      </c>
      <c r="C298" s="209" t="s">
        <v>132</v>
      </c>
      <c r="D298" s="208" t="s">
        <v>132</v>
      </c>
      <c r="E298" s="204"/>
      <c r="F298" s="259"/>
      <c r="G298" s="218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7">
        <v>3</v>
      </c>
      <c r="B299" s="210" t="s">
        <v>132</v>
      </c>
      <c r="C299" s="209" t="s">
        <v>132</v>
      </c>
      <c r="D299" s="208" t="s">
        <v>132</v>
      </c>
      <c r="E299" s="204"/>
      <c r="F299" s="259"/>
      <c r="G299" s="218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7">
        <v>4</v>
      </c>
      <c r="B300" s="210" t="s">
        <v>132</v>
      </c>
      <c r="C300" s="209"/>
      <c r="D300" s="208" t="s">
        <v>132</v>
      </c>
      <c r="E300" s="204"/>
      <c r="F300" s="259"/>
      <c r="G300" s="218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7">
        <v>5</v>
      </c>
      <c r="B301" s="210" t="s">
        <v>132</v>
      </c>
      <c r="C301" s="209"/>
      <c r="D301" s="208" t="s">
        <v>132</v>
      </c>
      <c r="E301" s="204"/>
      <c r="F301" s="259"/>
      <c r="G301" s="219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 t="shared" ref="D302:D314" si="15">B302*C302</f>
        <v>0</v>
      </c>
      <c r="E302" s="204"/>
      <c r="F302" s="261"/>
      <c r="G302" s="219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4"/>
      <c r="D303" s="192">
        <f t="shared" si="15"/>
        <v>0</v>
      </c>
      <c r="E303" s="204"/>
      <c r="F303" s="261"/>
      <c r="G303" s="219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4"/>
      <c r="D304" s="192">
        <f t="shared" si="15"/>
        <v>0</v>
      </c>
      <c r="E304" s="204"/>
      <c r="F304" s="261"/>
      <c r="G304" s="219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4"/>
      <c r="D305" s="192">
        <f t="shared" si="15"/>
        <v>0</v>
      </c>
      <c r="E305" s="204"/>
      <c r="F305" s="261"/>
      <c r="G305" s="219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4"/>
      <c r="D306" s="192">
        <f t="shared" si="15"/>
        <v>0</v>
      </c>
      <c r="E306" s="204"/>
      <c r="F306" s="261"/>
      <c r="G306" s="219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4"/>
      <c r="D307" s="192">
        <f t="shared" si="15"/>
        <v>0</v>
      </c>
      <c r="E307" s="204"/>
      <c r="F307" s="261"/>
      <c r="G307" s="219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4"/>
      <c r="D308" s="192">
        <f t="shared" si="15"/>
        <v>0</v>
      </c>
      <c r="E308" s="204"/>
      <c r="F308" s="261"/>
      <c r="G308" s="215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4"/>
      <c r="D309" s="192">
        <f t="shared" si="15"/>
        <v>0</v>
      </c>
      <c r="E309" s="204"/>
      <c r="F309" s="261"/>
      <c r="G309" s="215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4"/>
      <c r="D310" s="192">
        <f t="shared" si="15"/>
        <v>0</v>
      </c>
      <c r="E310" s="204"/>
      <c r="F310" s="261"/>
      <c r="G310" s="215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4"/>
      <c r="D311" s="192">
        <f t="shared" si="15"/>
        <v>0</v>
      </c>
      <c r="E311" s="204"/>
      <c r="F311" s="261"/>
      <c r="G311" s="215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4"/>
      <c r="D312" s="192">
        <f t="shared" si="15"/>
        <v>0</v>
      </c>
      <c r="E312" s="204"/>
      <c r="F312" s="261"/>
      <c r="G312" s="215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4"/>
      <c r="D313" s="192">
        <f t="shared" si="15"/>
        <v>0</v>
      </c>
      <c r="E313" s="204"/>
      <c r="F313" s="261"/>
      <c r="G313" s="215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4"/>
      <c r="D314" s="192">
        <f t="shared" si="15"/>
        <v>0</v>
      </c>
      <c r="E314" s="204"/>
      <c r="F314" s="261"/>
      <c r="G314" s="215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4"/>
      <c r="D315" s="192">
        <f t="shared" ref="D315:D321" si="16">B315*C315</f>
        <v>0</v>
      </c>
      <c r="E315" s="204"/>
      <c r="F315" s="261"/>
      <c r="G315" s="215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4"/>
      <c r="D316" s="192">
        <f t="shared" si="16"/>
        <v>0</v>
      </c>
      <c r="E316" s="204"/>
      <c r="F316" s="261"/>
      <c r="G316" s="215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4"/>
      <c r="D317" s="192">
        <f t="shared" si="16"/>
        <v>0</v>
      </c>
      <c r="E317" s="204"/>
      <c r="F317" s="261"/>
      <c r="G317" s="215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4"/>
      <c r="D318" s="192">
        <f t="shared" si="16"/>
        <v>0</v>
      </c>
      <c r="E318" s="204"/>
      <c r="F318" s="261"/>
      <c r="G318" s="215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4"/>
      <c r="D319" s="192">
        <f t="shared" si="16"/>
        <v>0</v>
      </c>
      <c r="E319" s="204"/>
      <c r="F319" s="261"/>
      <c r="G319" s="215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4"/>
      <c r="D320" s="192">
        <f t="shared" si="16"/>
        <v>0</v>
      </c>
      <c r="E320" s="204"/>
      <c r="F320" s="261"/>
      <c r="G320" s="215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4"/>
      <c r="D321" s="192">
        <f t="shared" si="16"/>
        <v>0</v>
      </c>
      <c r="E321" s="204"/>
      <c r="F321" s="261"/>
      <c r="G321" s="215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5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5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5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5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5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5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8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8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8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8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8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8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8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8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8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8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8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8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8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8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8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8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8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8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8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8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8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8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8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8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8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8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fleur.alonso</cp:lastModifiedBy>
  <dcterms:created xsi:type="dcterms:W3CDTF">2021-02-01T08:22:39Z</dcterms:created>
  <dcterms:modified xsi:type="dcterms:W3CDTF">2025-07-03T08:28:53Z</dcterms:modified>
</cp:coreProperties>
</file>