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Cadre de travail\Les projets\Construction de projets\CNPF C+for n° 218 Forêt des Marches (GazelEnergie n° 5)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1" l="1"/>
  <c r="B122" i="1" l="1"/>
  <c r="B121" i="1"/>
  <c r="B120" i="1"/>
  <c r="B119" i="1"/>
  <c r="B118" i="1"/>
  <c r="B117" i="1"/>
  <c r="B116" i="1"/>
  <c r="B115" i="1"/>
  <c r="B114" i="1"/>
  <c r="D114" i="1"/>
  <c r="D115" i="1"/>
  <c r="D116" i="1"/>
  <c r="D117" i="1"/>
  <c r="D118" i="1"/>
  <c r="D119" i="1"/>
  <c r="D120" i="1"/>
  <c r="D121" i="1"/>
  <c r="D122" i="1"/>
  <c r="D101" i="1" l="1"/>
  <c r="B100" i="1"/>
  <c r="D99" i="1"/>
  <c r="B99" i="1"/>
  <c r="B98" i="1"/>
  <c r="D97" i="1"/>
  <c r="B97" i="1"/>
  <c r="B96" i="1"/>
  <c r="D95" i="1"/>
  <c r="B95" i="1"/>
  <c r="B94" i="1"/>
  <c r="D93" i="1"/>
  <c r="B93" i="1"/>
  <c r="B92" i="1"/>
  <c r="D91" i="1"/>
  <c r="B91" i="1"/>
  <c r="B90" i="1"/>
  <c r="D89" i="1"/>
  <c r="B89" i="1"/>
  <c r="B88" i="1"/>
  <c r="B74" i="1" l="1"/>
  <c r="D74" i="1" s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D62" i="1"/>
  <c r="B62" i="1"/>
  <c r="B37" i="1" l="1"/>
  <c r="B38" i="1"/>
  <c r="D38" i="1"/>
  <c r="B39" i="1"/>
  <c r="B40" i="1"/>
  <c r="D40" i="1"/>
  <c r="B41" i="1"/>
  <c r="B42" i="1"/>
  <c r="D42" i="1"/>
  <c r="B4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FS20" i="2"/>
  <c r="EW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FS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EC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HI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EV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HG107" i="2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HI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I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H124" i="2"/>
  <c r="EW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FS130" i="2"/>
  <c r="EW130" i="2"/>
  <c r="EX130" i="2"/>
  <c r="EB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A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EX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HH144" i="2"/>
  <c r="HG144" i="2"/>
  <c r="EB144" i="2"/>
  <c r="FR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X145" i="2"/>
  <c r="FR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H146" i="2"/>
  <c r="FR146" i="2"/>
  <c r="HG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G150" i="2"/>
  <c r="EV150" i="2"/>
  <c r="FS150" i="2"/>
  <c r="HH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Y154" i="2"/>
  <c r="ED154" i="2"/>
  <c r="EA155" i="2"/>
  <c r="HH155" i="2"/>
  <c r="EW155" i="2"/>
  <c r="EX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AB156" i="2"/>
  <c r="DH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G158" i="2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DG160" i="2"/>
  <c r="EY159" i="2"/>
  <c r="ED159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D160" i="2"/>
  <c r="EX161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C162" i="2"/>
  <c r="DI161" i="2"/>
  <c r="EW162" i="2"/>
  <c r="EB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HI163" i="2"/>
  <c r="HH163" i="2"/>
  <c r="EA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FS164" i="2"/>
  <c r="EY163" i="2"/>
  <c r="ED163" i="2"/>
  <c r="EV164" i="2"/>
  <c r="EX164" i="2"/>
  <c r="DH164" i="2"/>
  <c r="DI163" i="2"/>
  <c r="HG164" i="2"/>
  <c r="EA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DG167" i="2"/>
  <c r="EX167" i="2"/>
  <c r="EA167" i="2"/>
  <c r="EB167" i="2"/>
  <c r="HH167" i="2"/>
  <c r="HI167" i="2"/>
  <c r="EC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EB168" i="2"/>
  <c r="HH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V172" i="2"/>
  <c r="EW172" i="2"/>
  <c r="EA172" i="2"/>
  <c r="EB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D174" i="2"/>
  <c r="EA175" i="2"/>
  <c r="EB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W178" i="2"/>
  <c r="ED177" i="2"/>
  <c r="EA178" i="2"/>
  <c r="EB178" i="2"/>
  <c r="FQ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B185" i="2"/>
  <c r="EA185" i="2"/>
  <c r="EV185" i="2"/>
  <c r="EW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D185" i="2"/>
  <c r="EW186" i="2"/>
  <c r="EA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C192" i="2"/>
  <c r="EB192" i="2"/>
  <c r="EW192" i="2"/>
  <c r="HG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Y192" i="2"/>
  <c r="DI192" i="2"/>
  <c r="ED192" i="2"/>
  <c r="EX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FQ194" i="2"/>
  <c r="ED193" i="2"/>
  <c r="EB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ED194" i="2"/>
  <c r="EX195" i="2"/>
  <c r="EY194" i="2"/>
  <c r="EA195" i="2"/>
  <c r="EB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FS197" i="2"/>
  <c r="EY196" i="2"/>
  <c r="EC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W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A201" i="2"/>
  <c r="EB201" i="2"/>
  <c r="HG201" i="2"/>
  <c r="FS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FS202" i="2"/>
  <c r="EW202" i="2"/>
  <c r="EY201" i="2"/>
  <c r="EX202" i="2"/>
  <c r="HH202" i="2"/>
  <c r="FZ6" i="2"/>
  <c r="HG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AH62" i="2" a="1"/>
  <c r="AH62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88" i="2" a="1"/>
  <c r="FD188" i="2" s="1"/>
  <c r="FD44" i="2" a="1"/>
  <c r="FD44" i="2" s="1"/>
  <c r="FD64" i="2" a="1"/>
  <c r="FD64" i="2" s="1"/>
  <c r="FD43" i="2" a="1"/>
  <c r="FD43" i="2" s="1"/>
  <c r="FD167" i="2" a="1"/>
  <c r="FD167" i="2" s="1"/>
  <c r="FD107" i="2" a="1"/>
  <c r="FD107" i="2" s="1"/>
  <c r="FD159" i="2" a="1"/>
  <c r="FD159" i="2" s="1"/>
  <c r="FD19" i="2" a="1"/>
  <c r="FD19" i="2" s="1"/>
  <c r="FD194" i="2" a="1"/>
  <c r="FD194" i="2" s="1"/>
  <c r="FD187" i="2" a="1"/>
  <c r="FD187" i="2" s="1"/>
  <c r="BC164" i="2" a="1"/>
  <c r="BC164" i="2" s="1"/>
  <c r="BC32" i="2" a="1"/>
  <c r="BC32" i="2" s="1"/>
  <c r="BC38" i="2" a="1"/>
  <c r="BC3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113" i="2" a="1"/>
  <c r="EI113" i="2" s="1"/>
  <c r="DN6" i="2" a="1"/>
  <c r="DN6" i="2" s="1"/>
  <c r="DO6" i="2" s="1"/>
  <c r="DN46" i="2" a="1"/>
  <c r="DN46" i="2" s="1"/>
  <c r="BX107" i="2" a="1"/>
  <c r="BX107" i="2" s="1"/>
  <c r="FD82" i="2" a="1"/>
  <c r="FD82" i="2" s="1"/>
  <c r="HJ202" i="2"/>
  <c r="AX200" i="2"/>
  <c r="BC83" i="2" l="1" a="1"/>
  <c r="BC83" i="2" s="1"/>
  <c r="BC18" i="2" a="1"/>
  <c r="BC18" i="2" s="1"/>
  <c r="BC84" i="2" a="1"/>
  <c r="BC84" i="2" s="1"/>
  <c r="BC82" i="2" a="1"/>
  <c r="BC82" i="2" s="1"/>
  <c r="BC151" i="2" a="1"/>
  <c r="BC151" i="2" s="1"/>
  <c r="BC192" i="2" a="1"/>
  <c r="BC192" i="2" s="1"/>
  <c r="BC55" i="2" a="1"/>
  <c r="BC55" i="2" s="1"/>
  <c r="BC117" i="2" a="1"/>
  <c r="BC117" i="2" s="1"/>
  <c r="BC185" i="2" a="1"/>
  <c r="BC185" i="2" s="1"/>
  <c r="BC130" i="2" a="1"/>
  <c r="BC130" i="2" s="1"/>
  <c r="BC181" i="2" a="1"/>
  <c r="BC181" i="2" s="1"/>
  <c r="BC143" i="2" a="1"/>
  <c r="BC143" i="2" s="1"/>
  <c r="BC65" i="2" a="1"/>
  <c r="BC65" i="2" s="1"/>
  <c r="BC7" i="2" a="1"/>
  <c r="BC7" i="2" s="1"/>
  <c r="BC31" i="2" a="1"/>
  <c r="BC31" i="2" s="1"/>
  <c r="BC114" i="2" a="1"/>
  <c r="BC114" i="2" s="1"/>
  <c r="BC34" i="2" a="1"/>
  <c r="BC34" i="2" s="1"/>
  <c r="BC126" i="2" a="1"/>
  <c r="BC126" i="2" s="1"/>
  <c r="BC47" i="2" a="1"/>
  <c r="BC47" i="2" s="1"/>
  <c r="BC68" i="2" a="1"/>
  <c r="BC68" i="2" s="1"/>
  <c r="BC58" i="2" a="1"/>
  <c r="BC58" i="2" s="1"/>
  <c r="FD131" i="2" a="1"/>
  <c r="FD131" i="2" s="1"/>
  <c r="FD60" i="2" a="1"/>
  <c r="FD60" i="2" s="1"/>
  <c r="FD144" i="2" a="1"/>
  <c r="FD144" i="2" s="1"/>
  <c r="FD160" i="2" a="1"/>
  <c r="FD160" i="2" s="1"/>
  <c r="FD189" i="2" a="1"/>
  <c r="FD189" i="2" s="1"/>
  <c r="FD137" i="2" a="1"/>
  <c r="FD137" i="2" s="1"/>
  <c r="FD14" i="2" a="1"/>
  <c r="FD14" i="2" s="1"/>
  <c r="FD48" i="2" a="1"/>
  <c r="FD48" i="2" s="1"/>
  <c r="FR203" i="2"/>
  <c r="AH151" i="2" a="1"/>
  <c r="AH151" i="2" s="1"/>
  <c r="AH163" i="2" a="1"/>
  <c r="AH163" i="2" s="1"/>
  <c r="AH199" i="2" a="1"/>
  <c r="AH199" i="2" s="1"/>
  <c r="AH166" i="2" a="1"/>
  <c r="AH166" i="2" s="1"/>
  <c r="AH19" i="2" a="1"/>
  <c r="AH19" i="2" s="1"/>
  <c r="AH90" i="2" a="1"/>
  <c r="AH90" i="2" s="1"/>
  <c r="AH92" i="2" a="1"/>
  <c r="AH92" i="2" s="1"/>
  <c r="CS114" i="2" a="1"/>
  <c r="CS114" i="2" s="1"/>
  <c r="CS120" i="2" a="1"/>
  <c r="CS120" i="2" s="1"/>
  <c r="CS66" i="2" a="1"/>
  <c r="CS66" i="2" s="1"/>
  <c r="CS105" i="2" a="1"/>
  <c r="CS105" i="2" s="1"/>
  <c r="CS77" i="2" a="1"/>
  <c r="CS77" i="2" s="1"/>
  <c r="CS56" i="2" a="1"/>
  <c r="CS56" i="2" s="1"/>
  <c r="CS161" i="2" a="1"/>
  <c r="CS161" i="2" s="1"/>
  <c r="CS185" i="2" a="1"/>
  <c r="CS185" i="2" s="1"/>
  <c r="CS137" i="2" a="1"/>
  <c r="CS137" i="2" s="1"/>
  <c r="CS72" i="2" a="1"/>
  <c r="CS72" i="2" s="1"/>
  <c r="CS116" i="2" a="1"/>
  <c r="CS116" i="2" s="1"/>
  <c r="CS134" i="2" a="1"/>
  <c r="CS134" i="2" s="1"/>
  <c r="CS129" i="2" a="1"/>
  <c r="CS129" i="2" s="1"/>
  <c r="CS24" i="2" a="1"/>
  <c r="CS24" i="2" s="1"/>
  <c r="CS52" i="2" a="1"/>
  <c r="CS52" i="2" s="1"/>
  <c r="DN187" i="2" a="1"/>
  <c r="DN187" i="2" s="1"/>
  <c r="DN30" i="2" a="1"/>
  <c r="DN30" i="2" s="1"/>
  <c r="DN45" i="2" a="1"/>
  <c r="DN45" i="2" s="1"/>
  <c r="DN190" i="2" a="1"/>
  <c r="DN190" i="2" s="1"/>
  <c r="DN133" i="2" a="1"/>
  <c r="DN133" i="2" s="1"/>
  <c r="DN80" i="2" a="1"/>
  <c r="DN80" i="2" s="1"/>
  <c r="DN65" i="2" a="1"/>
  <c r="DN65" i="2" s="1"/>
  <c r="DN31" i="2" a="1"/>
  <c r="DN31" i="2" s="1"/>
  <c r="DN168" i="2" a="1"/>
  <c r="DN168" i="2" s="1"/>
  <c r="DN132" i="2" a="1"/>
  <c r="DN132" i="2" s="1"/>
  <c r="DN162" i="2" a="1"/>
  <c r="DN162" i="2" s="1"/>
  <c r="DN49" i="2" a="1"/>
  <c r="DN49" i="2" s="1"/>
  <c r="DN164" i="2" a="1"/>
  <c r="DN164" i="2" s="1"/>
  <c r="EY202" i="2"/>
  <c r="EI128" i="2" a="1"/>
  <c r="EI128" i="2" s="1"/>
  <c r="EI20" i="2" a="1"/>
  <c r="EI20" i="2" s="1"/>
  <c r="EI38" i="2" a="1"/>
  <c r="EI38" i="2" s="1"/>
  <c r="EI198" i="2" a="1"/>
  <c r="EI198" i="2" s="1"/>
  <c r="EI195" i="2" a="1"/>
  <c r="EI195" i="2" s="1"/>
  <c r="EI34" i="2" a="1"/>
  <c r="EI34" i="2" s="1"/>
  <c r="EI37" i="2" a="1"/>
  <c r="EI37" i="2" s="1"/>
  <c r="EI139" i="2" a="1"/>
  <c r="EI139" i="2" s="1"/>
  <c r="EI165" i="2" a="1"/>
  <c r="EI165" i="2" s="1"/>
  <c r="EI35" i="2" a="1"/>
  <c r="EI35" i="2" s="1"/>
  <c r="EI67" i="2" a="1"/>
  <c r="EI67" i="2" s="1"/>
  <c r="EI71" i="2" a="1"/>
  <c r="EI71" i="2" s="1"/>
  <c r="EI166" i="2" a="1"/>
  <c r="EI166" i="2" s="1"/>
  <c r="EI170" i="2" a="1"/>
  <c r="EI170" i="2" s="1"/>
  <c r="EI57" i="2" a="1"/>
  <c r="EI57" i="2" s="1"/>
  <c r="EI142" i="2" a="1"/>
  <c r="EI142" i="2" s="1"/>
  <c r="EI109" i="2" a="1"/>
  <c r="EI109" i="2" s="1"/>
  <c r="EI16" i="2" a="1"/>
  <c r="EI16" i="2" s="1"/>
  <c r="EI36" i="2" a="1"/>
  <c r="EI36" i="2" s="1"/>
  <c r="EI178" i="2" a="1"/>
  <c r="EI178" i="2" s="1"/>
  <c r="EI145" i="2" a="1"/>
  <c r="EI145" i="2" s="1"/>
  <c r="EI162" i="2" a="1"/>
  <c r="EI162" i="2" s="1"/>
  <c r="EI150" i="2" a="1"/>
  <c r="EI150" i="2" s="1"/>
  <c r="EI29" i="2" a="1"/>
  <c r="EI29" i="2" s="1"/>
  <c r="EI106" i="2" a="1"/>
  <c r="EI106" i="2" s="1"/>
  <c r="DN38" i="2" a="1"/>
  <c r="DN38" i="2" s="1"/>
  <c r="DN70" i="2" a="1"/>
  <c r="DN70" i="2" s="1"/>
  <c r="DN66" i="2" a="1"/>
  <c r="DN66" i="2" s="1"/>
  <c r="DN110" i="2" a="1"/>
  <c r="DN110" i="2" s="1"/>
  <c r="DN170" i="2" a="1"/>
  <c r="DN170" i="2" s="1"/>
  <c r="DN114" i="2" a="1"/>
  <c r="DN114" i="2" s="1"/>
  <c r="DN129" i="2" a="1"/>
  <c r="DN129" i="2" s="1"/>
  <c r="DN16" i="2" a="1"/>
  <c r="DN16" i="2" s="1"/>
  <c r="DN103" i="2" a="1"/>
  <c r="DN103" i="2" s="1"/>
  <c r="DN50" i="2" a="1"/>
  <c r="DN50" i="2" s="1"/>
  <c r="DN41" i="2" a="1"/>
  <c r="DN41" i="2" s="1"/>
  <c r="DN43" i="2" a="1"/>
  <c r="DN43" i="2" s="1"/>
  <c r="DN150" i="2" a="1"/>
  <c r="DN150" i="2" s="1"/>
  <c r="DN186" i="2" a="1"/>
  <c r="DN186" i="2" s="1"/>
  <c r="DN192" i="2" a="1"/>
  <c r="DN192" i="2" s="1"/>
  <c r="DN155" i="2" a="1"/>
  <c r="DN155" i="2" s="1"/>
  <c r="DN56" i="2" a="1"/>
  <c r="DN56" i="2" s="1"/>
  <c r="DN63" i="2" a="1"/>
  <c r="DN63" i="2" s="1"/>
  <c r="DN188" i="2" a="1"/>
  <c r="DN188" i="2" s="1"/>
  <c r="DN113" i="2" a="1"/>
  <c r="DN113" i="2" s="1"/>
  <c r="DN137" i="2" a="1"/>
  <c r="DN137" i="2" s="1"/>
  <c r="DN55" i="2" a="1"/>
  <c r="DN55" i="2" s="1"/>
  <c r="DN135" i="2" a="1"/>
  <c r="DN135" i="2" s="1"/>
  <c r="DN86" i="2" a="1"/>
  <c r="DN86" i="2" s="1"/>
  <c r="DN25" i="2" a="1"/>
  <c r="DN25" i="2" s="1"/>
  <c r="DN123" i="2" a="1"/>
  <c r="DN123" i="2" s="1"/>
  <c r="DN177" i="2" a="1"/>
  <c r="DN177" i="2" s="1"/>
  <c r="DN184" i="2" a="1"/>
  <c r="DN184" i="2" s="1"/>
  <c r="DN115" i="2" a="1"/>
  <c r="DN115" i="2" s="1"/>
  <c r="DN152" i="2" a="1"/>
  <c r="DN152" i="2" s="1"/>
  <c r="DN124" i="2" a="1"/>
  <c r="DN124" i="2" s="1"/>
  <c r="DN176" i="2" a="1"/>
  <c r="DN176" i="2" s="1"/>
  <c r="DN167" i="2" a="1"/>
  <c r="DN167" i="2" s="1"/>
  <c r="DN153" i="2" a="1"/>
  <c r="DN153" i="2" s="1"/>
  <c r="DN29" i="2" a="1"/>
  <c r="DN29" i="2" s="1"/>
  <c r="HG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EY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197" i="2"/>
  <c r="CY111" i="2"/>
  <c r="CY42" i="2"/>
  <c r="CY147" i="2"/>
  <c r="CY73" i="2"/>
  <c r="CY53" i="2"/>
  <c r="CY50" i="2"/>
  <c r="CY41" i="2"/>
  <c r="CY65" i="2"/>
  <c r="CY192" i="2"/>
  <c r="CY61" i="2"/>
  <c r="CY156" i="2"/>
  <c r="CY100" i="2"/>
  <c r="CY128" i="2"/>
  <c r="CY46" i="2"/>
  <c r="CY90" i="2"/>
  <c r="CY25" i="2"/>
  <c r="CY21" i="2"/>
  <c r="CY124" i="2"/>
  <c r="CY186" i="2"/>
  <c r="CY188" i="2"/>
  <c r="CY171" i="2"/>
  <c r="CY162" i="2"/>
  <c r="CY131" i="2"/>
  <c r="CY115" i="2"/>
  <c r="CY140" i="2"/>
  <c r="CY107" i="2"/>
  <c r="CY175" i="2"/>
  <c r="CY150" i="2"/>
  <c r="CY161" i="2"/>
  <c r="CY149" i="2"/>
  <c r="CY15" i="2"/>
  <c r="CY102" i="2"/>
  <c r="CY118" i="2"/>
  <c r="CY36" i="2"/>
  <c r="CY55" i="2"/>
  <c r="CY189" i="2"/>
  <c r="CY185" i="2"/>
  <c r="CY163" i="2"/>
  <c r="CY94" i="2"/>
  <c r="CY91" i="2"/>
  <c r="CY125" i="2"/>
  <c r="CY193" i="2"/>
  <c r="CY77" i="2"/>
  <c r="CY47" i="2"/>
  <c r="CY72" i="2"/>
  <c r="CY14" i="2"/>
  <c r="CY138" i="2"/>
  <c r="CY76" i="2"/>
  <c r="CY187" i="2"/>
  <c r="CY122" i="2"/>
  <c r="CY129" i="2"/>
  <c r="CY70" i="2"/>
  <c r="CY81" i="2"/>
  <c r="CY86" i="2"/>
  <c r="CY160" i="2"/>
  <c r="CY44" i="2"/>
  <c r="CY136" i="2"/>
  <c r="CY143" i="2"/>
  <c r="CY99" i="2"/>
  <c r="CY89" i="2"/>
  <c r="CY87" i="2"/>
  <c r="CY56" i="2"/>
  <c r="CY182" i="2"/>
  <c r="CY78" i="2"/>
  <c r="CY93" i="2"/>
  <c r="CY203" i="2"/>
  <c r="CY35" i="2"/>
  <c r="CY191" i="2"/>
  <c r="CY74" i="2"/>
  <c r="CY135" i="2"/>
  <c r="CY58" i="2"/>
  <c r="CY27" i="2"/>
  <c r="CY108" i="2"/>
  <c r="CY6" i="2"/>
  <c r="CY181" i="2"/>
  <c r="CY195" i="2"/>
  <c r="CY180" i="2"/>
  <c r="CY71" i="2"/>
  <c r="CY5" i="2"/>
  <c r="CY139" i="2"/>
  <c r="CY179" i="2"/>
  <c r="CY166" i="2"/>
  <c r="CY116" i="2"/>
  <c r="CY104" i="2"/>
  <c r="CY39" i="2"/>
  <c r="CY164" i="2"/>
  <c r="CY137" i="2"/>
  <c r="CY117" i="2"/>
  <c r="CY119" i="2"/>
  <c r="CY114" i="2"/>
  <c r="CY98" i="2"/>
  <c r="CY82" i="2"/>
  <c r="CY184" i="2"/>
  <c r="CY199" i="2"/>
  <c r="CY123" i="2"/>
  <c r="CY177" i="2"/>
  <c r="CY170" i="2"/>
  <c r="CY169" i="2"/>
  <c r="CY85" i="2"/>
  <c r="CY148" i="2"/>
  <c r="CY19" i="2"/>
  <c r="CY49" i="2"/>
  <c r="CY183" i="2"/>
  <c r="CY152" i="2"/>
  <c r="CY17" i="2"/>
  <c r="CY23" i="2"/>
  <c r="CY4" i="2"/>
  <c r="CY112" i="2"/>
  <c r="CY121" i="2"/>
  <c r="CY30" i="2"/>
  <c r="CY69" i="2"/>
  <c r="CY126" i="2"/>
  <c r="CY10" i="2"/>
  <c r="CY26" i="2"/>
  <c r="CY101" i="2"/>
  <c r="CY133" i="2"/>
  <c r="CY38" i="2"/>
  <c r="CY13" i="2"/>
  <c r="CY96" i="2"/>
  <c r="CY201" i="2"/>
  <c r="CY106" i="2"/>
  <c r="CY146" i="2"/>
  <c r="CY68" i="2"/>
  <c r="CY16" i="2"/>
  <c r="CY97" i="2"/>
  <c r="CY60" i="2"/>
  <c r="CY194" i="2"/>
  <c r="CY3" i="2"/>
  <c r="C10" i="4" s="1"/>
  <c r="E10" i="4" s="1"/>
  <c r="F10" i="4" s="1"/>
  <c r="G10" i="4" s="1"/>
  <c r="L10" i="4" s="1"/>
  <c r="CY20" i="2"/>
  <c r="CY159" i="2"/>
  <c r="CY92" i="2"/>
  <c r="CY155" i="2"/>
  <c r="CY11" i="2"/>
  <c r="CY43" i="2"/>
  <c r="CY29" i="2"/>
  <c r="CY7" i="2"/>
  <c r="CY95" i="2"/>
  <c r="CY127" i="2"/>
  <c r="CY173" i="2"/>
  <c r="CY110" i="2"/>
  <c r="CY9" i="2"/>
  <c r="CY165" i="2"/>
  <c r="CY190" i="2"/>
  <c r="CY75" i="2"/>
  <c r="CY8" i="2"/>
  <c r="CY142" i="2"/>
  <c r="CY154" i="2"/>
  <c r="CY134" i="2"/>
  <c r="CY120" i="2"/>
  <c r="CY63" i="2"/>
  <c r="CY202" i="2"/>
  <c r="CY168" i="2"/>
  <c r="CY32" i="2"/>
  <c r="CY18" i="2"/>
  <c r="CY174" i="2"/>
  <c r="CY109" i="2"/>
  <c r="CY151" i="2"/>
  <c r="CY176" i="2"/>
  <c r="CY145" i="2"/>
  <c r="CY31" i="2"/>
  <c r="CY57" i="2"/>
  <c r="CY130" i="2"/>
  <c r="CY33" i="2"/>
  <c r="CY79" i="2"/>
  <c r="CY198" i="2"/>
  <c r="CY196" i="2"/>
  <c r="CY62" i="2"/>
  <c r="CY105" i="2"/>
  <c r="CY51" i="2"/>
  <c r="CY83" i="2"/>
  <c r="CY178" i="2"/>
  <c r="CY22" i="2"/>
  <c r="CY48" i="2"/>
  <c r="CY45" i="2"/>
  <c r="CY157" i="2"/>
  <c r="CY158" i="2"/>
  <c r="CY66" i="2"/>
  <c r="CY34" i="2"/>
  <c r="CY37" i="2"/>
  <c r="CY28" i="2"/>
  <c r="CY40" i="2"/>
  <c r="CY54" i="2"/>
  <c r="CY67" i="2"/>
  <c r="CY80" i="2"/>
  <c r="CY88" i="2"/>
  <c r="CY172" i="2"/>
  <c r="CY141" i="2"/>
  <c r="CY103" i="2"/>
  <c r="CY167" i="2"/>
  <c r="CY52" i="2"/>
  <c r="CY84" i="2"/>
  <c r="CY59" i="2"/>
  <c r="CY200" i="2"/>
  <c r="CY12" i="2"/>
  <c r="CY64" i="2"/>
  <c r="CY153" i="2"/>
  <c r="CY144" i="2"/>
  <c r="CY132" i="2"/>
  <c r="CY113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60" i="2" l="1"/>
  <c r="CD127" i="2"/>
  <c r="CD166" i="2"/>
  <c r="CD46" i="2"/>
  <c r="CD42" i="2"/>
  <c r="CD105" i="2"/>
  <c r="CD103" i="2"/>
  <c r="CD162" i="2"/>
  <c r="CD158" i="2"/>
  <c r="CD104" i="2"/>
  <c r="CD163" i="2"/>
  <c r="CD112" i="2"/>
  <c r="CD146" i="2"/>
  <c r="CD130" i="2"/>
  <c r="CD61" i="2"/>
  <c r="CD8" i="2"/>
  <c r="CD198" i="2"/>
  <c r="CD71" i="2"/>
  <c r="CD176" i="2"/>
  <c r="CD135" i="2"/>
  <c r="CD186" i="2"/>
  <c r="CD16" i="2"/>
  <c r="CD48" i="2"/>
  <c r="CD199" i="2"/>
  <c r="CD113" i="2"/>
  <c r="CD111" i="2"/>
  <c r="CD38" i="2"/>
  <c r="CD39" i="2"/>
  <c r="CD131" i="2"/>
  <c r="CD182" i="2"/>
  <c r="CD140" i="2"/>
  <c r="CD128" i="2"/>
  <c r="CD197" i="2"/>
  <c r="CD37" i="2"/>
  <c r="CD33" i="2"/>
  <c r="CD89" i="2"/>
  <c r="CD62" i="2"/>
  <c r="CD87" i="2"/>
  <c r="CD76" i="2"/>
  <c r="CD126" i="2"/>
  <c r="CD117" i="2"/>
  <c r="CD84" i="2"/>
  <c r="CD183" i="2"/>
  <c r="CD74" i="2"/>
  <c r="CD91" i="2"/>
  <c r="CD116" i="2"/>
  <c r="CD35" i="2"/>
  <c r="CD114" i="2"/>
  <c r="CD44" i="2"/>
  <c r="CD181" i="2"/>
  <c r="CD189" i="2"/>
  <c r="CD94" i="2"/>
  <c r="CD85" i="2"/>
  <c r="CD72" i="2"/>
  <c r="CD43" i="2"/>
  <c r="CD175" i="2"/>
  <c r="CD59" i="2"/>
  <c r="CD96" i="2"/>
  <c r="CD82" i="2"/>
  <c r="CD200" i="2"/>
  <c r="CD15" i="2"/>
  <c r="CD55" i="2"/>
  <c r="CD137" i="2"/>
  <c r="CD109" i="2"/>
  <c r="CD179" i="2"/>
  <c r="CD170" i="2"/>
  <c r="CD139" i="2"/>
  <c r="CD155" i="2"/>
  <c r="CD157" i="2"/>
  <c r="CD78" i="2"/>
  <c r="CD67" i="2"/>
  <c r="CD125" i="2"/>
  <c r="CD202" i="2"/>
  <c r="CD31" i="2"/>
  <c r="CD50" i="2"/>
  <c r="CD178" i="2"/>
  <c r="CD121" i="2"/>
  <c r="CD98" i="2"/>
  <c r="CD172" i="2"/>
  <c r="CD151" i="2"/>
  <c r="CD30" i="2"/>
  <c r="CD23" i="2"/>
  <c r="CD174" i="2"/>
  <c r="CD165" i="2"/>
  <c r="CD65" i="2"/>
  <c r="CD193" i="2"/>
  <c r="CD159" i="2"/>
  <c r="CD9" i="2"/>
  <c r="CD147" i="2"/>
  <c r="CD49" i="2"/>
  <c r="CD51" i="2"/>
  <c r="CD4" i="2"/>
  <c r="CD118" i="2"/>
  <c r="CD107" i="2"/>
  <c r="CD194" i="2"/>
  <c r="CD70" i="2"/>
  <c r="CD177" i="2"/>
  <c r="CD190" i="2"/>
  <c r="CD10" i="2"/>
  <c r="CD142" i="2"/>
  <c r="CD136" i="2"/>
  <c r="CD52" i="2"/>
  <c r="CD192" i="2"/>
  <c r="CD7" i="2"/>
  <c r="CD3" i="2"/>
  <c r="C9" i="4" s="1"/>
  <c r="E9" i="4" s="1"/>
  <c r="F9" i="4" s="1"/>
  <c r="G9" i="4" s="1"/>
  <c r="L9" i="4" s="1"/>
  <c r="CD154" i="2"/>
  <c r="CD119" i="2"/>
  <c r="CD148" i="2"/>
  <c r="CD191" i="2"/>
  <c r="CD58" i="2"/>
  <c r="CD64" i="2"/>
  <c r="CD45" i="2"/>
  <c r="CD19" i="2"/>
  <c r="CD167" i="2"/>
  <c r="CD120" i="2"/>
  <c r="CD25" i="2"/>
  <c r="CD164" i="2"/>
  <c r="CD17" i="2"/>
  <c r="CD185" i="2"/>
  <c r="CD36" i="2"/>
  <c r="CD110" i="2"/>
  <c r="CD69" i="2"/>
  <c r="CD34" i="2"/>
  <c r="CD123" i="2"/>
  <c r="CD115" i="2"/>
  <c r="CD122" i="2"/>
  <c r="CD81" i="2"/>
  <c r="CD196" i="2"/>
  <c r="CD68" i="2"/>
  <c r="CD160" i="2"/>
  <c r="CD153" i="2"/>
  <c r="CD124" i="2"/>
  <c r="CD14" i="2"/>
  <c r="CD144" i="2"/>
  <c r="CD143" i="2"/>
  <c r="CD102" i="2"/>
  <c r="CD77" i="2"/>
  <c r="CD75" i="2"/>
  <c r="CD32" i="2"/>
  <c r="CD27" i="2"/>
  <c r="CD6" i="2"/>
  <c r="CD26" i="2"/>
  <c r="CD57" i="2"/>
  <c r="CD40" i="2"/>
  <c r="CD99" i="2"/>
  <c r="CD47" i="2"/>
  <c r="CD169" i="2"/>
  <c r="CD56" i="2"/>
  <c r="CD168" i="2"/>
  <c r="CD149" i="2"/>
  <c r="CD134" i="2"/>
  <c r="CD188" i="2"/>
  <c r="CD171" i="2"/>
  <c r="CD86" i="2"/>
  <c r="CD133" i="2"/>
  <c r="CD184" i="2"/>
  <c r="CD92" i="2"/>
  <c r="CD63" i="2"/>
  <c r="CD73" i="2"/>
  <c r="CD150" i="2"/>
  <c r="CD5" i="2"/>
  <c r="CD18" i="2"/>
  <c r="CD12" i="2"/>
  <c r="CD141" i="2"/>
  <c r="CD201" i="2"/>
  <c r="CD11" i="2"/>
  <c r="CD88" i="2"/>
  <c r="CD100" i="2"/>
  <c r="CD13" i="2"/>
  <c r="CD21" i="2"/>
  <c r="CD195" i="2"/>
  <c r="CD54" i="2"/>
  <c r="CD129" i="2"/>
  <c r="CD83" i="2"/>
  <c r="CD152" i="2"/>
  <c r="CD108" i="2"/>
  <c r="CD132" i="2"/>
  <c r="CD93" i="2"/>
  <c r="CD20" i="2"/>
  <c r="CD173" i="2"/>
  <c r="CD22" i="2"/>
  <c r="CD180" i="2"/>
  <c r="CD90" i="2"/>
  <c r="CD66" i="2"/>
  <c r="CD106" i="2"/>
  <c r="CD101" i="2"/>
  <c r="CD156" i="2"/>
  <c r="CD80" i="2"/>
  <c r="CD24" i="2"/>
  <c r="CD41" i="2"/>
  <c r="CD53" i="2"/>
  <c r="CD161" i="2"/>
  <c r="CD187" i="2"/>
  <c r="CD79" i="2"/>
  <c r="CD28" i="2"/>
  <c r="CD97" i="2"/>
  <c r="CD138" i="2"/>
  <c r="CD145" i="2"/>
  <c r="CD203" i="2"/>
  <c r="CD29" i="2"/>
  <c r="CD95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85" i="2" l="1"/>
  <c r="BI144" i="2"/>
  <c r="BI36" i="2"/>
  <c r="BI192" i="2"/>
  <c r="BI84" i="2"/>
  <c r="BI74" i="2"/>
  <c r="BI78" i="2"/>
  <c r="BI30" i="2"/>
  <c r="BI33" i="2"/>
  <c r="BI152" i="2"/>
  <c r="BI105" i="2"/>
  <c r="BI130" i="2"/>
  <c r="BI123" i="2"/>
  <c r="BI81" i="2"/>
  <c r="BI164" i="2"/>
  <c r="BI139" i="2"/>
  <c r="BI19" i="2"/>
  <c r="BI39" i="2"/>
  <c r="BI180" i="2"/>
  <c r="BI165" i="2"/>
  <c r="BI44" i="2"/>
  <c r="BI101" i="2"/>
  <c r="BI20" i="2"/>
  <c r="BI129" i="2"/>
  <c r="BI168" i="2"/>
  <c r="BI132" i="2"/>
  <c r="BI181" i="2"/>
  <c r="BI72" i="2"/>
  <c r="BI25" i="2"/>
  <c r="BI184" i="2"/>
  <c r="BI199" i="2"/>
  <c r="BI34" i="2"/>
  <c r="BI107" i="2"/>
  <c r="BI173" i="2"/>
  <c r="BI188" i="2"/>
  <c r="BI154" i="2"/>
  <c r="BI51" i="2"/>
  <c r="BI38" i="2"/>
  <c r="BI77" i="2"/>
  <c r="BI126" i="2"/>
  <c r="BI170" i="2"/>
  <c r="BI197" i="2"/>
  <c r="BI137" i="2"/>
  <c r="BI120" i="2"/>
  <c r="BI65" i="2"/>
  <c r="BI54" i="2"/>
  <c r="BI96" i="2"/>
  <c r="BI122" i="2"/>
  <c r="BI149" i="2"/>
  <c r="BI171" i="2"/>
  <c r="BI26" i="2"/>
  <c r="BI55" i="2"/>
  <c r="BI203" i="2"/>
  <c r="BI67" i="2"/>
  <c r="BI10" i="2"/>
  <c r="BI27" i="2"/>
  <c r="BI115" i="2"/>
  <c r="BI98" i="2"/>
  <c r="BI140" i="2"/>
  <c r="BI82" i="2"/>
  <c r="BI31" i="2"/>
  <c r="BI135" i="2"/>
  <c r="BI151" i="2"/>
  <c r="BI92" i="2"/>
  <c r="BI9" i="2"/>
  <c r="BI159" i="2"/>
  <c r="BI114" i="2"/>
  <c r="BI76" i="2"/>
  <c r="BI112" i="2"/>
  <c r="BI16" i="2"/>
  <c r="BI127" i="2"/>
  <c r="BI136" i="2"/>
  <c r="BI202" i="2"/>
  <c r="BI24" i="2"/>
  <c r="BI83" i="2"/>
  <c r="BI61" i="2"/>
  <c r="BI23" i="2"/>
  <c r="BI45" i="2"/>
  <c r="BI15" i="2"/>
  <c r="BI117" i="2"/>
  <c r="BI156" i="2"/>
  <c r="BI53" i="2"/>
  <c r="BI133" i="2"/>
  <c r="BI97" i="2"/>
  <c r="BI113" i="2"/>
  <c r="BI195" i="2"/>
  <c r="BI142" i="2"/>
  <c r="BI172" i="2"/>
  <c r="BI66" i="2"/>
  <c r="BI187" i="2"/>
  <c r="BI6" i="2"/>
  <c r="BI85" i="2"/>
  <c r="BI22" i="2"/>
  <c r="BI119" i="2"/>
  <c r="BI86" i="2"/>
  <c r="BI13" i="2"/>
  <c r="BI102" i="2"/>
  <c r="BI99" i="2"/>
  <c r="BI183" i="2"/>
  <c r="BI177" i="2"/>
  <c r="BI93" i="2"/>
  <c r="BI60" i="2"/>
  <c r="BI160" i="2"/>
  <c r="BI196" i="2"/>
  <c r="BI155" i="2"/>
  <c r="BI147" i="2"/>
  <c r="BI42" i="2"/>
  <c r="BI190" i="2"/>
  <c r="BI145" i="2"/>
  <c r="BI175" i="2"/>
  <c r="BI116" i="2"/>
  <c r="BI47" i="2"/>
  <c r="BI162" i="2"/>
  <c r="BI141" i="2"/>
  <c r="BI48" i="2"/>
  <c r="BI62" i="2"/>
  <c r="BI169" i="2"/>
  <c r="BI49" i="2"/>
  <c r="BI32" i="2"/>
  <c r="BI35" i="2"/>
  <c r="BI109" i="2"/>
  <c r="BI94" i="2"/>
  <c r="BI166" i="2"/>
  <c r="BI146" i="2"/>
  <c r="BI41" i="2"/>
  <c r="BI158" i="2"/>
  <c r="BI163" i="2"/>
  <c r="BI104" i="2"/>
  <c r="BI121" i="2"/>
  <c r="BI52" i="2"/>
  <c r="BI174" i="2"/>
  <c r="BI194" i="2"/>
  <c r="BI12" i="2"/>
  <c r="BI178" i="2"/>
  <c r="BI200" i="2"/>
  <c r="BI110" i="2"/>
  <c r="BI50" i="2"/>
  <c r="BI198" i="2"/>
  <c r="BI43" i="2"/>
  <c r="BI40" i="2"/>
  <c r="BI69" i="2"/>
  <c r="BI182" i="2"/>
  <c r="BI73" i="2"/>
  <c r="BI71" i="2"/>
  <c r="BI167" i="2"/>
  <c r="BI59" i="2"/>
  <c r="BI58" i="2"/>
  <c r="BI91" i="2"/>
  <c r="BI106" i="2"/>
  <c r="BI79" i="2"/>
  <c r="BI191" i="2"/>
  <c r="BI148" i="2"/>
  <c r="BI131" i="2"/>
  <c r="BI134" i="2"/>
  <c r="BI100" i="2"/>
  <c r="BI7" i="2"/>
  <c r="BI138" i="2"/>
  <c r="BI103" i="2"/>
  <c r="BI4" i="2"/>
  <c r="BI28" i="2"/>
  <c r="BI179" i="2"/>
  <c r="BI14" i="2"/>
  <c r="BI57" i="2"/>
  <c r="BI63" i="2"/>
  <c r="BI56" i="2"/>
  <c r="BI64" i="2"/>
  <c r="BI90" i="2"/>
  <c r="BI128" i="2"/>
  <c r="BI108" i="2"/>
  <c r="BI150" i="2"/>
  <c r="BI87" i="2"/>
  <c r="BI80" i="2"/>
  <c r="BI143" i="2"/>
  <c r="BI89" i="2"/>
  <c r="BI37" i="2"/>
  <c r="BI11" i="2"/>
  <c r="BI176" i="2"/>
  <c r="BI8" i="2"/>
  <c r="BI21" i="2"/>
  <c r="BI46" i="2"/>
  <c r="BI68" i="2"/>
  <c r="BI161" i="2"/>
  <c r="BI70" i="2"/>
  <c r="BI18" i="2"/>
  <c r="BI111" i="2"/>
  <c r="BI125" i="2"/>
  <c r="BI29" i="2"/>
  <c r="BI5" i="2"/>
  <c r="BI189" i="2"/>
  <c r="BI88" i="2"/>
  <c r="BI157" i="2"/>
  <c r="BI186" i="2"/>
  <c r="BI201" i="2"/>
  <c r="BI124" i="2"/>
  <c r="BI118" i="2"/>
  <c r="BI75" i="2"/>
  <c r="BI3" i="2"/>
  <c r="C8" i="4" s="1"/>
  <c r="E8" i="4" s="1"/>
  <c r="F8" i="4" s="1"/>
  <c r="G8" i="4" s="1"/>
  <c r="L8" i="4" s="1"/>
  <c r="BI17" i="2"/>
  <c r="BI95" i="2"/>
  <c r="BI153" i="2"/>
  <c r="BI19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<sst xmlns="http://schemas.openxmlformats.org/spreadsheetml/2006/main" count="1173" uniqueCount="324">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</sst>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52286128"/>
        <c:axId val="-1352285040"/>
      </c:scatterChart>
      <c:valAx>
        <c:axId val="-1352286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2285040"/>
        <c:crosses val="autoZero"/>
        <c:crossBetween val="midCat"/>
      </c:valAx>
      <c:valAx>
        <c:axId val="-135228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2286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58397344"/>
        <c:axId val="-658402784"/>
      </c:scatterChart>
      <c:valAx>
        <c:axId val="-658397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8402784"/>
        <c:crosses val="autoZero"/>
        <c:crossBetween val="midCat"/>
      </c:valAx>
      <c:valAx>
        <c:axId val="-65840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8397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2.6262917496966431</c:v>
                </c:pt>
                <c:pt idx="2">
                  <c:v>2.9852845729702948</c:v>
                </c:pt>
                <c:pt idx="3">
                  <c:v>3.3935230865618546</c:v>
                </c:pt>
                <c:pt idx="4">
                  <c:v>3.85778528891238</c:v>
                </c:pt>
                <c:pt idx="5">
                  <c:v>4.3857849990890818</c:v>
                </c:pt>
                <c:pt idx="6">
                  <c:v>4.9863014394302461</c:v>
                </c:pt>
                <c:pt idx="7">
                  <c:v>5.6693268097625067</c:v>
                </c:pt>
                <c:pt idx="8">
                  <c:v>6.4462343573718428</c:v>
                </c:pt>
                <c:pt idx="9">
                  <c:v>7.3299697962476342</c:v>
                </c:pt>
                <c:pt idx="10">
                  <c:v>8.3352693272909573</c:v>
                </c:pt>
                <c:pt idx="11">
                  <c:v>9.4789079650234935</c:v>
                </c:pt>
                <c:pt idx="12">
                  <c:v>10.779982393650428</c:v>
                </c:pt>
                <c:pt idx="13">
                  <c:v>12.26023316501287</c:v>
                </c:pt>
                <c:pt idx="14">
                  <c:v>13.944411723153619</c:v>
                </c:pt>
                <c:pt idx="15">
                  <c:v>15.860698506478897</c:v>
                </c:pt>
                <c:pt idx="16">
                  <c:v>18.041179252016821</c:v>
                </c:pt>
                <c:pt idx="17">
                  <c:v>20.522387622089742</c:v>
                </c:pt>
                <c:pt idx="18">
                  <c:v>23.345923408985936</c:v>
                </c:pt>
                <c:pt idx="19">
                  <c:v>26.559156867496458</c:v>
                </c:pt>
                <c:pt idx="20">
                  <c:v>30.216031200786585</c:v>
                </c:pt>
                <c:pt idx="21">
                  <c:v>34.377976907441628</c:v>
                </c:pt>
                <c:pt idx="22">
                  <c:v>39.114953615685558</c:v>
                </c:pt>
                <c:pt idx="23">
                  <c:v>44.506637217817172</c:v>
                </c:pt>
                <c:pt idx="24">
                  <c:v>50.643772611595551</c:v>
                </c:pt>
                <c:pt idx="25">
                  <c:v>57.629715198696537</c:v>
                </c:pt>
                <c:pt idx="26">
                  <c:v>65.582187532570742</c:v>
                </c:pt>
                <c:pt idx="27">
                  <c:v>74.635281205089385</c:v>
                </c:pt>
                <c:pt idx="28">
                  <c:v>84.941738277170302</c:v>
                </c:pt>
                <c:pt idx="29">
                  <c:v>96.675551366035393</c:v>
                </c:pt>
                <c:pt idx="30">
                  <c:v>110.03492698401654</c:v>
                </c:pt>
                <c:pt idx="31">
                  <c:v>120.33986350147482</c:v>
                </c:pt>
                <c:pt idx="32">
                  <c:v>130.62330272297189</c:v>
                </c:pt>
                <c:pt idx="33">
                  <c:v>140.88717779906787</c:v>
                </c:pt>
                <c:pt idx="34">
                  <c:v>151.13311662743948</c:v>
                </c:pt>
                <c:pt idx="35">
                  <c:v>161.362507950626</c:v>
                </c:pt>
                <c:pt idx="36">
                  <c:v>171.57654976527135</c:v>
                </c:pt>
                <c:pt idx="37">
                  <c:v>181.77628557051807</c:v>
                </c:pt>
                <c:pt idx="38">
                  <c:v>191.9626320360602</c:v>
                </c:pt>
                <c:pt idx="39">
                  <c:v>202.13640047813931</c:v>
                </c:pt>
                <c:pt idx="40">
                  <c:v>212.29831377776441</c:v>
                </c:pt>
                <c:pt idx="41">
                  <c:v>170.39875516780384</c:v>
                </c:pt>
                <c:pt idx="42">
                  <c:v>181.38424113596446</c:v>
                </c:pt>
                <c:pt idx="43">
                  <c:v>192.35415851868379</c:v>
                </c:pt>
                <c:pt idx="44">
                  <c:v>203.30952104980261</c:v>
                </c:pt>
                <c:pt idx="45">
                  <c:v>214.25122416862826</c:v>
                </c:pt>
                <c:pt idx="46">
                  <c:v>225.18006429243292</c:v>
                </c:pt>
                <c:pt idx="47">
                  <c:v>236.09675414607656</c:v>
                </c:pt>
                <c:pt idx="48">
                  <c:v>247.00193510423432</c:v>
                </c:pt>
                <c:pt idx="49">
                  <c:v>257.89618723734606</c:v>
                </c:pt>
                <c:pt idx="50">
                  <c:v>268.78003756948306</c:v>
                </c:pt>
                <c:pt idx="51">
                  <c:v>224.98501498915437</c:v>
                </c:pt>
                <c:pt idx="52">
                  <c:v>235.707074164814</c:v>
                </c:pt>
                <c:pt idx="53">
                  <c:v>246.4180109567441</c:v>
                </c:pt>
                <c:pt idx="54">
                  <c:v>257.11837729187414</c:v>
                </c:pt>
                <c:pt idx="55">
                  <c:v>267.8086753716081</c:v>
                </c:pt>
                <c:pt idx="56">
                  <c:v>278.48936400091259</c:v>
                </c:pt>
                <c:pt idx="57">
                  <c:v>289.16086389484894</c:v>
                </c:pt>
                <c:pt idx="58">
                  <c:v>299.82356216018104</c:v>
                </c:pt>
                <c:pt idx="59">
                  <c:v>310.47781610568063</c:v>
                </c:pt>
                <c:pt idx="60">
                  <c:v>321.12395650175063</c:v>
                </c:pt>
                <c:pt idx="61">
                  <c:v>276.93638995381065</c:v>
                </c:pt>
                <c:pt idx="62">
                  <c:v>287.02727998230642</c:v>
                </c:pt>
                <c:pt idx="63">
                  <c:v>297.11023564036304</c:v>
                </c:pt>
                <c:pt idx="64">
                  <c:v>307.18556432776842</c:v>
                </c:pt>
                <c:pt idx="65">
                  <c:v>317.2535516203576</c:v>
                </c:pt>
                <c:pt idx="66">
                  <c:v>327.31446347781883</c:v>
                </c:pt>
                <c:pt idx="67">
                  <c:v>337.36854816571076</c:v>
                </c:pt>
                <c:pt idx="68">
                  <c:v>347.41603793627502</c:v>
                </c:pt>
                <c:pt idx="69">
                  <c:v>357.45715050456153</c:v>
                </c:pt>
                <c:pt idx="70">
                  <c:v>367.49209034995994</c:v>
                </c:pt>
                <c:pt idx="71">
                  <c:v>322.6718286822026</c:v>
                </c:pt>
                <c:pt idx="72">
                  <c:v>331.95564418847277</c:v>
                </c:pt>
                <c:pt idx="73">
                  <c:v>341.23373557401305</c:v>
                </c:pt>
                <c:pt idx="74">
                  <c:v>350.50628052053179</c:v>
                </c:pt>
                <c:pt idx="75">
                  <c:v>359.77344653568457</c:v>
                </c:pt>
                <c:pt idx="76">
                  <c:v>369.03539178839679</c:v>
                </c:pt>
                <c:pt idx="77">
                  <c:v>378.29226585591238</c:v>
                </c:pt>
                <c:pt idx="78">
                  <c:v>387.54421039387483</c:v>
                </c:pt>
                <c:pt idx="79">
                  <c:v>396.79135973905687</c:v>
                </c:pt>
                <c:pt idx="80">
                  <c:v>406.0338414529536</c:v>
                </c:pt>
                <c:pt idx="81">
                  <c:v>360.35246947227597</c:v>
                </c:pt>
                <c:pt idx="82">
                  <c:v>368.6495796596501</c:v>
                </c:pt>
                <c:pt idx="83">
                  <c:v>376.94261536659877</c:v>
                </c:pt>
                <c:pt idx="84">
                  <c:v>385.23167893646314</c:v>
                </c:pt>
                <c:pt idx="85">
                  <c:v>393.51686794613602</c:v>
                </c:pt>
                <c:pt idx="86">
                  <c:v>401.79827552592502</c:v>
                </c:pt>
                <c:pt idx="87">
                  <c:v>410.07599065165772</c:v>
                </c:pt>
                <c:pt idx="88">
                  <c:v>418.35009841196302</c:v>
                </c:pt>
                <c:pt idx="89">
                  <c:v>426.62068025329609</c:v>
                </c:pt>
                <c:pt idx="90">
                  <c:v>434.88781420496662</c:v>
                </c:pt>
                <c:pt idx="91">
                  <c:v>388.12229635555462</c:v>
                </c:pt>
                <c:pt idx="92">
                  <c:v>395.25049568724336</c:v>
                </c:pt>
                <c:pt idx="93">
                  <c:v>402.37590934902954</c:v>
                </c:pt>
                <c:pt idx="94">
                  <c:v>409.49859366550299</c:v>
                </c:pt>
                <c:pt idx="95">
                  <c:v>416.61860284059543</c:v>
                </c:pt>
                <c:pt idx="96">
                  <c:v>423.73598907310139</c:v>
                </c:pt>
                <c:pt idx="97">
                  <c:v>430.85080266402957</c:v>
                </c:pt>
                <c:pt idx="98">
                  <c:v>437.96309211649077</c:v>
                </c:pt>
                <c:pt idx="99">
                  <c:v>445.07290422875553</c:v>
                </c:pt>
                <c:pt idx="100">
                  <c:v>452.18028418105382</c:v>
                </c:pt>
                <c:pt idx="101">
                  <c:v>404.30122601025568</c:v>
                </c:pt>
                <c:pt idx="102">
                  <c:v>410.26845241067684</c:v>
                </c:pt>
                <c:pt idx="103">
                  <c:v>416.23380499861554</c:v>
                </c:pt>
                <c:pt idx="104">
                  <c:v>422.19731444089211</c:v>
                </c:pt>
                <c:pt idx="105">
                  <c:v>428.15901046658496</c:v>
                </c:pt>
                <c:pt idx="106">
                  <c:v>434.1189219086545</c:v>
                </c:pt>
                <c:pt idx="107">
                  <c:v>440.0770767431606</c:v>
                </c:pt>
                <c:pt idx="108">
                  <c:v>446.03350212624281</c:v>
                </c:pt>
                <c:pt idx="109">
                  <c:v>451.98822442902389</c:v>
                </c:pt>
                <c:pt idx="110">
                  <c:v>457.94126927057465</c:v>
                </c:pt>
                <c:pt idx="111">
                  <c:v>411.42318205611986</c:v>
                </c:pt>
                <c:pt idx="112">
                  <c:v>416.81099888731961</c:v>
                </c:pt>
                <c:pt idx="113">
                  <c:v>422.19731444089211</c:v>
                </c:pt>
                <c:pt idx="114">
                  <c:v>427.58215058986383</c:v>
                </c:pt>
                <c:pt idx="115">
                  <c:v>432.96552861089225</c:v>
                </c:pt>
                <c:pt idx="116">
                  <c:v>438.34746920790485</c:v>
                </c:pt>
                <c:pt idx="117">
                  <c:v>443.72799253451632</c:v>
                </c:pt>
                <c:pt idx="118">
                  <c:v>449.10711821530072</c:v>
                </c:pt>
                <c:pt idx="119">
                  <c:v>454.4848653659904</c:v>
                </c:pt>
                <c:pt idx="120">
                  <c:v>459.86125261266926</c:v>
                </c:pt>
                <c:pt idx="121">
                  <c:v>416.04140320133575</c:v>
                </c:pt>
                <c:pt idx="122">
                  <c:v>420.27380126716002</c:v>
                </c:pt>
                <c:pt idx="123">
                  <c:v>424.50528125945038</c:v>
                </c:pt>
                <c:pt idx="124">
                  <c:v>428.73585363090632</c:v>
                </c:pt>
                <c:pt idx="125">
                  <c:v>432.96552861089225</c:v>
                </c:pt>
                <c:pt idx="126">
                  <c:v>437.19431621239301</c:v>
                </c:pt>
                <c:pt idx="127">
                  <c:v>441.42222623868793</c:v>
                </c:pt>
                <c:pt idx="128">
                  <c:v>445.64926828975427</c:v>
                </c:pt>
                <c:pt idx="129">
                  <c:v>449.87545176841485</c:v>
                </c:pt>
                <c:pt idx="130">
                  <c:v>454.10078588624361</c:v>
                </c:pt>
                <c:pt idx="131">
                  <c:v>417.0033930192148</c:v>
                </c:pt>
                <c:pt idx="132">
                  <c:v>420.27380126715985</c:v>
                </c:pt>
                <c:pt idx="133">
                  <c:v>423.54366133119123</c:v>
                </c:pt>
                <c:pt idx="134">
                  <c:v>426.81297804594675</c:v>
                </c:pt>
                <c:pt idx="135">
                  <c:v>430.08175616586578</c:v>
                </c:pt>
                <c:pt idx="136">
                  <c:v>433.35000036713313</c:v>
                </c:pt>
                <c:pt idx="137">
                  <c:v>436.61771524956038</c:v>
                </c:pt>
                <c:pt idx="138">
                  <c:v>439.88490533840923</c:v>
                </c:pt>
                <c:pt idx="139">
                  <c:v>443.15157508615698</c:v>
                </c:pt>
                <c:pt idx="140">
                  <c:v>446.41772887420711</c:v>
                </c:pt>
                <c:pt idx="141">
                  <c:v>416.42620487803089</c:v>
                </c:pt>
                <c:pt idx="142">
                  <c:v>419.11960237942026</c:v>
                </c:pt>
                <c:pt idx="143">
                  <c:v>421.81262693312556</c:v>
                </c:pt>
                <c:pt idx="144">
                  <c:v>424.50528125944999</c:v>
                </c:pt>
                <c:pt idx="145">
                  <c:v>427.1975680413255</c:v>
                </c:pt>
                <c:pt idx="146">
                  <c:v>429.88948992506386</c:v>
                </c:pt>
                <c:pt idx="147">
                  <c:v>432.58104952108744</c:v>
                </c:pt>
                <c:pt idx="148">
                  <c:v>435.27224940464208</c:v>
                </c:pt>
                <c:pt idx="149">
                  <c:v>437.9630921164906</c:v>
                </c:pt>
                <c:pt idx="150">
                  <c:v>440.65358016358772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235040"/>
        <c:axId val="-1221230688"/>
      </c:scatterChart>
      <c:valAx>
        <c:axId val="-1221235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0688"/>
        <c:crosses val="autoZero"/>
        <c:crossBetween val="midCat"/>
      </c:valAx>
      <c:valAx>
        <c:axId val="-122123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5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1.5189990796540069</c:v>
                </c:pt>
                <c:pt idx="2">
                  <c:v>1.9896572957182854</c:v>
                </c:pt>
                <c:pt idx="3">
                  <c:v>2.6067545089865223</c:v>
                </c:pt>
                <c:pt idx="4">
                  <c:v>3.4160316271555686</c:v>
                </c:pt>
                <c:pt idx="5">
                  <c:v>4.4775691738456169</c:v>
                </c:pt>
                <c:pt idx="6">
                  <c:v>5.8702979415316454</c:v>
                </c:pt>
                <c:pt idx="7">
                  <c:v>7.6979329369207159</c:v>
                </c:pt>
                <c:pt idx="8">
                  <c:v>10.096781006840009</c:v>
                </c:pt>
                <c:pt idx="9">
                  <c:v>13.24601542409019</c:v>
                </c:pt>
                <c:pt idx="10">
                  <c:v>17.381199044797452</c:v>
                </c:pt>
                <c:pt idx="11">
                  <c:v>22.812085902693426</c:v>
                </c:pt>
                <c:pt idx="12">
                  <c:v>29.946058386235027</c:v>
                </c:pt>
                <c:pt idx="13">
                  <c:v>39.318988658730902</c:v>
                </c:pt>
                <c:pt idx="14">
                  <c:v>51.635881991716104</c:v>
                </c:pt>
                <c:pt idx="15">
                  <c:v>67.824410082667399</c:v>
                </c:pt>
                <c:pt idx="16">
                  <c:v>89.105432151992702</c:v>
                </c:pt>
                <c:pt idx="17">
                  <c:v>115.9031199980713</c:v>
                </c:pt>
                <c:pt idx="18">
                  <c:v>142.54845205541457</c:v>
                </c:pt>
                <c:pt idx="19">
                  <c:v>169.07407109527111</c:v>
                </c:pt>
                <c:pt idx="20">
                  <c:v>195.50145085579206</c:v>
                </c:pt>
                <c:pt idx="21">
                  <c:v>221.84575479817565</c:v>
                </c:pt>
                <c:pt idx="22">
                  <c:v>175.21027396812144</c:v>
                </c:pt>
                <c:pt idx="23">
                  <c:v>208.87410658049615</c:v>
                </c:pt>
                <c:pt idx="24">
                  <c:v>242.41246878859752</c:v>
                </c:pt>
                <c:pt idx="25">
                  <c:v>275.8451748960195</c:v>
                </c:pt>
                <c:pt idx="26">
                  <c:v>309.18682986342333</c:v>
                </c:pt>
                <c:pt idx="27">
                  <c:v>344.71380129132416</c:v>
                </c:pt>
                <c:pt idx="28">
                  <c:v>380.16032837232211</c:v>
                </c:pt>
                <c:pt idx="29">
                  <c:v>415.5349571112265</c:v>
                </c:pt>
                <c:pt idx="30">
                  <c:v>450.84466008607666</c:v>
                </c:pt>
                <c:pt idx="31">
                  <c:v>486.09522926878577</c:v>
                </c:pt>
                <c:pt idx="32">
                  <c:v>362.44654368615943</c:v>
                </c:pt>
                <c:pt idx="33">
                  <c:v>396.72715966256595</c:v>
                </c:pt>
                <c:pt idx="34">
                  <c:v>430.9436166245668</c:v>
                </c:pt>
                <c:pt idx="35">
                  <c:v>465.10171755768823</c:v>
                </c:pt>
                <c:pt idx="36">
                  <c:v>499.20634420516899</c:v>
                </c:pt>
                <c:pt idx="37">
                  <c:v>530.45667562233848</c:v>
                </c:pt>
                <c:pt idx="38">
                  <c:v>561.66827946205842</c:v>
                </c:pt>
                <c:pt idx="39">
                  <c:v>592.84360705693211</c:v>
                </c:pt>
                <c:pt idx="40">
                  <c:v>623.98483125073085</c:v>
                </c:pt>
                <c:pt idx="41">
                  <c:v>655.0938906304458</c:v>
                </c:pt>
                <c:pt idx="42">
                  <c:v>526.34213682645907</c:v>
                </c:pt>
                <c:pt idx="43">
                  <c:v>554.38267399725669</c:v>
                </c:pt>
                <c:pt idx="44">
                  <c:v>582.39350809502037</c:v>
                </c:pt>
                <c:pt idx="45">
                  <c:v>610.37626664869833</c:v>
                </c:pt>
                <c:pt idx="46">
                  <c:v>638.33241598373809</c:v>
                </c:pt>
                <c:pt idx="47">
                  <c:v>663.0990164859453</c:v>
                </c:pt>
                <c:pt idx="48">
                  <c:v>687.84658859208241</c:v>
                </c:pt>
                <c:pt idx="49">
                  <c:v>712.57591233908045</c:v>
                </c:pt>
                <c:pt idx="50">
                  <c:v>737.28770928076074</c:v>
                </c:pt>
                <c:pt idx="51">
                  <c:v>761.9826487246379</c:v>
                </c:pt>
                <c:pt idx="52">
                  <c:v>668.68280877525194</c:v>
                </c:pt>
                <c:pt idx="53">
                  <c:v>690.63650917481721</c:v>
                </c:pt>
                <c:pt idx="54">
                  <c:v>712.57591233908067</c:v>
                </c:pt>
                <c:pt idx="55">
                  <c:v>734.50151990402799</c:v>
                </c:pt>
                <c:pt idx="56">
                  <c:v>756.41380115167158</c:v>
                </c:pt>
                <c:pt idx="57">
                  <c:v>775.34452640553081</c:v>
                </c:pt>
                <c:pt idx="58">
                  <c:v>794.26589130068407</c:v>
                </c:pt>
                <c:pt idx="59">
                  <c:v>813.17814997747973</c:v>
                </c:pt>
                <c:pt idx="60">
                  <c:v>832.08154380495444</c:v>
                </c:pt>
                <c:pt idx="61">
                  <c:v>850.9763023040374</c:v>
                </c:pt>
                <c:pt idx="62">
                  <c:v>779.61191677665329</c:v>
                </c:pt>
                <c:pt idx="63">
                  <c:v>795.37862676361283</c:v>
                </c:pt>
                <c:pt idx="64">
                  <c:v>811.13902331124598</c:v>
                </c:pt>
                <c:pt idx="65">
                  <c:v>826.89324625482595</c:v>
                </c:pt>
                <c:pt idx="66">
                  <c:v>842.64142967205453</c:v>
                </c:pt>
                <c:pt idx="67">
                  <c:v>855.60607811530645</c:v>
                </c:pt>
                <c:pt idx="68">
                  <c:v>868.56678714971395</c:v>
                </c:pt>
                <c:pt idx="69">
                  <c:v>881.52362379223723</c:v>
                </c:pt>
                <c:pt idx="70">
                  <c:v>894.47665293089585</c:v>
                </c:pt>
                <c:pt idx="71">
                  <c:v>907.42593742288261</c:v>
                </c:pt>
                <c:pt idx="72">
                  <c:v>850.60589843986088</c:v>
                </c:pt>
                <c:pt idx="73">
                  <c:v>861.346302655356</c:v>
                </c:pt>
                <c:pt idx="74">
                  <c:v>872.08402294558221</c:v>
                </c:pt>
                <c:pt idx="75">
                  <c:v>882.8190969910296</c:v>
                </c:pt>
                <c:pt idx="76">
                  <c:v>893.55156148175968</c:v>
                </c:pt>
                <c:pt idx="77">
                  <c:v>900.39678676788708</c:v>
                </c:pt>
                <c:pt idx="78">
                  <c:v>907.24097372366475</c:v>
                </c:pt>
                <c:pt idx="79">
                  <c:v>914.084131282562</c:v>
                </c:pt>
                <c:pt idx="80">
                  <c:v>920.92626823345256</c:v>
                </c:pt>
                <c:pt idx="81">
                  <c:v>927.76739322403637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234496"/>
        <c:axId val="-1221232864"/>
      </c:scatterChart>
      <c:valAx>
        <c:axId val="-1221234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2864"/>
        <c:crosses val="autoZero"/>
        <c:crossBetween val="midCat"/>
      </c:valAx>
      <c:valAx>
        <c:axId val="-122123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4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1.6976574295817473</c:v>
                </c:pt>
                <c:pt idx="2">
                  <c:v>1.982722649874102</c:v>
                </c:pt>
                <c:pt idx="3">
                  <c:v>2.315833345323413</c:v>
                </c:pt>
                <c:pt idx="4">
                  <c:v>2.7051156606664821</c:v>
                </c:pt>
                <c:pt idx="5">
                  <c:v>3.1600746798869337</c:v>
                </c:pt>
                <c:pt idx="6">
                  <c:v>3.6918291386659861</c:v>
                </c:pt>
                <c:pt idx="7">
                  <c:v>4.3133862012300259</c:v>
                </c:pt>
                <c:pt idx="8">
                  <c:v>5.0399631582855617</c:v>
                </c:pt>
                <c:pt idx="9">
                  <c:v>5.8893640790055883</c:v>
                </c:pt>
                <c:pt idx="10">
                  <c:v>6.8824208285358672</c:v>
                </c:pt>
                <c:pt idx="11">
                  <c:v>8.0435094780624627</c:v>
                </c:pt>
                <c:pt idx="12">
                  <c:v>9.4011550279724254</c:v>
                </c:pt>
                <c:pt idx="13">
                  <c:v>10.98873958394821</c:v>
                </c:pt>
                <c:pt idx="14">
                  <c:v>12.845331727134193</c:v>
                </c:pt>
                <c:pt idx="15">
                  <c:v>15.016657868671139</c:v>
                </c:pt>
                <c:pt idx="16">
                  <c:v>17.556239953161597</c:v>
                </c:pt>
                <c:pt idx="17">
                  <c:v>20.526728065600324</c:v>
                </c:pt>
                <c:pt idx="18">
                  <c:v>24.001461408232171</c:v>
                </c:pt>
                <c:pt idx="19">
                  <c:v>28.066296872299617</c:v>
                </c:pt>
                <c:pt idx="20">
                  <c:v>32.821751180876852</c:v>
                </c:pt>
                <c:pt idx="21">
                  <c:v>38.385510494388932</c:v>
                </c:pt>
                <c:pt idx="22">
                  <c:v>44.895370651071438</c:v>
                </c:pt>
                <c:pt idx="23">
                  <c:v>52.512682096407055</c:v>
                </c:pt>
                <c:pt idx="24">
                  <c:v>61.426386315166305</c:v>
                </c:pt>
                <c:pt idx="25">
                  <c:v>71.85774554164415</c:v>
                </c:pt>
                <c:pt idx="26">
                  <c:v>84.065885068769816</c:v>
                </c:pt>
                <c:pt idx="27">
                  <c:v>98.354288051637937</c:v>
                </c:pt>
                <c:pt idx="28">
                  <c:v>115.07840682966992</c:v>
                </c:pt>
                <c:pt idx="29">
                  <c:v>134.65458308882845</c:v>
                </c:pt>
                <c:pt idx="30">
                  <c:v>157.57050237232653</c:v>
                </c:pt>
                <c:pt idx="31">
                  <c:v>184.39744737130263</c:v>
                </c:pt>
                <c:pt idx="32">
                  <c:v>215.80466007882794</c:v>
                </c:pt>
                <c:pt idx="33">
                  <c:v>252.57617643628359</c:v>
                </c:pt>
                <c:pt idx="34">
                  <c:v>295.63055990745659</c:v>
                </c:pt>
                <c:pt idx="35">
                  <c:v>207.85592722630329</c:v>
                </c:pt>
                <c:pt idx="36">
                  <c:v>221.06950328627065</c:v>
                </c:pt>
                <c:pt idx="37">
                  <c:v>234.2649550191943</c:v>
                </c:pt>
                <c:pt idx="38">
                  <c:v>247.4434475226343</c:v>
                </c:pt>
                <c:pt idx="39">
                  <c:v>260.60601157775596</c:v>
                </c:pt>
                <c:pt idx="40">
                  <c:v>273.75356528140463</c:v>
                </c:pt>
                <c:pt idx="41">
                  <c:v>286.88693130081521</c:v>
                </c:pt>
                <c:pt idx="42">
                  <c:v>300.00685080069843</c:v>
                </c:pt>
                <c:pt idx="43">
                  <c:v>313.11399480488848</c:v>
                </c:pt>
                <c:pt idx="44">
                  <c:v>252.91269518652146</c:v>
                </c:pt>
                <c:pt idx="45">
                  <c:v>265.4327541326183</c:v>
                </c:pt>
                <c:pt idx="46">
                  <c:v>277.93950337581583</c:v>
                </c:pt>
                <c:pt idx="47">
                  <c:v>290.4336264261504</c:v>
                </c:pt>
                <c:pt idx="48">
                  <c:v>302.91574315814154</c:v>
                </c:pt>
                <c:pt idx="49">
                  <c:v>315.38641816940509</c:v>
                </c:pt>
                <c:pt idx="50">
                  <c:v>327.84616774734343</c:v>
                </c:pt>
                <c:pt idx="51">
                  <c:v>340.29546572087725</c:v>
                </c:pt>
                <c:pt idx="52">
                  <c:v>352.73474841075358</c:v>
                </c:pt>
                <c:pt idx="53">
                  <c:v>303.99667321986391</c:v>
                </c:pt>
                <c:pt idx="54">
                  <c:v>315.43977434521389</c:v>
                </c:pt>
                <c:pt idx="55">
                  <c:v>326.87367784820378</c:v>
                </c:pt>
                <c:pt idx="56">
                  <c:v>338.29875092273977</c:v>
                </c:pt>
                <c:pt idx="57">
                  <c:v>349.71533392687934</c:v>
                </c:pt>
                <c:pt idx="58">
                  <c:v>361.12374317487917</c:v>
                </c:pt>
                <c:pt idx="59">
                  <c:v>372.52427335787291</c:v>
                </c:pt>
                <c:pt idx="60">
                  <c:v>383.91719965266702</c:v>
                </c:pt>
                <c:pt idx="61">
                  <c:v>395.30277956708704</c:v>
                </c:pt>
                <c:pt idx="62">
                  <c:v>406.68125456158469</c:v>
                </c:pt>
                <c:pt idx="63">
                  <c:v>352.68152353344431</c:v>
                </c:pt>
                <c:pt idx="64">
                  <c:v>362.66456164432202</c:v>
                </c:pt>
                <c:pt idx="65">
                  <c:v>372.64159445581441</c:v>
                </c:pt>
                <c:pt idx="66">
                  <c:v>382.61280549265103</c:v>
                </c:pt>
                <c:pt idx="67">
                  <c:v>392.57836792927861</c:v>
                </c:pt>
                <c:pt idx="68">
                  <c:v>402.53844542717758</c:v>
                </c:pt>
                <c:pt idx="69">
                  <c:v>412.49319288496076</c:v>
                </c:pt>
                <c:pt idx="70">
                  <c:v>422.44275711226913</c:v>
                </c:pt>
                <c:pt idx="71">
                  <c:v>432.38727743685445</c:v>
                </c:pt>
                <c:pt idx="72">
                  <c:v>442.3268862528912</c:v>
                </c:pt>
                <c:pt idx="73">
                  <c:v>389.02576315107217</c:v>
                </c:pt>
                <c:pt idx="74">
                  <c:v>397.46663895929561</c:v>
                </c:pt>
                <c:pt idx="75">
                  <c:v>405.90363277044122</c:v>
                </c:pt>
                <c:pt idx="76">
                  <c:v>414.33683669852172</c:v>
                </c:pt>
                <c:pt idx="77">
                  <c:v>422.76633879994569</c:v>
                </c:pt>
                <c:pt idx="78">
                  <c:v>431.19222333135826</c:v>
                </c:pt>
                <c:pt idx="79">
                  <c:v>439.61457098626971</c:v>
                </c:pt>
                <c:pt idx="80">
                  <c:v>448.03345911260226</c:v>
                </c:pt>
                <c:pt idx="81">
                  <c:v>456.4489619130257</c:v>
                </c:pt>
                <c:pt idx="82">
                  <c:v>464.86115062974767</c:v>
                </c:pt>
                <c:pt idx="83">
                  <c:v>473.27009371522632</c:v>
                </c:pt>
                <c:pt idx="84">
                  <c:v>481.67585699011721</c:v>
                </c:pt>
                <c:pt idx="85">
                  <c:v>421.28397398285648</c:v>
                </c:pt>
                <c:pt idx="86">
                  <c:v>428.05501937740331</c:v>
                </c:pt>
                <c:pt idx="87">
                  <c:v>434.8237622069791</c:v>
                </c:pt>
                <c:pt idx="88">
                  <c:v>441.59024339535631</c:v>
                </c:pt>
                <c:pt idx="89">
                  <c:v>448.35450250901164</c:v>
                </c:pt>
                <c:pt idx="90">
                  <c:v>455.11657782239246</c:v>
                </c:pt>
                <c:pt idx="91">
                  <c:v>461.87650637910087</c:v>
                </c:pt>
                <c:pt idx="92">
                  <c:v>468.63432404930791</c:v>
                </c:pt>
                <c:pt idx="93">
                  <c:v>475.39006558368288</c:v>
                </c:pt>
                <c:pt idx="94">
                  <c:v>482.1437646640947</c:v>
                </c:pt>
                <c:pt idx="95">
                  <c:v>488.89545395132546</c:v>
                </c:pt>
                <c:pt idx="96">
                  <c:v>495.64516513000871</c:v>
                </c:pt>
                <c:pt idx="97">
                  <c:v>430.05314017574671</c:v>
                </c:pt>
                <c:pt idx="98">
                  <c:v>435.36424990967248</c:v>
                </c:pt>
                <c:pt idx="99">
                  <c:v>440.67396902457722</c:v>
                </c:pt>
                <c:pt idx="100">
                  <c:v>445.98231665468933</c:v>
                </c:pt>
                <c:pt idx="101">
                  <c:v>451.28931144119673</c:v>
                </c:pt>
                <c:pt idx="102">
                  <c:v>456.59497155073063</c:v>
                </c:pt>
                <c:pt idx="103">
                  <c:v>461.89931469294356</c:v>
                </c:pt>
                <c:pt idx="104">
                  <c:v>467.20235813723747</c:v>
                </c:pt>
                <c:pt idx="105">
                  <c:v>472.50411872869199</c:v>
                </c:pt>
                <c:pt idx="106">
                  <c:v>477.80461290324206</c:v>
                </c:pt>
                <c:pt idx="107">
                  <c:v>483.10385670214424</c:v>
                </c:pt>
                <c:pt idx="108">
                  <c:v>488.40186578577578</c:v>
                </c:pt>
                <c:pt idx="109">
                  <c:v>430.40872990574189</c:v>
                </c:pt>
                <c:pt idx="110">
                  <c:v>434.53143608807022</c:v>
                </c:pt>
                <c:pt idx="111">
                  <c:v>438.65330254504374</c:v>
                </c:pt>
                <c:pt idx="112">
                  <c:v>442.77433828895465</c:v>
                </c:pt>
                <c:pt idx="113">
                  <c:v>446.89455215047548</c:v>
                </c:pt>
                <c:pt idx="114">
                  <c:v>451.01395278399832</c:v>
                </c:pt>
                <c:pt idx="115">
                  <c:v>455.13254867276783</c:v>
                </c:pt>
                <c:pt idx="116">
                  <c:v>459.25034813381905</c:v>
                </c:pt>
                <c:pt idx="117">
                  <c:v>463.3673593227283</c:v>
                </c:pt>
                <c:pt idx="118">
                  <c:v>467.48359023818756</c:v>
                </c:pt>
                <c:pt idx="119">
                  <c:v>471.59904872640726</c:v>
                </c:pt>
                <c:pt idx="120">
                  <c:v>475.71374248535932</c:v>
                </c:pt>
                <c:pt idx="121">
                  <c:v>7.1192434615550094E-12</c:v>
                </c:pt>
                <c:pt idx="122">
                  <c:v>7.1192434615550094E-12</c:v>
                </c:pt>
                <c:pt idx="123">
                  <c:v>7.1192434615550094E-12</c:v>
                </c:pt>
                <c:pt idx="124">
                  <c:v>7.1192434615550094E-12</c:v>
                </c:pt>
                <c:pt idx="125">
                  <c:v>7.1192434615550094E-12</c:v>
                </c:pt>
                <c:pt idx="126">
                  <c:v>7.1192434615550094E-12</c:v>
                </c:pt>
                <c:pt idx="127">
                  <c:v>7.1192434615550094E-12</c:v>
                </c:pt>
                <c:pt idx="128">
                  <c:v>7.1192434615550094E-12</c:v>
                </c:pt>
                <c:pt idx="129">
                  <c:v>7.1192434615550094E-12</c:v>
                </c:pt>
                <c:pt idx="130">
                  <c:v>7.1192434615550094E-12</c:v>
                </c:pt>
                <c:pt idx="131">
                  <c:v>7.1192434615550094E-12</c:v>
                </c:pt>
                <c:pt idx="132">
                  <c:v>7.1192434615550094E-12</c:v>
                </c:pt>
                <c:pt idx="133">
                  <c:v>7.1192434615550094E-12</c:v>
                </c:pt>
                <c:pt idx="134">
                  <c:v>7.1192434615550094E-12</c:v>
                </c:pt>
                <c:pt idx="135">
                  <c:v>7.1192434615550094E-12</c:v>
                </c:pt>
                <c:pt idx="136">
                  <c:v>7.1192434615550094E-12</c:v>
                </c:pt>
                <c:pt idx="137">
                  <c:v>7.1192434615550094E-12</c:v>
                </c:pt>
                <c:pt idx="138">
                  <c:v>7.1192434615550094E-12</c:v>
                </c:pt>
                <c:pt idx="139">
                  <c:v>7.1192434615550094E-12</c:v>
                </c:pt>
                <c:pt idx="140">
                  <c:v>7.1192434615550094E-12</c:v>
                </c:pt>
                <c:pt idx="141">
                  <c:v>7.1192434615550094E-12</c:v>
                </c:pt>
                <c:pt idx="142">
                  <c:v>7.1192434615550094E-12</c:v>
                </c:pt>
                <c:pt idx="143">
                  <c:v>7.1192434615550094E-12</c:v>
                </c:pt>
                <c:pt idx="144">
                  <c:v>7.1192434615550094E-12</c:v>
                </c:pt>
                <c:pt idx="145">
                  <c:v>7.1192434615550094E-12</c:v>
                </c:pt>
                <c:pt idx="146">
                  <c:v>7.1192434615550094E-12</c:v>
                </c:pt>
                <c:pt idx="147">
                  <c:v>7.1192434615550094E-12</c:v>
                </c:pt>
                <c:pt idx="148">
                  <c:v>7.1192434615550094E-12</c:v>
                </c:pt>
                <c:pt idx="149">
                  <c:v>7.1192434615550094E-12</c:v>
                </c:pt>
                <c:pt idx="150">
                  <c:v>7.1192434615550094E-12</c:v>
                </c:pt>
                <c:pt idx="151">
                  <c:v>7.1192434615550094E-12</c:v>
                </c:pt>
                <c:pt idx="152">
                  <c:v>7.1192434615550094E-12</c:v>
                </c:pt>
                <c:pt idx="153">
                  <c:v>7.1192434615550094E-12</c:v>
                </c:pt>
                <c:pt idx="154">
                  <c:v>7.1192434615550094E-12</c:v>
                </c:pt>
                <c:pt idx="155">
                  <c:v>7.1192434615550094E-12</c:v>
                </c:pt>
                <c:pt idx="156">
                  <c:v>7.1192434615550094E-12</c:v>
                </c:pt>
                <c:pt idx="157">
                  <c:v>7.1192434615550094E-12</c:v>
                </c:pt>
                <c:pt idx="158">
                  <c:v>7.1192434615550094E-12</c:v>
                </c:pt>
                <c:pt idx="159">
                  <c:v>7.1192434615550094E-12</c:v>
                </c:pt>
                <c:pt idx="160">
                  <c:v>7.1192434615550094E-12</c:v>
                </c:pt>
                <c:pt idx="161">
                  <c:v>7.1192434615550094E-12</c:v>
                </c:pt>
                <c:pt idx="162">
                  <c:v>7.1192434615550094E-12</c:v>
                </c:pt>
                <c:pt idx="163">
                  <c:v>7.1192434615550094E-12</c:v>
                </c:pt>
                <c:pt idx="164">
                  <c:v>7.1192434615550094E-12</c:v>
                </c:pt>
                <c:pt idx="165">
                  <c:v>7.1192434615550094E-12</c:v>
                </c:pt>
                <c:pt idx="166">
                  <c:v>7.1192434615550094E-12</c:v>
                </c:pt>
                <c:pt idx="167">
                  <c:v>7.1192434615550094E-12</c:v>
                </c:pt>
                <c:pt idx="168">
                  <c:v>7.1192434615550094E-12</c:v>
                </c:pt>
                <c:pt idx="169">
                  <c:v>7.1192434615550094E-12</c:v>
                </c:pt>
                <c:pt idx="170">
                  <c:v>7.1192434615550094E-12</c:v>
                </c:pt>
                <c:pt idx="171">
                  <c:v>7.1192434615550094E-12</c:v>
                </c:pt>
                <c:pt idx="172">
                  <c:v>7.1192434615550094E-12</c:v>
                </c:pt>
                <c:pt idx="173">
                  <c:v>7.1192434615550094E-12</c:v>
                </c:pt>
                <c:pt idx="174">
                  <c:v>7.1192434615550094E-12</c:v>
                </c:pt>
                <c:pt idx="175">
                  <c:v>7.1192434615550094E-12</c:v>
                </c:pt>
                <c:pt idx="176">
                  <c:v>7.1192434615550094E-12</c:v>
                </c:pt>
                <c:pt idx="177">
                  <c:v>7.1192434615550094E-12</c:v>
                </c:pt>
                <c:pt idx="178">
                  <c:v>7.1192434615550094E-12</c:v>
                </c:pt>
                <c:pt idx="179">
                  <c:v>7.1192434615550094E-12</c:v>
                </c:pt>
                <c:pt idx="180">
                  <c:v>7.1192434615550094E-12</c:v>
                </c:pt>
                <c:pt idx="181">
                  <c:v>7.1192434615550094E-12</c:v>
                </c:pt>
                <c:pt idx="182">
                  <c:v>7.1192434615550094E-12</c:v>
                </c:pt>
                <c:pt idx="183">
                  <c:v>7.1192434615550094E-12</c:v>
                </c:pt>
                <c:pt idx="184">
                  <c:v>7.1192434615550094E-12</c:v>
                </c:pt>
                <c:pt idx="185">
                  <c:v>7.1192434615550094E-12</c:v>
                </c:pt>
                <c:pt idx="186">
                  <c:v>7.1192434615550094E-12</c:v>
                </c:pt>
                <c:pt idx="187">
                  <c:v>7.1192434615550094E-12</c:v>
                </c:pt>
                <c:pt idx="188">
                  <c:v>7.1192434615550094E-12</c:v>
                </c:pt>
                <c:pt idx="189">
                  <c:v>7.1192434615550094E-12</c:v>
                </c:pt>
                <c:pt idx="190">
                  <c:v>7.1192434615550094E-12</c:v>
                </c:pt>
                <c:pt idx="191">
                  <c:v>7.1192434615550094E-12</c:v>
                </c:pt>
                <c:pt idx="192">
                  <c:v>7.1192434615550094E-12</c:v>
                </c:pt>
                <c:pt idx="193">
                  <c:v>7.1192434615550094E-12</c:v>
                </c:pt>
                <c:pt idx="194">
                  <c:v>7.1192434615550094E-12</c:v>
                </c:pt>
                <c:pt idx="195">
                  <c:v>7.1192434615550094E-12</c:v>
                </c:pt>
                <c:pt idx="196">
                  <c:v>7.1192434615550094E-12</c:v>
                </c:pt>
                <c:pt idx="197">
                  <c:v>7.1192434615550094E-12</c:v>
                </c:pt>
                <c:pt idx="198">
                  <c:v>7.1192434615550094E-12</c:v>
                </c:pt>
                <c:pt idx="199">
                  <c:v>7.1192434615550094E-12</c:v>
                </c:pt>
                <c:pt idx="200">
                  <c:v>7.1192434615550094E-12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233952"/>
        <c:axId val="-1221236128"/>
      </c:scatterChart>
      <c:valAx>
        <c:axId val="-1221233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6128"/>
        <c:crosses val="autoZero"/>
        <c:crossBetween val="midCat"/>
      </c:valAx>
      <c:valAx>
        <c:axId val="-122123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3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233408"/>
        <c:axId val="-1221230144"/>
      </c:scatterChart>
      <c:valAx>
        <c:axId val="-1221233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0144"/>
        <c:crosses val="autoZero"/>
        <c:crossBetween val="midCat"/>
      </c:valAx>
      <c:valAx>
        <c:axId val="-12212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3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237216"/>
        <c:axId val="-1221235584"/>
      </c:scatterChart>
      <c:valAx>
        <c:axId val="-1221237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5584"/>
        <c:crosses val="autoZero"/>
        <c:crossBetween val="midCat"/>
      </c:valAx>
      <c:valAx>
        <c:axId val="-122123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7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231232"/>
        <c:axId val="-1221232320"/>
      </c:scatterChart>
      <c:valAx>
        <c:axId val="-12212312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2320"/>
        <c:crosses val="autoZero"/>
        <c:crossBetween val="midCat"/>
      </c:valAx>
      <c:valAx>
        <c:axId val="-122123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1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21236672"/>
        <c:axId val="-1221231776"/>
      </c:scatterChart>
      <c:valAx>
        <c:axId val="-1221236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1776"/>
        <c:crosses val="autoZero"/>
        <c:crossBetween val="midCat"/>
      </c:valAx>
      <c:valAx>
        <c:axId val="-122123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21236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58399520"/>
        <c:axId val="-658398976"/>
      </c:scatterChart>
      <c:valAx>
        <c:axId val="-658399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8398976"/>
        <c:crosses val="autoZero"/>
        <c:crossBetween val="midCat"/>
      </c:valAx>
      <c:valAx>
        <c:axId val="-65839897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58399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82" zoomScaleNormal="100" workbookViewId="0">
      <selection activeCell="C102" sqref="C102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5.8</v>
      </c>
      <c r="D5" s="305" t="s">
        <v>229</v>
      </c>
      <c r="E5" s="306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2" t="s">
        <v>226</v>
      </c>
      <c r="B7" s="302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0.23</v>
      </c>
      <c r="D9" s="36">
        <f t="shared" ref="D9:D18" si="0">C9*$C$5</f>
        <v>1.3340000000000001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14</v>
      </c>
      <c r="C10" s="35">
        <v>0.35</v>
      </c>
      <c r="D10" s="36">
        <f t="shared" si="0"/>
        <v>2.0299999999999998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156</v>
      </c>
      <c r="C11" s="35">
        <v>0.32</v>
      </c>
      <c r="D11" s="36">
        <f t="shared" si="0"/>
        <v>1.8559999999999999</v>
      </c>
      <c r="E11" s="37">
        <v>81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18</v>
      </c>
      <c r="C12" s="35">
        <v>0.1</v>
      </c>
      <c r="D12" s="36">
        <f t="shared" si="0"/>
        <v>0.57999999999999996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0.99999999999999989</v>
      </c>
      <c r="D19" s="41">
        <f>SUM(D9:D18)</f>
        <v>5.8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f>62+8</f>
        <v>70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f>76+8+21</f>
        <v>105</v>
      </c>
      <c r="C38" s="61">
        <v>1</v>
      </c>
      <c r="D38" s="61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f>95+21</f>
        <v>116</v>
      </c>
      <c r="C39" s="61"/>
      <c r="D39" s="61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f>116+21+21</f>
        <v>158</v>
      </c>
      <c r="C40" s="61">
        <v>2</v>
      </c>
      <c r="D40" s="61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f>137+21</f>
        <v>158</v>
      </c>
      <c r="C41" s="61"/>
      <c r="D41" s="61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f>157+21+21</f>
        <v>199</v>
      </c>
      <c r="C42" s="61">
        <v>3</v>
      </c>
      <c r="D42" s="61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1">
        <f>176+21</f>
        <v>197</v>
      </c>
      <c r="C43" s="61"/>
      <c r="D43" s="61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sessile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30</v>
      </c>
      <c r="B62" s="61">
        <f>0 + 54 + 0</f>
        <v>54</v>
      </c>
      <c r="C62" s="61">
        <v>1</v>
      </c>
      <c r="D62" s="61">
        <f>0 + 0</f>
        <v>0</v>
      </c>
      <c r="E62" s="54"/>
      <c r="F62" s="54"/>
      <c r="G62" s="54"/>
      <c r="H62" s="54">
        <v>1</v>
      </c>
      <c r="I62" s="56">
        <f>IFERROR(B62/A62,"")</f>
        <v>1.8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40</v>
      </c>
      <c r="B63" s="61">
        <f>13 + 79 + 14</f>
        <v>106</v>
      </c>
      <c r="C63" s="61">
        <v>2</v>
      </c>
      <c r="D63" s="61">
        <f>14 + 13</f>
        <v>27</v>
      </c>
      <c r="E63" s="54"/>
      <c r="F63" s="54"/>
      <c r="G63" s="54"/>
      <c r="H63" s="54"/>
      <c r="I63" s="52">
        <f>IF(A63&lt;&gt;0,(B63-(B62-D62))/(A63-A62),"")</f>
        <v>5.2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50</v>
      </c>
      <c r="B64" s="61">
        <f>14 + 107 + 14</f>
        <v>135</v>
      </c>
      <c r="C64" s="61">
        <v>3</v>
      </c>
      <c r="D64" s="61">
        <f t="shared" ref="D64:D69" si="2">14 + 14</f>
        <v>28</v>
      </c>
      <c r="E64" s="54"/>
      <c r="F64" s="54"/>
      <c r="G64" s="54"/>
      <c r="H64" s="54"/>
      <c r="I64" s="52">
        <f>IF(A64&lt;&gt;0,(B64-(B63-D63))/(A64-A63),"")</f>
        <v>5.6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60</v>
      </c>
      <c r="B65" s="61">
        <f>14 + 134 + 14</f>
        <v>162</v>
      </c>
      <c r="C65" s="61">
        <v>4</v>
      </c>
      <c r="D65" s="61">
        <f t="shared" si="2"/>
        <v>28</v>
      </c>
      <c r="E65" s="54"/>
      <c r="F65" s="54"/>
      <c r="G65" s="54"/>
      <c r="H65" s="54"/>
      <c r="I65" s="52">
        <f>IF(A65&lt;&gt;0,(B65-(B64-D64))/(A65-A64),"")</f>
        <v>5.5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70</v>
      </c>
      <c r="B66" s="61">
        <f>14 + 158 + 14</f>
        <v>186</v>
      </c>
      <c r="C66" s="61">
        <v>5</v>
      </c>
      <c r="D66" s="61">
        <f t="shared" si="2"/>
        <v>28</v>
      </c>
      <c r="E66" s="54"/>
      <c r="F66" s="54"/>
      <c r="G66" s="54"/>
      <c r="H66" s="54"/>
      <c r="I66" s="52">
        <f t="shared" ref="I66:I81" si="3">IF(A66&lt;&gt;0,(B66-(B65-D65))/(A66-A65),"")</f>
        <v>5.2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80</v>
      </c>
      <c r="B67" s="61">
        <f>14 + 178 + 14</f>
        <v>206</v>
      </c>
      <c r="C67" s="61">
        <v>6</v>
      </c>
      <c r="D67" s="61">
        <f t="shared" si="2"/>
        <v>28</v>
      </c>
      <c r="E67" s="54"/>
      <c r="F67" s="54"/>
      <c r="G67" s="54"/>
      <c r="H67" s="54"/>
      <c r="I67" s="52">
        <f t="shared" si="3"/>
        <v>4.8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90</v>
      </c>
      <c r="B68" s="61">
        <f>14 + 193 + 14</f>
        <v>221</v>
      </c>
      <c r="C68" s="61">
        <v>7</v>
      </c>
      <c r="D68" s="61">
        <f t="shared" si="2"/>
        <v>28</v>
      </c>
      <c r="E68" s="54"/>
      <c r="F68" s="54"/>
      <c r="G68" s="54"/>
      <c r="H68" s="54"/>
      <c r="I68" s="52">
        <f t="shared" si="3"/>
        <v>4.3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100</v>
      </c>
      <c r="B69" s="61">
        <f>14 + 202 + 14</f>
        <v>230</v>
      </c>
      <c r="C69" s="61">
        <v>8</v>
      </c>
      <c r="D69" s="61">
        <f t="shared" si="2"/>
        <v>28</v>
      </c>
      <c r="E69" s="54"/>
      <c r="F69" s="54"/>
      <c r="G69" s="54"/>
      <c r="H69" s="54"/>
      <c r="I69" s="52">
        <f t="shared" si="3"/>
        <v>3.7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110</v>
      </c>
      <c r="B70" s="61">
        <f>14 + 206 + 13</f>
        <v>233</v>
      </c>
      <c r="C70" s="61">
        <v>9</v>
      </c>
      <c r="D70" s="61">
        <f>13 + 14</f>
        <v>27</v>
      </c>
      <c r="E70" s="54"/>
      <c r="F70" s="54"/>
      <c r="G70" s="54"/>
      <c r="H70" s="54"/>
      <c r="I70" s="52">
        <f t="shared" si="3"/>
        <v>3.1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120</v>
      </c>
      <c r="B71" s="61">
        <f>13 + 209 + 12</f>
        <v>234</v>
      </c>
      <c r="C71" s="61">
        <v>10</v>
      </c>
      <c r="D71" s="61">
        <f>12 + 13</f>
        <v>25</v>
      </c>
      <c r="E71" s="54"/>
      <c r="F71" s="54"/>
      <c r="G71" s="54"/>
      <c r="H71" s="54"/>
      <c r="I71" s="52">
        <f t="shared" si="3"/>
        <v>2.8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130</v>
      </c>
      <c r="B72" s="61">
        <f>11 + 210 + 10</f>
        <v>231</v>
      </c>
      <c r="C72" s="61">
        <v>11</v>
      </c>
      <c r="D72" s="61">
        <f>10 + 11</f>
        <v>21</v>
      </c>
      <c r="E72" s="54"/>
      <c r="F72" s="54"/>
      <c r="G72" s="54"/>
      <c r="H72" s="54"/>
      <c r="I72" s="52">
        <f t="shared" si="3"/>
        <v>2.2000000000000002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140</v>
      </c>
      <c r="B73" s="61">
        <f>9 + 210 + 8</f>
        <v>227</v>
      </c>
      <c r="C73" s="61">
        <v>12</v>
      </c>
      <c r="D73" s="61">
        <f>8 + 9</f>
        <v>17</v>
      </c>
      <c r="E73" s="54"/>
      <c r="F73" s="54"/>
      <c r="G73" s="54"/>
      <c r="H73" s="54"/>
      <c r="I73" s="52">
        <f t="shared" si="3"/>
        <v>1.7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150</v>
      </c>
      <c r="B74" s="61">
        <f>7 + 211 + 6</f>
        <v>224</v>
      </c>
      <c r="C74" s="61">
        <v>13</v>
      </c>
      <c r="D74" s="61">
        <f>B74</f>
        <v>224</v>
      </c>
      <c r="E74" s="54"/>
      <c r="F74" s="54"/>
      <c r="G74" s="54"/>
      <c r="H74" s="54"/>
      <c r="I74" s="52">
        <f t="shared" si="3"/>
        <v>1.4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3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3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3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3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3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3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3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Séquoia toujours vert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16</v>
      </c>
      <c r="B88" s="61">
        <f>89</f>
        <v>89</v>
      </c>
      <c r="C88" s="53"/>
      <c r="D88" s="61"/>
      <c r="E88" s="54"/>
      <c r="F88" s="54"/>
      <c r="G88" s="54"/>
      <c r="H88" s="54"/>
      <c r="I88" s="56">
        <f>IFERROR(B88/A88,"")</f>
        <v>5.5625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21</v>
      </c>
      <c r="B89" s="61">
        <f>227+0</f>
        <v>227</v>
      </c>
      <c r="C89" s="53">
        <v>1</v>
      </c>
      <c r="D89" s="61">
        <f>84+0</f>
        <v>84</v>
      </c>
      <c r="E89" s="54"/>
      <c r="F89" s="54"/>
      <c r="G89" s="54"/>
      <c r="H89" s="54">
        <v>1</v>
      </c>
      <c r="I89" s="56">
        <f t="shared" ref="I89:I102" si="4">IF(A89&lt;&gt;0,(B89-(B88-D88))/(A89-A88),"")</f>
        <v>27.6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26</v>
      </c>
      <c r="B90" s="61">
        <f>319</f>
        <v>319</v>
      </c>
      <c r="C90" s="53"/>
      <c r="D90" s="61"/>
      <c r="E90" s="54"/>
      <c r="F90" s="54"/>
      <c r="G90" s="54"/>
      <c r="H90" s="54"/>
      <c r="I90" s="56">
        <f t="shared" si="4"/>
        <v>35.200000000000003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31</v>
      </c>
      <c r="B91" s="61">
        <f>423+84</f>
        <v>507</v>
      </c>
      <c r="C91" s="53">
        <v>2</v>
      </c>
      <c r="D91" s="61">
        <f>84+84</f>
        <v>168</v>
      </c>
      <c r="E91" s="54"/>
      <c r="F91" s="54"/>
      <c r="G91" s="54"/>
      <c r="H91" s="54"/>
      <c r="I91" s="56">
        <f t="shared" si="4"/>
        <v>37.6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36</v>
      </c>
      <c r="B92" s="61">
        <f>521</f>
        <v>521</v>
      </c>
      <c r="C92" s="53"/>
      <c r="D92" s="61"/>
      <c r="E92" s="54"/>
      <c r="F92" s="54"/>
      <c r="G92" s="54"/>
      <c r="H92" s="54"/>
      <c r="I92" s="56">
        <f t="shared" si="4"/>
        <v>36.4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41</v>
      </c>
      <c r="B93" s="61">
        <f>604+84</f>
        <v>688</v>
      </c>
      <c r="C93" s="53">
        <v>3</v>
      </c>
      <c r="D93" s="61">
        <f>84+84</f>
        <v>168</v>
      </c>
      <c r="E93" s="54"/>
      <c r="F93" s="54"/>
      <c r="G93" s="54"/>
      <c r="H93" s="54"/>
      <c r="I93" s="56">
        <f t="shared" si="4"/>
        <v>33.4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46</v>
      </c>
      <c r="B94" s="61">
        <f>670</f>
        <v>670</v>
      </c>
      <c r="C94" s="53"/>
      <c r="D94" s="61"/>
      <c r="E94" s="54"/>
      <c r="F94" s="54"/>
      <c r="G94" s="54"/>
      <c r="H94" s="54"/>
      <c r="I94" s="56">
        <f t="shared" si="4"/>
        <v>30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51</v>
      </c>
      <c r="B95" s="61">
        <f>736+67</f>
        <v>803</v>
      </c>
      <c r="C95" s="53">
        <v>4</v>
      </c>
      <c r="D95" s="61">
        <f>67+57</f>
        <v>124</v>
      </c>
      <c r="E95" s="54"/>
      <c r="F95" s="54"/>
      <c r="G95" s="54"/>
      <c r="H95" s="54"/>
      <c r="I95" s="56">
        <f t="shared" si="4"/>
        <v>26.6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56</v>
      </c>
      <c r="B96" s="61">
        <f>797</f>
        <v>797</v>
      </c>
      <c r="C96" s="53"/>
      <c r="D96" s="61"/>
      <c r="E96" s="54"/>
      <c r="F96" s="54"/>
      <c r="G96" s="54"/>
      <c r="H96" s="54"/>
      <c r="I96" s="56">
        <f t="shared" si="4"/>
        <v>23.6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61</v>
      </c>
      <c r="B97" s="61">
        <f>849+50</f>
        <v>899</v>
      </c>
      <c r="C97" s="53">
        <v>5</v>
      </c>
      <c r="D97" s="61">
        <f>50+44</f>
        <v>94</v>
      </c>
      <c r="E97" s="54"/>
      <c r="F97" s="54"/>
      <c r="G97" s="54"/>
      <c r="H97" s="54"/>
      <c r="I97" s="56">
        <f t="shared" si="4"/>
        <v>20.399999999999999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66</v>
      </c>
      <c r="B98" s="61">
        <f>890</f>
        <v>890</v>
      </c>
      <c r="C98" s="53"/>
      <c r="D98" s="61"/>
      <c r="E98" s="54"/>
      <c r="F98" s="54"/>
      <c r="G98" s="54"/>
      <c r="H98" s="54"/>
      <c r="I98" s="56">
        <f t="shared" si="4"/>
        <v>17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71</v>
      </c>
      <c r="B99" s="61">
        <f>921+39</f>
        <v>960</v>
      </c>
      <c r="C99" s="53">
        <v>6</v>
      </c>
      <c r="D99" s="61">
        <f>39+34</f>
        <v>73</v>
      </c>
      <c r="E99" s="54"/>
      <c r="F99" s="54"/>
      <c r="G99" s="54"/>
      <c r="H99" s="54"/>
      <c r="I99" s="56">
        <f t="shared" si="4"/>
        <v>14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76</v>
      </c>
      <c r="B100" s="61">
        <f>945</f>
        <v>945</v>
      </c>
      <c r="C100" s="53"/>
      <c r="D100" s="61"/>
      <c r="E100" s="57"/>
      <c r="F100" s="57"/>
      <c r="G100" s="57"/>
      <c r="H100" s="57"/>
      <c r="I100" s="56">
        <f t="shared" si="4"/>
        <v>11.6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91">
        <v>81</v>
      </c>
      <c r="B101" s="61">
        <f>953+29</f>
        <v>982</v>
      </c>
      <c r="C101" s="61">
        <v>7</v>
      </c>
      <c r="D101" s="61">
        <f>953+29</f>
        <v>982</v>
      </c>
      <c r="E101" s="54"/>
      <c r="F101" s="54"/>
      <c r="G101" s="54"/>
      <c r="H101" s="54"/>
      <c r="I101" s="56">
        <f t="shared" si="4"/>
        <v>7.4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53"/>
      <c r="D102" s="53"/>
      <c r="E102" s="54"/>
      <c r="F102" s="54"/>
      <c r="G102" s="54"/>
      <c r="H102" s="54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53"/>
      <c r="D103" s="53"/>
      <c r="E103" s="54"/>
      <c r="F103" s="54"/>
      <c r="G103" s="54"/>
      <c r="H103" s="54"/>
      <c r="I103" s="56" t="str">
        <f t="shared" ref="I103:I107" si="5">IF(A103&lt;&gt;0,(B103-(B102-D102))/(A103-A102),"")</f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53"/>
      <c r="D104" s="53"/>
      <c r="E104" s="54"/>
      <c r="F104" s="54"/>
      <c r="G104" s="54"/>
      <c r="H104" s="54"/>
      <c r="I104" s="56" t="str">
        <f t="shared" si="5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4"/>
      <c r="F105" s="54"/>
      <c r="G105" s="54"/>
      <c r="H105" s="54"/>
      <c r="I105" s="56" t="str">
        <f t="shared" si="5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4"/>
      <c r="F106" s="54"/>
      <c r="G106" s="54"/>
      <c r="H106" s="54"/>
      <c r="I106" s="56" t="str">
        <f t="shared" si="5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4"/>
      <c r="F107" s="54"/>
      <c r="G107" s="54"/>
      <c r="H107" s="54"/>
      <c r="I107" s="56" t="str">
        <f t="shared" si="5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Douglas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34</v>
      </c>
      <c r="B114" s="61">
        <f>313.18/1.3</f>
        <v>240.90769230769232</v>
      </c>
      <c r="C114" s="61">
        <v>1</v>
      </c>
      <c r="D114" s="61">
        <f>109.16/1.3</f>
        <v>83.969230769230762</v>
      </c>
      <c r="E114" s="54"/>
      <c r="F114" s="54">
        <v>0.5</v>
      </c>
      <c r="G114" s="54">
        <v>0.5</v>
      </c>
      <c r="H114" s="91"/>
      <c r="I114" s="56">
        <f>IFERROR(B114/A114,"")</f>
        <v>7.0855203619909508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43</v>
      </c>
      <c r="B115" s="61">
        <f>332.17/1.3</f>
        <v>255.51538461538462</v>
      </c>
      <c r="C115" s="61">
        <v>2</v>
      </c>
      <c r="D115" s="61">
        <f>78.83/1.3</f>
        <v>60.638461538461534</v>
      </c>
      <c r="E115" s="54"/>
      <c r="F115" s="54">
        <v>0.5</v>
      </c>
      <c r="G115" s="54">
        <v>0.5</v>
      </c>
      <c r="H115" s="91"/>
      <c r="I115" s="56">
        <f t="shared" ref="I115:I133" si="6">IF(A115&lt;&gt;0,(B115-(B114-D114))/(A115-A114),"")</f>
        <v>10.952991452991451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52</v>
      </c>
      <c r="B116" s="61">
        <f>375.29/1.3</f>
        <v>288.68461538461537</v>
      </c>
      <c r="C116" s="61">
        <v>3</v>
      </c>
      <c r="D116" s="61">
        <f>65.46/1.3</f>
        <v>50.353846153846149</v>
      </c>
      <c r="E116" s="54"/>
      <c r="F116" s="54"/>
      <c r="G116" s="54"/>
      <c r="H116" s="91"/>
      <c r="I116" s="56">
        <f t="shared" si="6"/>
        <v>10.423076923076922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62</v>
      </c>
      <c r="B117" s="61">
        <f>434.17/1.3</f>
        <v>333.97692307692307</v>
      </c>
      <c r="C117" s="61">
        <v>4</v>
      </c>
      <c r="D117" s="61">
        <f>69.82/1.3</f>
        <v>53.707692307692298</v>
      </c>
      <c r="E117" s="91"/>
      <c r="F117" s="91"/>
      <c r="G117" s="91"/>
      <c r="H117" s="91"/>
      <c r="I117" s="56">
        <f t="shared" si="6"/>
        <v>9.5646153846153847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72</v>
      </c>
      <c r="B118" s="61">
        <f>473.17/1.3</f>
        <v>363.97692307692307</v>
      </c>
      <c r="C118" s="61">
        <v>5</v>
      </c>
      <c r="D118" s="61">
        <f>67.51/1.3</f>
        <v>51.930769230769236</v>
      </c>
      <c r="E118" s="91"/>
      <c r="F118" s="91"/>
      <c r="G118" s="91"/>
      <c r="H118" s="91"/>
      <c r="I118" s="56">
        <f t="shared" si="6"/>
        <v>8.3707692307692305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84</v>
      </c>
      <c r="B119" s="61">
        <f>516.3/1.3</f>
        <v>397.15384615384613</v>
      </c>
      <c r="C119" s="61">
        <v>6</v>
      </c>
      <c r="D119" s="61">
        <f>73.57/1.3</f>
        <v>56.592307692307685</v>
      </c>
      <c r="E119" s="91"/>
      <c r="F119" s="91"/>
      <c r="G119" s="91"/>
      <c r="H119" s="91"/>
      <c r="I119" s="56">
        <f t="shared" si="6"/>
        <v>7.0923076923076893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96</v>
      </c>
      <c r="B120" s="61">
        <f>531.63/1.3</f>
        <v>408.94615384615383</v>
      </c>
      <c r="C120" s="61">
        <v>7</v>
      </c>
      <c r="D120" s="61">
        <f>77.71/1.3</f>
        <v>59.776923076923069</v>
      </c>
      <c r="E120" s="91"/>
      <c r="F120" s="91"/>
      <c r="G120" s="91"/>
      <c r="H120" s="91"/>
      <c r="I120" s="56">
        <f t="shared" si="6"/>
        <v>5.6987179487179462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1">
        <v>108</v>
      </c>
      <c r="B121" s="61">
        <f>523.68/1.3</f>
        <v>402.83076923076919</v>
      </c>
      <c r="C121" s="61">
        <v>8</v>
      </c>
      <c r="D121" s="61">
        <f>68.07/1.3</f>
        <v>52.361538461538451</v>
      </c>
      <c r="E121" s="91"/>
      <c r="F121" s="91"/>
      <c r="G121" s="91"/>
      <c r="H121" s="91"/>
      <c r="I121" s="56">
        <f t="shared" si="6"/>
        <v>4.4717948717948701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120</v>
      </c>
      <c r="B122" s="61">
        <f>509.76/1.3</f>
        <v>392.12307692307689</v>
      </c>
      <c r="C122" s="53">
        <v>9</v>
      </c>
      <c r="D122" s="61">
        <f>509.76/1.3</f>
        <v>392.12307692307689</v>
      </c>
      <c r="E122" s="54"/>
      <c r="F122" s="54"/>
      <c r="G122" s="54"/>
      <c r="H122" s="54"/>
      <c r="I122" s="56">
        <f t="shared" si="6"/>
        <v>3.4711538461538445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/>
      <c r="B123" s="61"/>
      <c r="C123" s="53"/>
      <c r="D123" s="61"/>
      <c r="E123" s="54"/>
      <c r="F123" s="54"/>
      <c r="G123" s="54"/>
      <c r="H123" s="54"/>
      <c r="I123" s="56" t="str">
        <f t="shared" si="6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/>
      <c r="B124" s="61"/>
      <c r="C124" s="53"/>
      <c r="D124" s="61"/>
      <c r="E124" s="54"/>
      <c r="F124" s="54"/>
      <c r="G124" s="54"/>
      <c r="H124" s="54"/>
      <c r="I124" s="56" t="str">
        <f t="shared" si="6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/>
      <c r="B125" s="61"/>
      <c r="C125" s="53"/>
      <c r="D125" s="61"/>
      <c r="E125" s="54"/>
      <c r="F125" s="54"/>
      <c r="G125" s="54"/>
      <c r="H125" s="54"/>
      <c r="I125" s="56" t="str">
        <f t="shared" si="6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/>
      <c r="B126" s="61"/>
      <c r="C126" s="53"/>
      <c r="D126" s="61"/>
      <c r="E126" s="57"/>
      <c r="F126" s="57"/>
      <c r="G126" s="57"/>
      <c r="H126" s="57"/>
      <c r="I126" s="56" t="str">
        <f t="shared" si="6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/>
      <c r="B127" s="61"/>
      <c r="C127" s="53"/>
      <c r="D127" s="61"/>
      <c r="E127" s="57"/>
      <c r="F127" s="57"/>
      <c r="G127" s="57"/>
      <c r="H127" s="57"/>
      <c r="I127" s="56" t="str">
        <f t="shared" si="6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8"/>
      <c r="B128" s="289"/>
      <c r="C128" s="53"/>
      <c r="D128" s="53"/>
      <c r="E128" s="57"/>
      <c r="F128" s="57"/>
      <c r="G128" s="57"/>
      <c r="H128" s="57"/>
      <c r="I128" s="56" t="str">
        <f t="shared" si="6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8"/>
      <c r="B129" s="289"/>
      <c r="C129" s="53"/>
      <c r="D129" s="53"/>
      <c r="E129" s="57"/>
      <c r="F129" s="57"/>
      <c r="G129" s="57"/>
      <c r="H129" s="57"/>
      <c r="I129" s="56" t="str">
        <f t="shared" si="6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8"/>
      <c r="B130" s="289"/>
      <c r="C130" s="53"/>
      <c r="D130" s="53"/>
      <c r="E130" s="57"/>
      <c r="F130" s="57"/>
      <c r="G130" s="57"/>
      <c r="H130" s="57"/>
      <c r="I130" s="56" t="str">
        <f t="shared" si="6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8"/>
      <c r="B131" s="289"/>
      <c r="C131" s="53"/>
      <c r="D131" s="53"/>
      <c r="E131" s="57"/>
      <c r="F131" s="57"/>
      <c r="G131" s="57"/>
      <c r="H131" s="57"/>
      <c r="I131" s="56" t="str">
        <f t="shared" si="6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8"/>
      <c r="B132" s="289"/>
      <c r="C132" s="53"/>
      <c r="D132" s="53"/>
      <c r="E132" s="57"/>
      <c r="F132" s="57"/>
      <c r="G132" s="57"/>
      <c r="H132" s="57"/>
      <c r="I132" s="56" t="str">
        <f t="shared" si="6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8"/>
      <c r="B133" s="289"/>
      <c r="C133" s="53"/>
      <c r="D133" s="290"/>
      <c r="E133" s="57"/>
      <c r="F133" s="57"/>
      <c r="G133" s="57"/>
      <c r="H133" s="57"/>
      <c r="I133" s="56" t="str">
        <f t="shared" si="6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1"/>
      <c r="C140" s="53"/>
      <c r="D140" s="61"/>
      <c r="E140" s="54"/>
      <c r="F140" s="54"/>
      <c r="G140" s="54"/>
      <c r="H140" s="54"/>
      <c r="I140" s="59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1"/>
      <c r="C141" s="53"/>
      <c r="D141" s="61"/>
      <c r="E141" s="54"/>
      <c r="F141" s="54"/>
      <c r="G141" s="54"/>
      <c r="H141" s="54"/>
      <c r="I141" s="59" t="str">
        <f t="shared" ref="I141:I159" si="7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1"/>
      <c r="C142" s="53"/>
      <c r="D142" s="61"/>
      <c r="E142" s="54"/>
      <c r="F142" s="54"/>
      <c r="G142" s="54"/>
      <c r="H142" s="54"/>
      <c r="I142" s="59" t="str">
        <f t="shared" si="7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1"/>
      <c r="C143" s="53"/>
      <c r="D143" s="61"/>
      <c r="E143" s="54"/>
      <c r="F143" s="54"/>
      <c r="G143" s="54"/>
      <c r="H143" s="54"/>
      <c r="I143" s="59" t="str">
        <f t="shared" si="7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1"/>
      <c r="C144" s="53"/>
      <c r="D144" s="61"/>
      <c r="E144" s="54"/>
      <c r="F144" s="54"/>
      <c r="G144" s="54"/>
      <c r="H144" s="54"/>
      <c r="I144" s="59" t="str">
        <f t="shared" si="7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1"/>
      <c r="C145" s="53"/>
      <c r="D145" s="61"/>
      <c r="E145" s="54"/>
      <c r="F145" s="54"/>
      <c r="G145" s="54"/>
      <c r="H145" s="54"/>
      <c r="I145" s="59" t="str">
        <f t="shared" si="7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1"/>
      <c r="C146" s="61"/>
      <c r="D146" s="61"/>
      <c r="E146" s="91"/>
      <c r="F146" s="91"/>
      <c r="G146" s="91"/>
      <c r="H146" s="91"/>
      <c r="I146" s="59" t="str">
        <f t="shared" si="7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61"/>
      <c r="B147" s="61"/>
      <c r="C147" s="61"/>
      <c r="D147" s="61"/>
      <c r="E147" s="91"/>
      <c r="F147" s="91"/>
      <c r="G147" s="91"/>
      <c r="H147" s="91"/>
      <c r="I147" s="59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61"/>
      <c r="B148" s="61"/>
      <c r="C148" s="61"/>
      <c r="D148" s="61"/>
      <c r="E148" s="91"/>
      <c r="F148" s="91"/>
      <c r="G148" s="91"/>
      <c r="H148" s="91"/>
      <c r="I148" s="59" t="str">
        <f t="shared" si="7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61"/>
      <c r="B149" s="61"/>
      <c r="C149" s="61"/>
      <c r="D149" s="61"/>
      <c r="E149" s="91"/>
      <c r="F149" s="91"/>
      <c r="G149" s="91"/>
      <c r="H149" s="91"/>
      <c r="I149" s="59" t="str">
        <f t="shared" si="7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61"/>
      <c r="B150" s="61"/>
      <c r="C150" s="61"/>
      <c r="D150" s="61"/>
      <c r="E150" s="91"/>
      <c r="F150" s="91"/>
      <c r="G150" s="91"/>
      <c r="H150" s="91"/>
      <c r="I150" s="59" t="str">
        <f t="shared" si="7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61"/>
      <c r="B151" s="61"/>
      <c r="C151" s="61"/>
      <c r="D151" s="61"/>
      <c r="E151" s="91"/>
      <c r="F151" s="91"/>
      <c r="G151" s="91"/>
      <c r="H151" s="91"/>
      <c r="I151" s="59" t="str">
        <f t="shared" si="7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61"/>
      <c r="B152" s="61"/>
      <c r="C152" s="61"/>
      <c r="D152" s="61"/>
      <c r="E152" s="66"/>
      <c r="F152" s="66"/>
      <c r="G152" s="66"/>
      <c r="H152" s="66"/>
      <c r="I152" s="59" t="str">
        <f t="shared" si="7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61"/>
      <c r="B153" s="61"/>
      <c r="C153" s="61"/>
      <c r="D153" s="61"/>
      <c r="E153" s="66"/>
      <c r="F153" s="66"/>
      <c r="G153" s="66"/>
      <c r="H153" s="66"/>
      <c r="I153" s="59" t="str">
        <f t="shared" si="7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61"/>
      <c r="B154" s="61"/>
      <c r="C154" s="53"/>
      <c r="D154" s="61"/>
      <c r="E154" s="57"/>
      <c r="F154" s="57"/>
      <c r="G154" s="57"/>
      <c r="H154" s="57"/>
      <c r="I154" s="59" t="str">
        <f t="shared" si="7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61"/>
      <c r="B155" s="61"/>
      <c r="C155" s="53"/>
      <c r="D155" s="61"/>
      <c r="E155" s="57"/>
      <c r="F155" s="57"/>
      <c r="G155" s="57"/>
      <c r="H155" s="57"/>
      <c r="I155" s="59" t="str">
        <f t="shared" si="7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61"/>
      <c r="B156" s="61"/>
      <c r="C156" s="53"/>
      <c r="D156" s="61"/>
      <c r="E156" s="57"/>
      <c r="F156" s="57"/>
      <c r="G156" s="57"/>
      <c r="H156" s="57"/>
      <c r="I156" s="59" t="str">
        <f t="shared" si="7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/>
      <c r="B157" s="61"/>
      <c r="C157" s="53"/>
      <c r="D157" s="61"/>
      <c r="E157" s="57"/>
      <c r="F157" s="57"/>
      <c r="G157" s="57"/>
      <c r="H157" s="57"/>
      <c r="I157" s="59" t="str">
        <f t="shared" si="7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61"/>
      <c r="C158" s="53"/>
      <c r="D158" s="61"/>
      <c r="E158" s="57"/>
      <c r="F158" s="57"/>
      <c r="G158" s="57"/>
      <c r="H158" s="57"/>
      <c r="I158" s="59" t="str">
        <f t="shared" si="7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/>
      <c r="B159" s="61"/>
      <c r="C159" s="53"/>
      <c r="D159" s="61"/>
      <c r="E159" s="57"/>
      <c r="F159" s="57"/>
      <c r="G159" s="57"/>
      <c r="H159" s="57"/>
      <c r="I159" s="59" t="str">
        <f t="shared" si="7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1"/>
      <c r="C167" s="61"/>
      <c r="D167" s="61"/>
      <c r="E167" s="54"/>
      <c r="F167" s="54"/>
      <c r="G167" s="54"/>
      <c r="H167" s="54"/>
      <c r="I167" s="52" t="str">
        <f t="shared" ref="I167:I185" si="8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1"/>
      <c r="C168" s="61"/>
      <c r="D168" s="61"/>
      <c r="E168" s="54"/>
      <c r="F168" s="54"/>
      <c r="G168" s="54"/>
      <c r="H168" s="54"/>
      <c r="I168" s="52" t="str">
        <f t="shared" si="8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1"/>
      <c r="C169" s="61"/>
      <c r="D169" s="61"/>
      <c r="E169" s="54"/>
      <c r="F169" s="54"/>
      <c r="G169" s="54"/>
      <c r="H169" s="54"/>
      <c r="I169" s="52" t="str">
        <f t="shared" si="8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1"/>
      <c r="C170" s="61"/>
      <c r="D170" s="61"/>
      <c r="E170" s="54"/>
      <c r="F170" s="54"/>
      <c r="G170" s="54"/>
      <c r="H170" s="54"/>
      <c r="I170" s="52" t="str">
        <f t="shared" si="8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1"/>
      <c r="C171" s="61"/>
      <c r="D171" s="61"/>
      <c r="E171" s="54"/>
      <c r="F171" s="54"/>
      <c r="G171" s="54"/>
      <c r="H171" s="54"/>
      <c r="I171" s="52" t="str">
        <f t="shared" si="8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1"/>
      <c r="C172" s="61"/>
      <c r="D172" s="61"/>
      <c r="E172" s="54"/>
      <c r="F172" s="54"/>
      <c r="G172" s="54"/>
      <c r="H172" s="54"/>
      <c r="I172" s="52" t="str">
        <f t="shared" si="8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61"/>
      <c r="C173" s="61"/>
      <c r="D173" s="61"/>
      <c r="E173" s="54"/>
      <c r="F173" s="54"/>
      <c r="G173" s="54"/>
      <c r="H173" s="54"/>
      <c r="I173" s="52" t="str">
        <f t="shared" si="8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61"/>
      <c r="C174" s="61"/>
      <c r="D174" s="61"/>
      <c r="E174" s="54"/>
      <c r="F174" s="54"/>
      <c r="G174" s="54"/>
      <c r="H174" s="54"/>
      <c r="I174" s="52" t="str">
        <f t="shared" si="8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61"/>
      <c r="C175" s="61"/>
      <c r="D175" s="61"/>
      <c r="E175" s="54"/>
      <c r="F175" s="54"/>
      <c r="G175" s="54"/>
      <c r="H175" s="54"/>
      <c r="I175" s="52" t="str">
        <f t="shared" si="8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61"/>
      <c r="C176" s="61"/>
      <c r="D176" s="61"/>
      <c r="E176" s="54"/>
      <c r="F176" s="54"/>
      <c r="G176" s="54"/>
      <c r="H176" s="54"/>
      <c r="I176" s="52" t="str">
        <f t="shared" si="8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61"/>
      <c r="C177" s="61"/>
      <c r="D177" s="61"/>
      <c r="E177" s="54"/>
      <c r="F177" s="54"/>
      <c r="G177" s="54"/>
      <c r="H177" s="54"/>
      <c r="I177" s="52" t="str">
        <f t="shared" si="8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61"/>
      <c r="C178" s="61"/>
      <c r="D178" s="61"/>
      <c r="E178" s="54"/>
      <c r="F178" s="54"/>
      <c r="G178" s="54"/>
      <c r="H178" s="54"/>
      <c r="I178" s="52" t="str">
        <f t="shared" si="8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61"/>
      <c r="C179" s="61"/>
      <c r="D179" s="61"/>
      <c r="E179" s="54"/>
      <c r="F179" s="54"/>
      <c r="G179" s="54"/>
      <c r="H179" s="54"/>
      <c r="I179" s="52" t="str">
        <f t="shared" si="8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61"/>
      <c r="C180" s="61"/>
      <c r="D180" s="61"/>
      <c r="E180" s="54"/>
      <c r="F180" s="54"/>
      <c r="G180" s="54"/>
      <c r="H180" s="54"/>
      <c r="I180" s="52" t="str">
        <f t="shared" si="8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61"/>
      <c r="C181" s="61"/>
      <c r="D181" s="61"/>
      <c r="E181" s="54"/>
      <c r="F181" s="54"/>
      <c r="G181" s="54"/>
      <c r="H181" s="54"/>
      <c r="I181" s="52" t="str">
        <f t="shared" si="8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61"/>
      <c r="C182" s="61"/>
      <c r="D182" s="61"/>
      <c r="E182" s="54"/>
      <c r="F182" s="54"/>
      <c r="G182" s="54"/>
      <c r="H182" s="54"/>
      <c r="I182" s="52" t="str">
        <f t="shared" si="8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61"/>
      <c r="C183" s="61"/>
      <c r="D183" s="61"/>
      <c r="E183" s="54"/>
      <c r="F183" s="54"/>
      <c r="G183" s="54"/>
      <c r="H183" s="54"/>
      <c r="I183" s="52" t="str">
        <f t="shared" si="8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61"/>
      <c r="C184" s="61"/>
      <c r="D184" s="61"/>
      <c r="E184" s="54"/>
      <c r="F184" s="54"/>
      <c r="G184" s="54"/>
      <c r="H184" s="54"/>
      <c r="I184" s="52" t="str">
        <f t="shared" si="8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61"/>
      <c r="C185" s="61"/>
      <c r="D185" s="61"/>
      <c r="E185" s="54"/>
      <c r="F185" s="54"/>
      <c r="G185" s="54"/>
      <c r="H185" s="54"/>
      <c r="I185" s="52" t="str">
        <f t="shared" si="8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1"/>
      <c r="C192" s="61"/>
      <c r="D192" s="61"/>
      <c r="E192" s="54"/>
      <c r="F192" s="54"/>
      <c r="G192" s="54"/>
      <c r="H192" s="91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1"/>
      <c r="C193" s="61"/>
      <c r="D193" s="61"/>
      <c r="E193" s="54"/>
      <c r="F193" s="54"/>
      <c r="G193" s="54"/>
      <c r="H193" s="91"/>
      <c r="I193" s="52" t="str">
        <f t="shared" ref="I193:I211" si="9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1"/>
      <c r="C194" s="61"/>
      <c r="D194" s="61"/>
      <c r="E194" s="91"/>
      <c r="F194" s="91"/>
      <c r="G194" s="91"/>
      <c r="H194" s="91"/>
      <c r="I194" s="52" t="str">
        <f t="shared" si="9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1"/>
      <c r="C195" s="61"/>
      <c r="D195" s="61"/>
      <c r="E195" s="91"/>
      <c r="F195" s="91"/>
      <c r="G195" s="91"/>
      <c r="H195" s="91"/>
      <c r="I195" s="52" t="str">
        <f t="shared" si="9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1"/>
      <c r="C196" s="61"/>
      <c r="D196" s="61"/>
      <c r="E196" s="91"/>
      <c r="F196" s="91"/>
      <c r="G196" s="91"/>
      <c r="H196" s="91"/>
      <c r="I196" s="52" t="str">
        <f t="shared" si="9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1"/>
      <c r="C197" s="61"/>
      <c r="D197" s="61"/>
      <c r="E197" s="91"/>
      <c r="F197" s="91"/>
      <c r="G197" s="91"/>
      <c r="H197" s="91"/>
      <c r="I197" s="52" t="str">
        <f t="shared" si="9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1"/>
      <c r="C198" s="61"/>
      <c r="D198" s="61"/>
      <c r="E198" s="91"/>
      <c r="F198" s="91"/>
      <c r="G198" s="91"/>
      <c r="H198" s="91"/>
      <c r="I198" s="52" t="str">
        <f t="shared" si="9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61"/>
      <c r="B199" s="61"/>
      <c r="C199" s="61"/>
      <c r="D199" s="61"/>
      <c r="E199" s="91"/>
      <c r="F199" s="91"/>
      <c r="G199" s="91"/>
      <c r="H199" s="91"/>
      <c r="I199" s="52" t="str">
        <f t="shared" si="9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61"/>
      <c r="B200" s="61"/>
      <c r="C200" s="61"/>
      <c r="D200" s="61"/>
      <c r="E200" s="91"/>
      <c r="F200" s="91"/>
      <c r="G200" s="91"/>
      <c r="H200" s="91"/>
      <c r="I200" s="52" t="str">
        <f t="shared" si="9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64"/>
      <c r="F201" s="64"/>
      <c r="G201" s="64"/>
      <c r="H201" s="64"/>
      <c r="I201" s="52" t="str">
        <f t="shared" si="9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64"/>
      <c r="F202" s="64"/>
      <c r="G202" s="64"/>
      <c r="H202" s="64"/>
      <c r="I202" s="52" t="str">
        <f t="shared" si="9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64"/>
      <c r="F203" s="64"/>
      <c r="G203" s="64"/>
      <c r="H203" s="64"/>
      <c r="I203" s="52" t="str">
        <f t="shared" si="9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65"/>
      <c r="F204" s="65"/>
      <c r="G204" s="65"/>
      <c r="H204" s="65"/>
      <c r="I204" s="52" t="str">
        <f t="shared" si="9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7"/>
      <c r="F205" s="57"/>
      <c r="G205" s="57"/>
      <c r="H205" s="57"/>
      <c r="I205" s="52" t="str">
        <f t="shared" si="9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7"/>
      <c r="F206" s="57"/>
      <c r="G206" s="57"/>
      <c r="H206" s="57"/>
      <c r="I206" s="52" t="str">
        <f t="shared" si="9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7"/>
      <c r="F207" s="57"/>
      <c r="G207" s="57"/>
      <c r="H207" s="57"/>
      <c r="I207" s="52" t="str">
        <f t="shared" si="9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7"/>
      <c r="F208" s="57"/>
      <c r="G208" s="57"/>
      <c r="H208" s="57"/>
      <c r="I208" s="52" t="str">
        <f t="shared" si="9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7"/>
      <c r="F209" s="57"/>
      <c r="G209" s="57"/>
      <c r="H209" s="57"/>
      <c r="I209" s="52" t="str">
        <f t="shared" si="9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7"/>
      <c r="F210" s="57"/>
      <c r="G210" s="57"/>
      <c r="H210" s="57"/>
      <c r="I210" s="52" t="str">
        <f t="shared" si="9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7"/>
      <c r="F211" s="57"/>
      <c r="G211" s="57"/>
      <c r="H211" s="57"/>
      <c r="I211" s="52" t="str">
        <f t="shared" si="9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10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10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/>
      <c r="B221" s="61"/>
      <c r="C221" s="53"/>
      <c r="D221" s="61"/>
      <c r="E221" s="64"/>
      <c r="F221" s="64"/>
      <c r="G221" s="64"/>
      <c r="H221" s="64"/>
      <c r="I221" s="56" t="str">
        <f t="shared" si="10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/>
      <c r="B222" s="61"/>
      <c r="C222" s="53"/>
      <c r="D222" s="61"/>
      <c r="E222" s="64"/>
      <c r="F222" s="64"/>
      <c r="G222" s="64"/>
      <c r="H222" s="64"/>
      <c r="I222" s="56" t="str">
        <f t="shared" si="10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/>
      <c r="B223" s="61"/>
      <c r="C223" s="53"/>
      <c r="D223" s="61"/>
      <c r="E223" s="64"/>
      <c r="F223" s="64"/>
      <c r="G223" s="64"/>
      <c r="H223" s="64"/>
      <c r="I223" s="56" t="str">
        <f t="shared" si="10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/>
      <c r="B224" s="61"/>
      <c r="C224" s="53"/>
      <c r="D224" s="61"/>
      <c r="E224" s="64"/>
      <c r="F224" s="64"/>
      <c r="G224" s="64"/>
      <c r="H224" s="64"/>
      <c r="I224" s="56" t="str">
        <f t="shared" si="10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/>
      <c r="B225" s="61"/>
      <c r="C225" s="53"/>
      <c r="D225" s="61"/>
      <c r="E225" s="64"/>
      <c r="F225" s="64"/>
      <c r="G225" s="64"/>
      <c r="H225" s="64"/>
      <c r="I225" s="56" t="str">
        <f t="shared" si="10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10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10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10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10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10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1"/>
      <c r="C231" s="92"/>
      <c r="D231" s="61"/>
      <c r="E231" s="57"/>
      <c r="F231" s="57"/>
      <c r="G231" s="57"/>
      <c r="H231" s="57"/>
      <c r="I231" s="56" t="str">
        <f t="shared" si="10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10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10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10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10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10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10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11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11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11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11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11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11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11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11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11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11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11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1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1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1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1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1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1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2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2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2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2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2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2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2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2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2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2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2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2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2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2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2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2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2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2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disablePrompts="1"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0</v>
      </c>
      <c r="C8" s="52" t="s">
        <v>177</v>
      </c>
      <c r="D8" s="25"/>
      <c r="E8" s="112">
        <v>4</v>
      </c>
      <c r="F8" s="62">
        <v>1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1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Séquoia toujours vert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Douglas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293.33333333333331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314.4389771131751</v>
      </c>
      <c r="T3" s="60">
        <f>IF('Données projet'!E9&gt;30,$R$33-$H$33,LOOKUP('Données projet'!$E$9,$A$3:$A$203,R3:R203)-LOOKUP('Données projet'!$E$9,$A$3:$A$203,$H$3:$H$203))</f>
        <v>176.7239677722049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210.85498515082651</v>
      </c>
      <c r="AO3" s="60">
        <f>IF('Données projet'!E10&gt;30,$AM$33-$H$33,LOOKUP('Données projet'!$E$10,$A$3:$A$203,AM3:AM203)-LOOKUP('Données projet'!$E$10,$A$3:$A$203,$H$3:$H$203))</f>
        <v>76.413905647258389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456.68544269509601</v>
      </c>
      <c r="BJ3" s="60">
        <f>IF('Données projet'!E11&gt;30,$BH$33-$H$33,LOOKUP('Données projet'!$E$11,$A$3:$A$203,BH3:BH203)-LOOKUP('Données projet'!$E$11,$A$3:$A$203,$H$3:$H$203))</f>
        <v>417.22363874931852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293.33333333333331</v>
      </c>
      <c r="CD3" s="60">
        <f ca="1">AVERAGE(OFFSET($CC$3,0,0,'Données projet'!$E$12+1,1))-AVERAGE(OFFSET($H$3,0,0,'Données projet'!$E$12+1,1))</f>
        <v>234.38946271740315</v>
      </c>
      <c r="CE3" s="60">
        <f>IF('Données projet'!E12&gt;30,$CC$33-$H$33,LOOKUP('Données projet'!$E$12,$A$3:$A$203,CC3:CC203)-LOOKUP('Données projet'!$E$12,$A$3:$A$203,$H$3:$H$203))</f>
        <v>123.9494810355684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0" t="e">
        <f>CW3+(CO3+CP3)*44/12</f>
        <v>#N/A</v>
      </c>
      <c r="CY3" s="60" t="e">
        <f ca="1">AVERAGE(OFFSET($CX$3,0,0,'Données projet'!$E$13+1,1))-AVERAGE(OFFSET($H$3,0,0,'Données projet'!$E$13+1,1))</f>
        <v>#N/A</v>
      </c>
      <c r="CZ3" s="60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8">
        <f t="shared" ref="H4:H67" si="1">(B4+E4+F4)*44/12+(C4+D4)*0.475*44/12</f>
        <v>294.5914728578652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0">
        <f t="shared" si="0"/>
        <v>296.09965856715894</v>
      </c>
      <c r="S4" s="60">
        <f ca="1">AVERAGE(OFFSET($R$3,0,0,'Données projet'!$E$9+1,1))-AVERAGE(OFFSET($H$3,0,0,'Données projet'!$E$9+1,1))</f>
        <v>314.4389771131751</v>
      </c>
      <c r="T4" s="60">
        <f>$T$3</f>
        <v>176.7239677722049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1.8</v>
      </c>
      <c r="AI4" s="14">
        <f>IF('Données projet'!$A$62&gt;35,AI3+AH4-AQ3,IF(A4&lt;'Données projet'!$A$62,$AF$205^A4,IF(A4='Données projet'!$A$62,'Données projet'!$B$62,AI3+AH4-AQ3)))</f>
        <v>1.1422113165588705</v>
      </c>
      <c r="AJ4" s="14">
        <f>AI4*VLOOKUP('Données projet'!$B$10,Paramètres!$A$1:$I$89,3,0)*VLOOKUP('Données projet'!$B$10,Paramètres!$A$1:$I$89,5,0)</f>
        <v>1.0334727992224659</v>
      </c>
      <c r="AK4" s="14">
        <f>EXP(-1.0587+0.8836*LN(AJ4)+0.284)</f>
        <v>0.47444590873732928</v>
      </c>
      <c r="AL4" s="22">
        <f t="shared" ref="AL4:AL67" si="4">(AJ4+AK4)*0.475*44/12</f>
        <v>2.6262917496966431</v>
      </c>
      <c r="AM4" s="60">
        <f t="shared" ref="AM4:AM67" si="5">AL4+(AD4+AE4)*44/12</f>
        <v>295.95962508302995</v>
      </c>
      <c r="AN4" s="60">
        <f ca="1">AVERAGE(OFFSET($AM$3,0,0,'Données projet'!$E$10+1,1))-AVERAGE(OFFSET($H$3,0,0,'Données projet'!$E$10+1,1))</f>
        <v>210.85498515082651</v>
      </c>
      <c r="AO4" s="60">
        <f>$AO$3</f>
        <v>76.413905647258389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5.5625</v>
      </c>
      <c r="BD4" s="13">
        <f>IF('Données projet'!$A$88&gt;35,BD3+BC4-BL3,IF(A4&lt;'Données projet'!$A$88,$BA$205^A4,IF(A4='Données projet'!$A$88,'Données projet'!$B$88,BD3+BC4-BL3)))</f>
        <v>1.323844195013806</v>
      </c>
      <c r="BE4" s="14">
        <f>BD4*VLOOKUP('Données projet'!$B$11,Paramètres!$A$1:$I$89,3,0)*VLOOKUP('Données projet'!$B$11,Paramètres!$A$1:$I$89,5,0)</f>
        <v>0.58513913419610231</v>
      </c>
      <c r="BF4" s="14">
        <f>EXP(-1.0587+0.8836*LN(BE4)+0.284)</f>
        <v>0.28701344742342316</v>
      </c>
      <c r="BG4" s="22">
        <f t="shared" ref="BG4:BG67" si="7">(BE4+BF4)*0.475*44/12</f>
        <v>1.5189990796540069</v>
      </c>
      <c r="BH4" s="60">
        <f t="shared" ref="BH4:BH67" si="8">BG4+(AY4+AZ4)*44/12</f>
        <v>294.85233241298732</v>
      </c>
      <c r="BI4" s="60">
        <f ca="1">AVERAGE(OFFSET($BH$3,0,0,'Données projet'!$E$11+1,1))-AVERAGE(OFFSET($H$3,0,0,'Données projet'!$E$11+1,1))</f>
        <v>456.68544269509601</v>
      </c>
      <c r="BJ4" s="60">
        <f>$BJ$3</f>
        <v>417.22363874931852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7.0855203619909508</v>
      </c>
      <c r="BY4" s="13">
        <f>IF('Données projet'!$A$114&gt;35,BY3+BX4-CG3,IF(A4&lt;'Données projet'!$A$114,$BV$205^A4,IF(A4='Données projet'!$A$114,'Données projet'!$B$114,BY3+BX4-CG3)))</f>
        <v>1.1750448175105419</v>
      </c>
      <c r="BZ4" s="14">
        <f>BY4*VLOOKUP('Données projet'!$B$12,Paramètres!$A$1:$I$89,3,0)*VLOOKUP('Données projet'!$B$12,Paramètres!$A$1:$I$89,5,0)</f>
        <v>0.65685005298839294</v>
      </c>
      <c r="CA4" s="14">
        <f>EXP(-1.0587+0.8836*LN(BZ4)+0.284)</f>
        <v>0.31788148552744272</v>
      </c>
      <c r="CB4" s="22">
        <f t="shared" ref="CB4:CB67" si="10">(BZ4+CA4)*0.475*44/12</f>
        <v>1.6976574295817473</v>
      </c>
      <c r="CC4" s="60">
        <f t="shared" ref="CC4:CC67" si="11">CB4+(BT4+BU4)*44/12</f>
        <v>295.03099076291505</v>
      </c>
      <c r="CD4" s="60">
        <f ca="1">AVERAGE(OFFSET($CC$3,0,0,'Données projet'!$E$12+1,1))-AVERAGE(OFFSET($H$3,0,0,'Données projet'!$E$12+1,1))</f>
        <v>234.38946271740315</v>
      </c>
      <c r="CE4" s="60">
        <f>$CE$3</f>
        <v>123.9494810355684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0" t="e">
        <f t="shared" ref="CX4:CX67" si="14">CW4+(CO4+CP4)*44/12</f>
        <v>#N/A</v>
      </c>
      <c r="CY4" s="60" t="e">
        <f ca="1">AVERAGE(OFFSET($CX$3,0,0,'Données projet'!$E$13+1,1))-AVERAGE(OFFSET($H$3,0,0,'Données projet'!$E$13+1,1))</f>
        <v>#N/A</v>
      </c>
      <c r="CZ4" s="60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8">
        <f t="shared" si="1"/>
        <v>295.78443952307919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0">
        <f t="shared" si="0"/>
        <v>296.64562104315422</v>
      </c>
      <c r="S5" s="60">
        <f ca="1">AVERAGE(OFFSET($R$3,0,0,'Données projet'!$E$9+1,1))-AVERAGE(OFFSET($H$3,0,0,'Données projet'!$E$9+1,1))</f>
        <v>314.4389771131751</v>
      </c>
      <c r="T5" s="60">
        <f t="shared" ref="T5:T68" si="34">$T$3</f>
        <v>176.7239677722049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1.8</v>
      </c>
      <c r="AI5" s="14">
        <f>IF('Données projet'!$A$62&gt;35,AI4+AH5-AQ4,IF(A5&lt;'Données projet'!$A$62,$AF$205^A5,IF(A5='Données projet'!$A$62,'Données projet'!$B$62,AI4+AH5-AQ4)))</f>
        <v>1.3046466916751485</v>
      </c>
      <c r="AJ5" s="14">
        <f>AI5*VLOOKUP('Données projet'!$B$10,Paramètres!$A$1:$I$89,3,0)*VLOOKUP('Données projet'!$B$10,Paramètres!$A$1:$I$89,5,0)</f>
        <v>1.1804443266276743</v>
      </c>
      <c r="AK5" s="14">
        <f t="shared" ref="AK5:AK68" si="35">EXP(-1.0587+0.8836*LN(AJ5)+0.284)</f>
        <v>0.53359466263756661</v>
      </c>
      <c r="AL5" s="22">
        <f t="shared" si="4"/>
        <v>2.9852845729702948</v>
      </c>
      <c r="AM5" s="60">
        <f t="shared" si="5"/>
        <v>296.31861790630359</v>
      </c>
      <c r="AN5" s="60">
        <f ca="1">AVERAGE(OFFSET($AM$3,0,0,'Données projet'!$E$10+1,1))-AVERAGE(OFFSET($H$3,0,0,'Données projet'!$E$10+1,1))</f>
        <v>210.85498515082651</v>
      </c>
      <c r="AO5" s="60">
        <f t="shared" ref="AO5:AO68" si="36">$AO$3</f>
        <v>76.413905647258389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5.5625</v>
      </c>
      <c r="BD5" s="13">
        <f>IF('Données projet'!$A$88&gt;35,BD4+BC5-BL4,IF(A5&lt;'Données projet'!$A$88,$BA$205^A5,IF(A5='Données projet'!$A$88,'Données projet'!$B$88,BD4+BC5-BL4)))</f>
        <v>1.752563452671752</v>
      </c>
      <c r="BE5" s="14">
        <f>BD5*VLOOKUP('Données projet'!$B$11,Paramètres!$A$1:$I$89,3,0)*VLOOKUP('Données projet'!$B$11,Paramètres!$A$1:$I$89,5,0)</f>
        <v>0.77463304608091443</v>
      </c>
      <c r="BF5" s="14">
        <f t="shared" ref="BF5:BF68" si="37">EXP(-1.0587+0.8836*LN(BE5)+0.284)</f>
        <v>0.36775391796786178</v>
      </c>
      <c r="BG5" s="22">
        <f t="shared" si="7"/>
        <v>1.9896572957182854</v>
      </c>
      <c r="BH5" s="60">
        <f t="shared" si="8"/>
        <v>295.32299062905162</v>
      </c>
      <c r="BI5" s="60">
        <f ca="1">AVERAGE(OFFSET($BH$3,0,0,'Données projet'!$E$11+1,1))-AVERAGE(OFFSET($H$3,0,0,'Données projet'!$E$11+1,1))</f>
        <v>456.68544269509601</v>
      </c>
      <c r="BJ5" s="60">
        <f t="shared" ref="BJ5:BJ68" si="38">$BJ$3</f>
        <v>417.22363874931852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7.0855203619909508</v>
      </c>
      <c r="BY5" s="13">
        <f>IF('Données projet'!$A$114&gt;35,BY4+BX5-CG4,IF(A5&lt;'Données projet'!$A$114,$BV$205^A5,IF(A5='Données projet'!$A$114,'Données projet'!$B$114,BY4+BX5-CG4)))</f>
        <v>1.3807303231583827</v>
      </c>
      <c r="BZ5" s="14">
        <f>BY5*VLOOKUP('Données projet'!$B$12,Paramètres!$A$1:$I$89,3,0)*VLOOKUP('Données projet'!$B$12,Paramètres!$A$1:$I$89,5,0)</f>
        <v>0.77182825064553595</v>
      </c>
      <c r="CA5" s="14">
        <f t="shared" ref="CA5:CA68" si="39">EXP(-1.0587+0.8836*LN(BZ5)+0.284)</f>
        <v>0.36657709856447462</v>
      </c>
      <c r="CB5" s="22">
        <f t="shared" si="10"/>
        <v>1.982722649874102</v>
      </c>
      <c r="CC5" s="60">
        <f t="shared" si="11"/>
        <v>295.31605598320743</v>
      </c>
      <c r="CD5" s="60">
        <f ca="1">AVERAGE(OFFSET($CC$3,0,0,'Données projet'!$E$12+1,1))-AVERAGE(OFFSET($H$3,0,0,'Données projet'!$E$12+1,1))</f>
        <v>234.38946271740315</v>
      </c>
      <c r="CE5" s="60">
        <f t="shared" ref="CE5:CE68" si="40">$CE$3</f>
        <v>123.9494810355684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0" t="e">
        <f t="shared" si="14"/>
        <v>#N/A</v>
      </c>
      <c r="CY5" s="60" t="e">
        <f ca="1">AVERAGE(OFFSET($CX$3,0,0,'Données projet'!$E$13+1,1))-AVERAGE(OFFSET($H$3,0,0,'Données projet'!$E$13+1,1))</f>
        <v>#N/A</v>
      </c>
      <c r="CZ5" s="60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8">
        <f t="shared" si="1"/>
        <v>296.95635862620634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0">
        <f t="shared" si="0"/>
        <v>297.29973523978072</v>
      </c>
      <c r="S6" s="60">
        <f ca="1">AVERAGE(OFFSET($R$3,0,0,'Données projet'!$E$9+1,1))-AVERAGE(OFFSET($H$3,0,0,'Données projet'!$E$9+1,1))</f>
        <v>314.4389771131751</v>
      </c>
      <c r="T6" s="60">
        <f t="shared" si="34"/>
        <v>176.7239677722049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1.8</v>
      </c>
      <c r="AI6" s="14">
        <f>IF('Données projet'!$A$62&gt;35,AI5+AH6-AQ5,IF(A6&lt;'Données projet'!$A$62,$AF$205^A6,IF(A6='Données projet'!$A$62,'Données projet'!$B$62,AI5+AH6-AQ5)))</f>
        <v>1.4901822153424462</v>
      </c>
      <c r="AJ6" s="14">
        <f>AI6*VLOOKUP('Données projet'!$B$10,Paramètres!$A$1:$I$89,3,0)*VLOOKUP('Données projet'!$B$10,Paramètres!$A$1:$I$89,5,0)</f>
        <v>1.3483168684418452</v>
      </c>
      <c r="AK6" s="14">
        <f t="shared" si="35"/>
        <v>0.60011743963194697</v>
      </c>
      <c r="AL6" s="22">
        <f t="shared" si="4"/>
        <v>3.3935230865618546</v>
      </c>
      <c r="AM6" s="60">
        <f t="shared" si="5"/>
        <v>296.72685641989517</v>
      </c>
      <c r="AN6" s="60">
        <f ca="1">AVERAGE(OFFSET($AM$3,0,0,'Données projet'!$E$10+1,1))-AVERAGE(OFFSET($H$3,0,0,'Données projet'!$E$10+1,1))</f>
        <v>210.85498515082651</v>
      </c>
      <c r="AO6" s="60">
        <f t="shared" si="36"/>
        <v>76.413905647258389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5.5625</v>
      </c>
      <c r="BD6" s="13">
        <f>IF('Données projet'!$A$88&gt;35,BD5+BC6-BL5,IF(A6&lt;'Données projet'!$A$88,$BA$205^A6,IF(A6='Données projet'!$A$88,'Données projet'!$B$88,BD5+BC6-BL5)))</f>
        <v>2.3201209532128519</v>
      </c>
      <c r="BE6" s="14">
        <f>BD6*VLOOKUP('Données projet'!$B$11,Paramètres!$A$1:$I$89,3,0)*VLOOKUP('Données projet'!$B$11,Paramètres!$A$1:$I$89,5,0)</f>
        <v>1.0254934613200808</v>
      </c>
      <c r="BF6" s="14">
        <f t="shared" si="37"/>
        <v>0.47120769216500363</v>
      </c>
      <c r="BG6" s="22">
        <f t="shared" si="7"/>
        <v>2.6067545089865223</v>
      </c>
      <c r="BH6" s="60">
        <f t="shared" si="8"/>
        <v>295.94008784231983</v>
      </c>
      <c r="BI6" s="60">
        <f ca="1">AVERAGE(OFFSET($BH$3,0,0,'Données projet'!$E$11+1,1))-AVERAGE(OFFSET($H$3,0,0,'Données projet'!$E$11+1,1))</f>
        <v>456.68544269509601</v>
      </c>
      <c r="BJ6" s="60">
        <f t="shared" si="38"/>
        <v>417.22363874931852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7.0855203619909508</v>
      </c>
      <c r="BY6" s="13">
        <f>IF('Données projet'!$A$114&gt;35,BY5+BX6-CG5,IF(A6&lt;'Données projet'!$A$114,$BV$205^A6,IF(A6='Données projet'!$A$114,'Données projet'!$B$114,BY5+BX6-CG5)))</f>
        <v>1.6224200106069133</v>
      </c>
      <c r="BZ6" s="14">
        <f>BY6*VLOOKUP('Données projet'!$B$12,Paramètres!$A$1:$I$89,3,0)*VLOOKUP('Données projet'!$B$12,Paramètres!$A$1:$I$89,5,0)</f>
        <v>0.90693278592926463</v>
      </c>
      <c r="CA6" s="14">
        <f t="shared" si="39"/>
        <v>0.42273229272532648</v>
      </c>
      <c r="CB6" s="22">
        <f t="shared" si="10"/>
        <v>2.315833345323413</v>
      </c>
      <c r="CC6" s="60">
        <f t="shared" si="11"/>
        <v>295.64916667865674</v>
      </c>
      <c r="CD6" s="60">
        <f ca="1">AVERAGE(OFFSET($CC$3,0,0,'Données projet'!$E$12+1,1))-AVERAGE(OFFSET($H$3,0,0,'Données projet'!$E$12+1,1))</f>
        <v>234.38946271740315</v>
      </c>
      <c r="CE6" s="60">
        <f t="shared" si="40"/>
        <v>123.9494810355684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0" t="e">
        <f t="shared" si="14"/>
        <v>#N/A</v>
      </c>
      <c r="CY6" s="60" t="e">
        <f ca="1">AVERAGE(OFFSET($CX$3,0,0,'Données projet'!$E$13+1,1))-AVERAGE(OFFSET($H$3,0,0,'Données projet'!$E$13+1,1))</f>
        <v>#N/A</v>
      </c>
      <c r="CZ6" s="60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8">
        <f t="shared" si="1"/>
        <v>298.11530352234041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0">
        <f t="shared" si="0"/>
        <v>298.08350019263929</v>
      </c>
      <c r="S7" s="60">
        <f ca="1">AVERAGE(OFFSET($R$3,0,0,'Données projet'!$E$9+1,1))-AVERAGE(OFFSET($H$3,0,0,'Données projet'!$E$9+1,1))</f>
        <v>314.4389771131751</v>
      </c>
      <c r="T7" s="60">
        <f t="shared" si="34"/>
        <v>176.7239677722049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1.8</v>
      </c>
      <c r="AI7" s="14">
        <f>IF('Données projet'!$A$62&gt;35,AI6+AH7-AQ6,IF(A7&lt;'Données projet'!$A$62,$AF$205^A7,IF(A7='Données projet'!$A$62,'Données projet'!$B$62,AI6+AH7-AQ6)))</f>
        <v>1.70210299009891</v>
      </c>
      <c r="AJ7" s="14">
        <f>AI7*VLOOKUP('Données projet'!$B$10,Paramètres!$A$1:$I$89,3,0)*VLOOKUP('Données projet'!$B$10,Paramètres!$A$1:$I$89,5,0)</f>
        <v>1.5400627854414937</v>
      </c>
      <c r="AK7" s="14">
        <f t="shared" si="35"/>
        <v>0.67493355269001643</v>
      </c>
      <c r="AL7" s="22">
        <f t="shared" si="4"/>
        <v>3.85778528891238</v>
      </c>
      <c r="AM7" s="60">
        <f t="shared" si="5"/>
        <v>297.19111862224571</v>
      </c>
      <c r="AN7" s="60">
        <f ca="1">AVERAGE(OFFSET($AM$3,0,0,'Données projet'!$E$10+1,1))-AVERAGE(OFFSET($H$3,0,0,'Données projet'!$E$10+1,1))</f>
        <v>210.85498515082651</v>
      </c>
      <c r="AO7" s="60">
        <f t="shared" si="36"/>
        <v>76.413905647258389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5.5625</v>
      </c>
      <c r="BD7" s="13">
        <f>IF('Données projet'!$A$88&gt;35,BD6+BC7-BL6,IF(A7&lt;'Données projet'!$A$88,$BA$205^A7,IF(A7='Données projet'!$A$88,'Données projet'!$B$88,BD6+BC7-BL6)))</f>
        <v>3.0714786556407323</v>
      </c>
      <c r="BE7" s="14">
        <f>BD7*VLOOKUP('Données projet'!$B$11,Paramètres!$A$1:$I$89,3,0)*VLOOKUP('Données projet'!$B$11,Paramètres!$A$1:$I$89,5,0)</f>
        <v>1.3575935657932039</v>
      </c>
      <c r="BF7" s="14">
        <f t="shared" si="37"/>
        <v>0.60376430625784028</v>
      </c>
      <c r="BG7" s="22">
        <f t="shared" si="7"/>
        <v>3.4160316271555686</v>
      </c>
      <c r="BH7" s="60">
        <f t="shared" si="8"/>
        <v>296.74936496048889</v>
      </c>
      <c r="BI7" s="60">
        <f ca="1">AVERAGE(OFFSET($BH$3,0,0,'Données projet'!$E$11+1,1))-AVERAGE(OFFSET($H$3,0,0,'Données projet'!$E$11+1,1))</f>
        <v>456.68544269509601</v>
      </c>
      <c r="BJ7" s="60">
        <f t="shared" si="38"/>
        <v>417.22363874931852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7.0855203619909508</v>
      </c>
      <c r="BY7" s="13">
        <f>IF('Données projet'!$A$114&gt;35,BY6+BX7-CG6,IF(A7&lt;'Données projet'!$A$114,$BV$205^A7,IF(A7='Données projet'!$A$114,'Données projet'!$B$114,BY6+BX7-CG6)))</f>
        <v>1.906416225289052</v>
      </c>
      <c r="BZ7" s="14">
        <f>BY7*VLOOKUP('Données projet'!$B$12,Paramètres!$A$1:$I$89,3,0)*VLOOKUP('Données projet'!$B$12,Paramètres!$A$1:$I$89,5,0)</f>
        <v>1.0656866699365801</v>
      </c>
      <c r="CA7" s="14">
        <f t="shared" si="39"/>
        <v>0.48748978594848141</v>
      </c>
      <c r="CB7" s="22">
        <f t="shared" si="10"/>
        <v>2.7051156606664821</v>
      </c>
      <c r="CC7" s="60">
        <f t="shared" si="11"/>
        <v>296.03844899399979</v>
      </c>
      <c r="CD7" s="60">
        <f ca="1">AVERAGE(OFFSET($CC$3,0,0,'Données projet'!$E$12+1,1))-AVERAGE(OFFSET($H$3,0,0,'Données projet'!$E$12+1,1))</f>
        <v>234.38946271740315</v>
      </c>
      <c r="CE7" s="60">
        <f t="shared" si="40"/>
        <v>123.9494810355684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0" t="e">
        <f t="shared" si="14"/>
        <v>#N/A</v>
      </c>
      <c r="CY7" s="60" t="e">
        <f ca="1">AVERAGE(OFFSET($CX$3,0,0,'Données projet'!$E$13+1,1))-AVERAGE(OFFSET($H$3,0,0,'Données projet'!$E$13+1,1))</f>
        <v>#N/A</v>
      </c>
      <c r="CZ7" s="60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8">
        <f t="shared" si="1"/>
        <v>299.26493332067207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0">
        <f t="shared" si="0"/>
        <v>299.02270258510697</v>
      </c>
      <c r="S8" s="60">
        <f ca="1">AVERAGE(OFFSET($R$3,0,0,'Données projet'!$E$9+1,1))-AVERAGE(OFFSET($H$3,0,0,'Données projet'!$E$9+1,1))</f>
        <v>314.4389771131751</v>
      </c>
      <c r="T8" s="60">
        <f t="shared" si="34"/>
        <v>176.7239677722049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1.8</v>
      </c>
      <c r="AI8" s="14">
        <f>IF('Données projet'!$A$62&gt;35,AI7+AH8-AQ7,IF(A8&lt;'Données projet'!$A$62,$AF$205^A8,IF(A8='Données projet'!$A$62,'Données projet'!$B$62,AI7+AH8-AQ7)))</f>
        <v>1.9441612972396662</v>
      </c>
      <c r="AJ8" s="14">
        <f>AI8*VLOOKUP('Données projet'!$B$10,Paramètres!$A$1:$I$89,3,0)*VLOOKUP('Données projet'!$B$10,Paramètres!$A$1:$I$89,5,0)</f>
        <v>1.7590771417424498</v>
      </c>
      <c r="AK8" s="14">
        <f t="shared" si="35"/>
        <v>0.75907692472018096</v>
      </c>
      <c r="AL8" s="22">
        <f t="shared" si="4"/>
        <v>4.3857849990890818</v>
      </c>
      <c r="AM8" s="60">
        <f t="shared" si="5"/>
        <v>297.7191183324224</v>
      </c>
      <c r="AN8" s="60">
        <f ca="1">AVERAGE(OFFSET($AM$3,0,0,'Données projet'!$E$10+1,1))-AVERAGE(OFFSET($H$3,0,0,'Données projet'!$E$10+1,1))</f>
        <v>210.85498515082651</v>
      </c>
      <c r="AO8" s="60">
        <f t="shared" si="36"/>
        <v>76.413905647258389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5.5625</v>
      </c>
      <c r="BD8" s="13">
        <f>IF('Données projet'!$A$88&gt;35,BD7+BC8-BL7,IF(A8&lt;'Données projet'!$A$88,$BA$205^A8,IF(A8='Données projet'!$A$88,'Données projet'!$B$88,BD7+BC8-BL7)))</f>
        <v>4.0661591883787924</v>
      </c>
      <c r="BE8" s="14">
        <f>BD8*VLOOKUP('Données projet'!$B$11,Paramètres!$A$1:$I$89,3,0)*VLOOKUP('Données projet'!$B$11,Paramètres!$A$1:$I$89,5,0)</f>
        <v>1.7972423612634265</v>
      </c>
      <c r="BF8" s="14">
        <f t="shared" si="37"/>
        <v>0.77361075290630565</v>
      </c>
      <c r="BG8" s="22">
        <f t="shared" si="7"/>
        <v>4.4775691738456169</v>
      </c>
      <c r="BH8" s="60">
        <f t="shared" si="8"/>
        <v>297.81090250717892</v>
      </c>
      <c r="BI8" s="60">
        <f ca="1">AVERAGE(OFFSET($BH$3,0,0,'Données projet'!$E$11+1,1))-AVERAGE(OFFSET($H$3,0,0,'Données projet'!$E$11+1,1))</f>
        <v>456.68544269509601</v>
      </c>
      <c r="BJ8" s="60">
        <f t="shared" si="38"/>
        <v>417.22363874931852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7.0855203619909508</v>
      </c>
      <c r="BY8" s="13">
        <f>IF('Données projet'!$A$114&gt;35,BY7+BX8-CG7,IF(A8&lt;'Données projet'!$A$114,$BV$205^A8,IF(A8='Données projet'!$A$114,'Données projet'!$B$114,BY7+BX8-CG7)))</f>
        <v>2.2401245055439101</v>
      </c>
      <c r="BZ8" s="14">
        <f>BY8*VLOOKUP('Données projet'!$B$12,Paramètres!$A$1:$I$89,3,0)*VLOOKUP('Données projet'!$B$12,Paramètres!$A$1:$I$89,5,0)</f>
        <v>1.2522295985990457</v>
      </c>
      <c r="CA8" s="14">
        <f t="shared" si="39"/>
        <v>0.56216734679058133</v>
      </c>
      <c r="CB8" s="22">
        <f t="shared" si="10"/>
        <v>3.1600746798869337</v>
      </c>
      <c r="CC8" s="60">
        <f t="shared" si="11"/>
        <v>296.49340801322023</v>
      </c>
      <c r="CD8" s="60">
        <f ca="1">AVERAGE(OFFSET($CC$3,0,0,'Données projet'!$E$12+1,1))-AVERAGE(OFFSET($H$3,0,0,'Données projet'!$E$12+1,1))</f>
        <v>234.38946271740315</v>
      </c>
      <c r="CE8" s="60">
        <f t="shared" si="40"/>
        <v>123.9494810355684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0" t="e">
        <f t="shared" si="14"/>
        <v>#N/A</v>
      </c>
      <c r="CY8" s="60" t="e">
        <f ca="1">AVERAGE(OFFSET($CX$3,0,0,'Données projet'!$E$13+1,1))-AVERAGE(OFFSET($H$3,0,0,'Données projet'!$E$13+1,1))</f>
        <v>#N/A</v>
      </c>
      <c r="CZ8" s="60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8">
        <f t="shared" si="1"/>
        <v>300.40733532985558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0">
        <f t="shared" si="0"/>
        <v>300.14827444069743</v>
      </c>
      <c r="S9" s="60">
        <f ca="1">AVERAGE(OFFSET($R$3,0,0,'Données projet'!$E$9+1,1))-AVERAGE(OFFSET($H$3,0,0,'Données projet'!$E$9+1,1))</f>
        <v>314.4389771131751</v>
      </c>
      <c r="T9" s="60">
        <f t="shared" si="34"/>
        <v>176.7239677722049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1.8</v>
      </c>
      <c r="AI9" s="14">
        <f>IF('Données projet'!$A$62&gt;35,AI8+AH9-AQ8,IF(A9&lt;'Données projet'!$A$62,$AF$205^A9,IF(A9='Données projet'!$A$62,'Données projet'!$B$62,AI8+AH9-AQ8)))</f>
        <v>2.2206430349229209</v>
      </c>
      <c r="AJ9" s="14">
        <f>AI9*VLOOKUP('Données projet'!$B$10,Paramètres!$A$1:$I$89,3,0)*VLOOKUP('Données projet'!$B$10,Paramètres!$A$1:$I$89,5,0)</f>
        <v>2.0092378179982586</v>
      </c>
      <c r="AK9" s="14">
        <f t="shared" si="35"/>
        <v>0.85371037688992113</v>
      </c>
      <c r="AL9" s="22">
        <f t="shared" si="4"/>
        <v>4.9863014394302461</v>
      </c>
      <c r="AM9" s="60">
        <f t="shared" si="5"/>
        <v>298.31963477276355</v>
      </c>
      <c r="AN9" s="60">
        <f ca="1">AVERAGE(OFFSET($AM$3,0,0,'Données projet'!$E$10+1,1))-AVERAGE(OFFSET($H$3,0,0,'Données projet'!$E$10+1,1))</f>
        <v>210.85498515082651</v>
      </c>
      <c r="AO9" s="60">
        <f t="shared" si="36"/>
        <v>76.413905647258389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5.5625</v>
      </c>
      <c r="BD9" s="13">
        <f>IF('Données projet'!$A$88&gt;35,BD8+BC9-BL8,IF(A9&lt;'Données projet'!$A$88,$BA$205^A9,IF(A9='Données projet'!$A$88,'Données projet'!$B$88,BD8+BC9-BL8)))</f>
        <v>5.3829612375373133</v>
      </c>
      <c r="BE9" s="14">
        <f>BD9*VLOOKUP('Données projet'!$B$11,Paramètres!$A$1:$I$89,3,0)*VLOOKUP('Données projet'!$B$11,Paramètres!$A$1:$I$89,5,0)</f>
        <v>2.379268866991493</v>
      </c>
      <c r="BF9" s="14">
        <f t="shared" si="37"/>
        <v>0.99123712814629417</v>
      </c>
      <c r="BG9" s="22">
        <f t="shared" si="7"/>
        <v>5.8702979415316454</v>
      </c>
      <c r="BH9" s="60">
        <f t="shared" si="8"/>
        <v>299.20363127486496</v>
      </c>
      <c r="BI9" s="60">
        <f ca="1">AVERAGE(OFFSET($BH$3,0,0,'Données projet'!$E$11+1,1))-AVERAGE(OFFSET($H$3,0,0,'Données projet'!$E$11+1,1))</f>
        <v>456.68544269509601</v>
      </c>
      <c r="BJ9" s="60">
        <f t="shared" si="38"/>
        <v>417.22363874931852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7.0855203619909508</v>
      </c>
      <c r="BY9" s="13">
        <f>IF('Données projet'!$A$114&gt;35,BY8+BX9-CG8,IF(A9&lt;'Données projet'!$A$114,$BV$205^A9,IF(A9='Données projet'!$A$114,'Données projet'!$B$114,BY8+BX9-CG8)))</f>
        <v>2.6322466908177371</v>
      </c>
      <c r="BZ9" s="14">
        <f>BY9*VLOOKUP('Données projet'!$B$12,Paramètres!$A$1:$I$89,3,0)*VLOOKUP('Données projet'!$B$12,Paramètres!$A$1:$I$89,5,0)</f>
        <v>1.4714259001671151</v>
      </c>
      <c r="CA9" s="14">
        <f t="shared" si="39"/>
        <v>0.64828461007172888</v>
      </c>
      <c r="CB9" s="22">
        <f t="shared" si="10"/>
        <v>3.6918291386659861</v>
      </c>
      <c r="CC9" s="60">
        <f t="shared" si="11"/>
        <v>297.02516247199929</v>
      </c>
      <c r="CD9" s="60">
        <f ca="1">AVERAGE(OFFSET($CC$3,0,0,'Données projet'!$E$12+1,1))-AVERAGE(OFFSET($H$3,0,0,'Données projet'!$E$12+1,1))</f>
        <v>234.38946271740315</v>
      </c>
      <c r="CE9" s="60">
        <f t="shared" si="40"/>
        <v>123.9494810355684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0" t="e">
        <f t="shared" si="14"/>
        <v>#N/A</v>
      </c>
      <c r="CY9" s="60" t="e">
        <f ca="1">AVERAGE(OFFSET($CX$3,0,0,'Données projet'!$E$13+1,1))-AVERAGE(OFFSET($H$3,0,0,'Données projet'!$E$13+1,1))</f>
        <v>#N/A</v>
      </c>
      <c r="CZ9" s="60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8">
        <f t="shared" si="1"/>
        <v>301.54385515707349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0">
        <f t="shared" si="0"/>
        <v>301.49732286519185</v>
      </c>
      <c r="S10" s="60">
        <f ca="1">AVERAGE(OFFSET($R$3,0,0,'Données projet'!$E$9+1,1))-AVERAGE(OFFSET($H$3,0,0,'Données projet'!$E$9+1,1))</f>
        <v>314.4389771131751</v>
      </c>
      <c r="T10" s="60">
        <f t="shared" si="34"/>
        <v>176.7239677722049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1.8</v>
      </c>
      <c r="AI10" s="14">
        <f>IF('Données projet'!$A$62&gt;35,AI9+AH10-AQ9,IF(A10&lt;'Données projet'!$A$62,$AF$205^A10,IF(A10='Données projet'!$A$62,'Données projet'!$B$62,AI9+AH10-AQ9)))</f>
        <v>2.5364436045265957</v>
      </c>
      <c r="AJ10" s="14">
        <f>AI10*VLOOKUP('Données projet'!$B$10,Paramètres!$A$1:$I$89,3,0)*VLOOKUP('Données projet'!$B$10,Paramètres!$A$1:$I$89,5,0)</f>
        <v>2.2949741733756639</v>
      </c>
      <c r="AK10" s="14">
        <f t="shared" si="35"/>
        <v>0.96014169825831175</v>
      </c>
      <c r="AL10" s="22">
        <f t="shared" si="4"/>
        <v>5.6693268097625067</v>
      </c>
      <c r="AM10" s="60">
        <f t="shared" si="5"/>
        <v>299.0026601430958</v>
      </c>
      <c r="AN10" s="60">
        <f ca="1">AVERAGE(OFFSET($AM$3,0,0,'Données projet'!$E$10+1,1))-AVERAGE(OFFSET($H$3,0,0,'Données projet'!$E$10+1,1))</f>
        <v>210.85498515082651</v>
      </c>
      <c r="AO10" s="60">
        <f t="shared" si="36"/>
        <v>76.413905647258389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5.5625</v>
      </c>
      <c r="BD10" s="13">
        <f>IF('Données projet'!$A$88&gt;35,BD9+BC10-BL9,IF(A10&lt;'Données projet'!$A$88,$BA$205^A10,IF(A10='Données projet'!$A$88,'Données projet'!$B$88,BD9+BC10-BL9)))</f>
        <v>7.1262019862981045</v>
      </c>
      <c r="BE10" s="14">
        <f>BD10*VLOOKUP('Données projet'!$B$11,Paramètres!$A$1:$I$89,3,0)*VLOOKUP('Données projet'!$B$11,Paramètres!$A$1:$I$89,5,0)</f>
        <v>3.1497812779437626</v>
      </c>
      <c r="BF10" s="14">
        <f t="shared" si="37"/>
        <v>1.2700845231590416</v>
      </c>
      <c r="BG10" s="22">
        <f t="shared" si="7"/>
        <v>7.6979329369207159</v>
      </c>
      <c r="BH10" s="60">
        <f t="shared" si="8"/>
        <v>301.03126627025404</v>
      </c>
      <c r="BI10" s="60">
        <f ca="1">AVERAGE(OFFSET($BH$3,0,0,'Données projet'!$E$11+1,1))-AVERAGE(OFFSET($H$3,0,0,'Données projet'!$E$11+1,1))</f>
        <v>456.68544269509601</v>
      </c>
      <c r="BJ10" s="60">
        <f t="shared" si="38"/>
        <v>417.22363874931852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7.0855203619909508</v>
      </c>
      <c r="BY10" s="13">
        <f>IF('Données projet'!$A$114&gt;35,BY9+BX10-CG9,IF(A10&lt;'Données projet'!$A$114,$BV$205^A10,IF(A10='Données projet'!$A$114,'Données projet'!$B$114,BY9+BX10-CG9)))</f>
        <v>3.0930078324546555</v>
      </c>
      <c r="BZ10" s="14">
        <f>BY10*VLOOKUP('Données projet'!$B$12,Paramètres!$A$1:$I$89,3,0)*VLOOKUP('Données projet'!$B$12,Paramètres!$A$1:$I$89,5,0)</f>
        <v>1.7289913783421524</v>
      </c>
      <c r="CA10" s="14">
        <f t="shared" si="39"/>
        <v>0.74759400035451307</v>
      </c>
      <c r="CB10" s="22">
        <f t="shared" si="10"/>
        <v>4.3133862012300259</v>
      </c>
      <c r="CC10" s="60">
        <f t="shared" si="11"/>
        <v>297.64671953456332</v>
      </c>
      <c r="CD10" s="60">
        <f ca="1">AVERAGE(OFFSET($CC$3,0,0,'Données projet'!$E$12+1,1))-AVERAGE(OFFSET($H$3,0,0,'Données projet'!$E$12+1,1))</f>
        <v>234.38946271740315</v>
      </c>
      <c r="CE10" s="60">
        <f t="shared" si="40"/>
        <v>123.9494810355684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0" t="e">
        <f t="shared" si="14"/>
        <v>#N/A</v>
      </c>
      <c r="CY10" s="60" t="e">
        <f ca="1">AVERAGE(OFFSET($CX$3,0,0,'Données projet'!$E$13+1,1))-AVERAGE(OFFSET($H$3,0,0,'Données projet'!$E$13+1,1))</f>
        <v>#N/A</v>
      </c>
      <c r="CZ10" s="60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8">
        <f t="shared" si="1"/>
        <v>302.675430070853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0">
        <f t="shared" si="0"/>
        <v>303.11436643935451</v>
      </c>
      <c r="S11" s="60">
        <f ca="1">AVERAGE(OFFSET($R$3,0,0,'Données projet'!$E$9+1,1))-AVERAGE(OFFSET($H$3,0,0,'Données projet'!$E$9+1,1))</f>
        <v>314.4389771131751</v>
      </c>
      <c r="T11" s="60">
        <f t="shared" si="34"/>
        <v>176.7239677722049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1.8</v>
      </c>
      <c r="AI11" s="14">
        <f>IF('Données projet'!$A$62&gt;35,AI10+AH11-AQ10,IF(A11&lt;'Données projet'!$A$62,$AF$205^A11,IF(A11='Données projet'!$A$62,'Données projet'!$B$62,AI10+AH11-AQ10)))</f>
        <v>2.8971545889036499</v>
      </c>
      <c r="AJ11" s="14">
        <f>AI11*VLOOKUP('Données projet'!$B$10,Paramètres!$A$1:$I$89,3,0)*VLOOKUP('Données projet'!$B$10,Paramètres!$A$1:$I$89,5,0)</f>
        <v>2.621345472040022</v>
      </c>
      <c r="AK11" s="14">
        <f t="shared" si="35"/>
        <v>1.0798417187954861</v>
      </c>
      <c r="AL11" s="22">
        <f t="shared" si="4"/>
        <v>6.4462343573718428</v>
      </c>
      <c r="AM11" s="60">
        <f t="shared" si="5"/>
        <v>299.77956769070516</v>
      </c>
      <c r="AN11" s="60">
        <f ca="1">AVERAGE(OFFSET($AM$3,0,0,'Données projet'!$E$10+1,1))-AVERAGE(OFFSET($H$3,0,0,'Données projet'!$E$10+1,1))</f>
        <v>210.85498515082651</v>
      </c>
      <c r="AO11" s="60">
        <f t="shared" si="36"/>
        <v>76.413905647258389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5.5625</v>
      </c>
      <c r="BD11" s="13">
        <f>IF('Données projet'!$A$88&gt;35,BD10+BC11-BL10,IF(A11&lt;'Données projet'!$A$88,$BA$205^A11,IF(A11='Données projet'!$A$88,'Données projet'!$B$88,BD10+BC11-BL10)))</f>
        <v>9.4339811320565996</v>
      </c>
      <c r="BE11" s="14">
        <f>BD11*VLOOKUP('Données projet'!$B$11,Paramètres!$A$1:$I$89,3,0)*VLOOKUP('Données projet'!$B$11,Paramètres!$A$1:$I$89,5,0)</f>
        <v>4.1698196603690176</v>
      </c>
      <c r="BF11" s="14">
        <f t="shared" si="37"/>
        <v>1.6273751760941455</v>
      </c>
      <c r="BG11" s="22">
        <f t="shared" si="7"/>
        <v>10.096781006840009</v>
      </c>
      <c r="BH11" s="60">
        <f t="shared" si="8"/>
        <v>303.4301143401733</v>
      </c>
      <c r="BI11" s="60">
        <f ca="1">AVERAGE(OFFSET($BH$3,0,0,'Données projet'!$E$11+1,1))-AVERAGE(OFFSET($H$3,0,0,'Données projet'!$E$11+1,1))</f>
        <v>456.68544269509601</v>
      </c>
      <c r="BJ11" s="60">
        <f t="shared" si="38"/>
        <v>417.22363874931852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7.0855203619909508</v>
      </c>
      <c r="BY11" s="13">
        <f>IF('Données projet'!$A$114&gt;35,BY10+BX11-CG10,IF(A11&lt;'Données projet'!$A$114,$BV$205^A11,IF(A11='Données projet'!$A$114,'Données projet'!$B$114,BY10+BX11-CG10)))</f>
        <v>3.6344228240453575</v>
      </c>
      <c r="BZ11" s="14">
        <f>BY11*VLOOKUP('Données projet'!$B$12,Paramètres!$A$1:$I$89,3,0)*VLOOKUP('Données projet'!$B$12,Paramètres!$A$1:$I$89,5,0)</f>
        <v>2.031642358641355</v>
      </c>
      <c r="CA11" s="14">
        <f t="shared" si="39"/>
        <v>0.8621163925273887</v>
      </c>
      <c r="CB11" s="22">
        <f t="shared" si="10"/>
        <v>5.0399631582855617</v>
      </c>
      <c r="CC11" s="60">
        <f t="shared" si="11"/>
        <v>298.37329649161887</v>
      </c>
      <c r="CD11" s="60">
        <f ca="1">AVERAGE(OFFSET($CC$3,0,0,'Données projet'!$E$12+1,1))-AVERAGE(OFFSET($H$3,0,0,'Données projet'!$E$12+1,1))</f>
        <v>234.38946271740315</v>
      </c>
      <c r="CE11" s="60">
        <f t="shared" si="40"/>
        <v>123.9494810355684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0" t="e">
        <f t="shared" si="14"/>
        <v>#N/A</v>
      </c>
      <c r="CY11" s="60" t="e">
        <f ca="1">AVERAGE(OFFSET($CX$3,0,0,'Données projet'!$E$13+1,1))-AVERAGE(OFFSET($H$3,0,0,'Données projet'!$E$13+1,1))</f>
        <v>#N/A</v>
      </c>
      <c r="CZ11" s="60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8">
        <f t="shared" si="1"/>
        <v>303.80274897548452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0">
        <f t="shared" si="0"/>
        <v>305.05281983783436</v>
      </c>
      <c r="S12" s="60">
        <f ca="1">AVERAGE(OFFSET($R$3,0,0,'Données projet'!$E$9+1,1))-AVERAGE(OFFSET($H$3,0,0,'Données projet'!$E$9+1,1))</f>
        <v>314.4389771131751</v>
      </c>
      <c r="T12" s="60">
        <f t="shared" si="34"/>
        <v>176.7239677722049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1.8</v>
      </c>
      <c r="AI12" s="14">
        <f>IF('Données projet'!$A$62&gt;35,AI11+AH12-AQ11,IF(A12&lt;'Données projet'!$A$62,$AF$205^A12,IF(A12='Données projet'!$A$62,'Données projet'!$B$62,AI11+AH12-AQ11)))</f>
        <v>3.3091627572662112</v>
      </c>
      <c r="AJ12" s="14">
        <f>AI12*VLOOKUP('Données projet'!$B$10,Paramètres!$A$1:$I$89,3,0)*VLOOKUP('Données projet'!$B$10,Paramètres!$A$1:$I$89,5,0)</f>
        <v>2.9941304627744678</v>
      </c>
      <c r="AK12" s="14">
        <f t="shared" si="35"/>
        <v>1.2144646355495323</v>
      </c>
      <c r="AL12" s="22">
        <f t="shared" si="4"/>
        <v>7.3299697962476342</v>
      </c>
      <c r="AM12" s="60">
        <f t="shared" si="5"/>
        <v>300.66330312958092</v>
      </c>
      <c r="AN12" s="60">
        <f ca="1">AVERAGE(OFFSET($AM$3,0,0,'Données projet'!$E$10+1,1))-AVERAGE(OFFSET($H$3,0,0,'Données projet'!$E$10+1,1))</f>
        <v>210.85498515082651</v>
      </c>
      <c r="AO12" s="60">
        <f t="shared" si="36"/>
        <v>76.413905647258389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5.5625</v>
      </c>
      <c r="BD12" s="13">
        <f>IF('Données projet'!$A$88&gt;35,BD11+BC12-BL11,IF(A12&lt;'Données projet'!$A$88,$BA$205^A12,IF(A12='Données projet'!$A$88,'Données projet'!$B$88,BD11+BC12-BL11)))</f>
        <v>12.489121157542904</v>
      </c>
      <c r="BE12" s="14">
        <f>BD12*VLOOKUP('Données projet'!$B$11,Paramètres!$A$1:$I$89,3,0)*VLOOKUP('Données projet'!$B$11,Paramètres!$A$1:$I$89,5,0)</f>
        <v>5.5201915516339639</v>
      </c>
      <c r="BF12" s="14">
        <f t="shared" si="37"/>
        <v>2.0851761559776296</v>
      </c>
      <c r="BG12" s="22">
        <f t="shared" si="7"/>
        <v>13.24601542409019</v>
      </c>
      <c r="BH12" s="60">
        <f t="shared" si="8"/>
        <v>306.57934875742353</v>
      </c>
      <c r="BI12" s="60">
        <f ca="1">AVERAGE(OFFSET($BH$3,0,0,'Données projet'!$E$11+1,1))-AVERAGE(OFFSET($H$3,0,0,'Données projet'!$E$11+1,1))</f>
        <v>456.68544269509601</v>
      </c>
      <c r="BJ12" s="60">
        <f t="shared" si="38"/>
        <v>417.22363874931852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7.0855203619909508</v>
      </c>
      <c r="BY12" s="13">
        <f>IF('Données projet'!$A$114&gt;35,BY11+BX12-CG11,IF(A12&lt;'Données projet'!$A$114,$BV$205^A12,IF(A12='Données projet'!$A$114,'Données projet'!$B$114,BY11+BX12-CG11)))</f>
        <v>4.2706097040365254</v>
      </c>
      <c r="BZ12" s="14">
        <f>BY12*VLOOKUP('Données projet'!$B$12,Paramètres!$A$1:$I$89,3,0)*VLOOKUP('Données projet'!$B$12,Paramètres!$A$1:$I$89,5,0)</f>
        <v>2.3872708245564178</v>
      </c>
      <c r="CA12" s="14">
        <f t="shared" si="39"/>
        <v>0.9941822351597096</v>
      </c>
      <c r="CB12" s="22">
        <f t="shared" si="10"/>
        <v>5.8893640790055883</v>
      </c>
      <c r="CC12" s="60">
        <f t="shared" si="11"/>
        <v>299.2226974123389</v>
      </c>
      <c r="CD12" s="60">
        <f ca="1">AVERAGE(OFFSET($CC$3,0,0,'Données projet'!$E$12+1,1))-AVERAGE(OFFSET($H$3,0,0,'Données projet'!$E$12+1,1))</f>
        <v>234.38946271740315</v>
      </c>
      <c r="CE12" s="60">
        <f t="shared" si="40"/>
        <v>123.9494810355684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0" t="e">
        <f t="shared" si="14"/>
        <v>#N/A</v>
      </c>
      <c r="CY12" s="60" t="e">
        <f ca="1">AVERAGE(OFFSET($CX$3,0,0,'Données projet'!$E$13+1,1))-AVERAGE(OFFSET($H$3,0,0,'Données projet'!$E$13+1,1))</f>
        <v>#N/A</v>
      </c>
      <c r="CZ12" s="60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8">
        <f t="shared" si="1"/>
        <v>304.92633870438061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0">
        <f t="shared" si="0"/>
        <v>307.37677663358653</v>
      </c>
      <c r="S13" s="60">
        <f ca="1">AVERAGE(OFFSET($R$3,0,0,'Données projet'!$E$9+1,1))-AVERAGE(OFFSET($H$3,0,0,'Données projet'!$E$9+1,1))</f>
        <v>314.4389771131751</v>
      </c>
      <c r="T13" s="60">
        <f t="shared" si="34"/>
        <v>176.7239677722049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1.8</v>
      </c>
      <c r="AI13" s="14">
        <f>IF('Données projet'!$A$62&gt;35,AI12+AH13-AQ12,IF(A13&lt;'Données projet'!$A$62,$AF$205^A13,IF(A13='Données projet'!$A$62,'Données projet'!$B$62,AI12+AH13-AQ12)))</f>
        <v>3.7797631496846216</v>
      </c>
      <c r="AJ13" s="14">
        <f>AI13*VLOOKUP('Données projet'!$B$10,Paramètres!$A$1:$I$89,3,0)*VLOOKUP('Données projet'!$B$10,Paramètres!$A$1:$I$89,5,0)</f>
        <v>3.4199296978346454</v>
      </c>
      <c r="AK13" s="14">
        <f t="shared" si="35"/>
        <v>1.3658708728587274</v>
      </c>
      <c r="AL13" s="22">
        <f t="shared" si="4"/>
        <v>8.3352693272909573</v>
      </c>
      <c r="AM13" s="60">
        <f t="shared" si="5"/>
        <v>301.66860266062429</v>
      </c>
      <c r="AN13" s="60">
        <f ca="1">AVERAGE(OFFSET($AM$3,0,0,'Données projet'!$E$10+1,1))-AVERAGE(OFFSET($H$3,0,0,'Données projet'!$E$10+1,1))</f>
        <v>210.85498515082651</v>
      </c>
      <c r="AO13" s="60">
        <f t="shared" si="36"/>
        <v>76.413905647258389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5.5625</v>
      </c>
      <c r="BD13" s="13">
        <f>IF('Données projet'!$A$88&gt;35,BD12+BC13-BL12,IF(A13&lt;'Données projet'!$A$88,$BA$205^A13,IF(A13='Données projet'!$A$88,'Données projet'!$B$88,BD12+BC13-BL12)))</f>
        <v>16.533650545237279</v>
      </c>
      <c r="BE13" s="14">
        <f>BD13*VLOOKUP('Données projet'!$B$11,Paramètres!$A$1:$I$89,3,0)*VLOOKUP('Données projet'!$B$11,Paramètres!$A$1:$I$89,5,0)</f>
        <v>7.3078735409948781</v>
      </c>
      <c r="BF13" s="14">
        <f t="shared" si="37"/>
        <v>2.671762274199831</v>
      </c>
      <c r="BG13" s="22">
        <f t="shared" si="7"/>
        <v>17.381199044797452</v>
      </c>
      <c r="BH13" s="60">
        <f t="shared" si="8"/>
        <v>310.71453237813074</v>
      </c>
      <c r="BI13" s="60">
        <f ca="1">AVERAGE(OFFSET($BH$3,0,0,'Données projet'!$E$11+1,1))-AVERAGE(OFFSET($H$3,0,0,'Données projet'!$E$11+1,1))</f>
        <v>456.68544269509601</v>
      </c>
      <c r="BJ13" s="60">
        <f t="shared" si="38"/>
        <v>417.22363874931852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7.0855203619909508</v>
      </c>
      <c r="BY13" s="13">
        <f>IF('Données projet'!$A$114&gt;35,BY12+BX13-CG12,IF(A13&lt;'Données projet'!$A$114,$BV$205^A13,IF(A13='Données projet'!$A$114,'Données projet'!$B$114,BY12+BX13-CG12)))</f>
        <v>5.0181578003383489</v>
      </c>
      <c r="BZ13" s="14">
        <f>BY13*VLOOKUP('Données projet'!$B$12,Paramètres!$A$1:$I$89,3,0)*VLOOKUP('Données projet'!$B$12,Paramètres!$A$1:$I$89,5,0)</f>
        <v>2.805150210389137</v>
      </c>
      <c r="CA13" s="14">
        <f t="shared" si="39"/>
        <v>1.1464789734592078</v>
      </c>
      <c r="CB13" s="22">
        <f t="shared" si="10"/>
        <v>6.8824208285358672</v>
      </c>
      <c r="CC13" s="60">
        <f t="shared" si="11"/>
        <v>300.2157541618692</v>
      </c>
      <c r="CD13" s="60">
        <f ca="1">AVERAGE(OFFSET($CC$3,0,0,'Données projet'!$E$12+1,1))-AVERAGE(OFFSET($H$3,0,0,'Données projet'!$E$12+1,1))</f>
        <v>234.38946271740315</v>
      </c>
      <c r="CE13" s="60">
        <f t="shared" si="40"/>
        <v>123.9494810355684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0" t="e">
        <f t="shared" si="14"/>
        <v>#N/A</v>
      </c>
      <c r="CY13" s="60" t="e">
        <f ca="1">AVERAGE(OFFSET($CX$3,0,0,'Données projet'!$E$13+1,1))-AVERAGE(OFFSET($H$3,0,0,'Données projet'!$E$13+1,1))</f>
        <v>#N/A</v>
      </c>
      <c r="CZ13" s="60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8">
        <f t="shared" si="1"/>
        <v>306.04661462698317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0">
        <f t="shared" si="0"/>
        <v>310.1631503249921</v>
      </c>
      <c r="S14" s="60">
        <f ca="1">AVERAGE(OFFSET($R$3,0,0,'Données projet'!$E$9+1,1))-AVERAGE(OFFSET($H$3,0,0,'Données projet'!$E$9+1,1))</f>
        <v>314.4389771131751</v>
      </c>
      <c r="T14" s="60">
        <f t="shared" si="34"/>
        <v>176.7239677722049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1.8</v>
      </c>
      <c r="AI14" s="14">
        <f>IF('Données projet'!$A$62&gt;35,AI13+AH14-AQ13,IF(A14&lt;'Données projet'!$A$62,$AF$205^A14,IF(A14='Données projet'!$A$62,'Données projet'!$B$62,AI13+AH14-AQ13)))</f>
        <v>4.3172882434819746</v>
      </c>
      <c r="AJ14" s="14">
        <f>AI14*VLOOKUP('Données projet'!$B$10,Paramètres!$A$1:$I$89,3,0)*VLOOKUP('Données projet'!$B$10,Paramètres!$A$1:$I$89,5,0)</f>
        <v>3.9062824027024901</v>
      </c>
      <c r="AK14" s="14">
        <f t="shared" si="35"/>
        <v>1.5361527925263094</v>
      </c>
      <c r="AL14" s="22">
        <f t="shared" si="4"/>
        <v>9.4789079650234935</v>
      </c>
      <c r="AM14" s="60">
        <f t="shared" si="5"/>
        <v>302.81224129835681</v>
      </c>
      <c r="AN14" s="60">
        <f ca="1">AVERAGE(OFFSET($AM$3,0,0,'Données projet'!$E$10+1,1))-AVERAGE(OFFSET($H$3,0,0,'Données projet'!$E$10+1,1))</f>
        <v>210.85498515082651</v>
      </c>
      <c r="AO14" s="60">
        <f t="shared" si="36"/>
        <v>76.413905647258389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5.5625</v>
      </c>
      <c r="BD14" s="13">
        <f>IF('Données projet'!$A$88&gt;35,BD13+BC14-BL13,IF(A14&lt;'Données projet'!$A$88,$BA$205^A14,IF(A14='Données projet'!$A$88,'Données projet'!$B$88,BD13+BC14-BL13)))</f>
        <v>21.887977296699219</v>
      </c>
      <c r="BE14" s="14">
        <f>BD14*VLOOKUP('Données projet'!$B$11,Paramètres!$A$1:$I$89,3,0)*VLOOKUP('Données projet'!$B$11,Paramètres!$A$1:$I$89,5,0)</f>
        <v>9.6744859651410557</v>
      </c>
      <c r="BF14" s="14">
        <f t="shared" si="37"/>
        <v>3.4233624000417708</v>
      </c>
      <c r="BG14" s="22">
        <f t="shared" si="7"/>
        <v>22.812085902693426</v>
      </c>
      <c r="BH14" s="60">
        <f t="shared" si="8"/>
        <v>316.14541923602673</v>
      </c>
      <c r="BI14" s="60">
        <f ca="1">AVERAGE(OFFSET($BH$3,0,0,'Données projet'!$E$11+1,1))-AVERAGE(OFFSET($H$3,0,0,'Données projet'!$E$11+1,1))</f>
        <v>456.68544269509601</v>
      </c>
      <c r="BJ14" s="60">
        <f t="shared" si="38"/>
        <v>417.22363874931852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7.0855203619909508</v>
      </c>
      <c r="BY14" s="13">
        <f>IF('Données projet'!$A$114&gt;35,BY13+BX14-CG13,IF(A14&lt;'Données projet'!$A$114,$BV$205^A14,IF(A14='Données projet'!$A$114,'Données projet'!$B$114,BY13+BX14-CG13)))</f>
        <v>5.896560316737677</v>
      </c>
      <c r="BZ14" s="14">
        <f>BY14*VLOOKUP('Données projet'!$B$12,Paramètres!$A$1:$I$89,3,0)*VLOOKUP('Données projet'!$B$12,Paramètres!$A$1:$I$89,5,0)</f>
        <v>3.2961772170563615</v>
      </c>
      <c r="CA14" s="14">
        <f t="shared" si="39"/>
        <v>1.3221057368551008</v>
      </c>
      <c r="CB14" s="22">
        <f t="shared" si="10"/>
        <v>8.0435094780624627</v>
      </c>
      <c r="CC14" s="60">
        <f t="shared" si="11"/>
        <v>301.37684281139576</v>
      </c>
      <c r="CD14" s="60">
        <f ca="1">AVERAGE(OFFSET($CC$3,0,0,'Données projet'!$E$12+1,1))-AVERAGE(OFFSET($H$3,0,0,'Données projet'!$E$12+1,1))</f>
        <v>234.38946271740315</v>
      </c>
      <c r="CE14" s="60">
        <f t="shared" si="40"/>
        <v>123.9494810355684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0" t="e">
        <f t="shared" si="14"/>
        <v>#N/A</v>
      </c>
      <c r="CY14" s="60" t="e">
        <f ca="1">AVERAGE(OFFSET($CX$3,0,0,'Données projet'!$E$13+1,1))-AVERAGE(OFFSET($H$3,0,0,'Données projet'!$E$13+1,1))</f>
        <v>#N/A</v>
      </c>
      <c r="CZ14" s="60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8">
        <f t="shared" si="1"/>
        <v>307.1639122593399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0">
        <f t="shared" si="0"/>
        <v>313.50424573777804</v>
      </c>
      <c r="S15" s="60">
        <f ca="1">AVERAGE(OFFSET($R$3,0,0,'Données projet'!$E$9+1,1))-AVERAGE(OFFSET($H$3,0,0,'Données projet'!$E$9+1,1))</f>
        <v>314.4389771131751</v>
      </c>
      <c r="T15" s="60">
        <f t="shared" si="34"/>
        <v>176.7239677722049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1.8</v>
      </c>
      <c r="AI15" s="14">
        <f>IF('Données projet'!$A$62&gt;35,AI14+AH15-AQ14,IF(A15&lt;'Données projet'!$A$62,$AF$205^A15,IF(A15='Données projet'!$A$62,'Données projet'!$B$62,AI14+AH15-AQ14)))</f>
        <v>4.9312554885516811</v>
      </c>
      <c r="AJ15" s="14">
        <f>AI15*VLOOKUP('Données projet'!$B$10,Paramètres!$A$1:$I$89,3,0)*VLOOKUP('Données projet'!$B$10,Paramètres!$A$1:$I$89,5,0)</f>
        <v>4.4617999660415606</v>
      </c>
      <c r="AK15" s="14">
        <f t="shared" si="35"/>
        <v>1.7276636092601207</v>
      </c>
      <c r="AL15" s="22">
        <f t="shared" si="4"/>
        <v>10.779982393650428</v>
      </c>
      <c r="AM15" s="60">
        <f t="shared" si="5"/>
        <v>304.11331572698373</v>
      </c>
      <c r="AN15" s="60">
        <f ca="1">AVERAGE(OFFSET($AM$3,0,0,'Données projet'!$E$10+1,1))-AVERAGE(OFFSET($H$3,0,0,'Données projet'!$E$10+1,1))</f>
        <v>210.85498515082651</v>
      </c>
      <c r="AO15" s="60">
        <f t="shared" si="36"/>
        <v>76.413905647258389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5.5625</v>
      </c>
      <c r="BD15" s="13">
        <f>IF('Données projet'!$A$88&gt;35,BD14+BC15-BL14,IF(A15&lt;'Données projet'!$A$88,$BA$205^A15,IF(A15='Données projet'!$A$88,'Données projet'!$B$88,BD14+BC15-BL14)))</f>
        <v>28.976271684829239</v>
      </c>
      <c r="BE15" s="14">
        <f>BD15*VLOOKUP('Données projet'!$B$11,Paramètres!$A$1:$I$89,3,0)*VLOOKUP('Données projet'!$B$11,Paramètres!$A$1:$I$89,5,0)</f>
        <v>12.807512084694524</v>
      </c>
      <c r="BF15" s="14">
        <f t="shared" si="37"/>
        <v>4.3863970365887468</v>
      </c>
      <c r="BG15" s="22">
        <f t="shared" si="7"/>
        <v>29.946058386235027</v>
      </c>
      <c r="BH15" s="60">
        <f t="shared" si="8"/>
        <v>323.27939171956837</v>
      </c>
      <c r="BI15" s="60">
        <f ca="1">AVERAGE(OFFSET($BH$3,0,0,'Données projet'!$E$11+1,1))-AVERAGE(OFFSET($H$3,0,0,'Données projet'!$E$11+1,1))</f>
        <v>456.68544269509601</v>
      </c>
      <c r="BJ15" s="60">
        <f t="shared" si="38"/>
        <v>417.22363874931852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7.0855203619909508</v>
      </c>
      <c r="BY15" s="13">
        <f>IF('Données projet'!$A$114&gt;35,BY14+BX15-CG14,IF(A15&lt;'Données projet'!$A$114,$BV$205^A15,IF(A15='Données projet'!$A$114,'Données projet'!$B$114,BY14+BX15-CG14)))</f>
        <v>6.9287226413209266</v>
      </c>
      <c r="BZ15" s="14">
        <f>BY15*VLOOKUP('Données projet'!$B$12,Paramètres!$A$1:$I$89,3,0)*VLOOKUP('Données projet'!$B$12,Paramètres!$A$1:$I$89,5,0)</f>
        <v>3.8731559564983979</v>
      </c>
      <c r="CA15" s="14">
        <f t="shared" si="39"/>
        <v>1.5246364040599323</v>
      </c>
      <c r="CB15" s="22">
        <f t="shared" si="10"/>
        <v>9.4011550279724254</v>
      </c>
      <c r="CC15" s="60">
        <f t="shared" si="11"/>
        <v>302.73448836130575</v>
      </c>
      <c r="CD15" s="60">
        <f ca="1">AVERAGE(OFFSET($CC$3,0,0,'Données projet'!$E$12+1,1))-AVERAGE(OFFSET($H$3,0,0,'Données projet'!$E$12+1,1))</f>
        <v>234.38946271740315</v>
      </c>
      <c r="CE15" s="60">
        <f t="shared" si="40"/>
        <v>123.9494810355684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0" t="e">
        <f t="shared" si="14"/>
        <v>#N/A</v>
      </c>
      <c r="CY15" s="60" t="e">
        <f ca="1">AVERAGE(OFFSET($CX$3,0,0,'Données projet'!$E$13+1,1))-AVERAGE(OFFSET($H$3,0,0,'Données projet'!$E$13+1,1))</f>
        <v>#N/A</v>
      </c>
      <c r="CZ15" s="60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8">
        <f t="shared" si="1"/>
        <v>308.27850800940064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0">
        <f t="shared" si="0"/>
        <v>317.51084751837828</v>
      </c>
      <c r="S16" s="60">
        <f ca="1">AVERAGE(OFFSET($R$3,0,0,'Données projet'!$E$9+1,1))-AVERAGE(OFFSET($H$3,0,0,'Données projet'!$E$9+1,1))</f>
        <v>314.4389771131751</v>
      </c>
      <c r="T16" s="60">
        <f t="shared" si="34"/>
        <v>176.7239677722049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1.8</v>
      </c>
      <c r="AI16" s="14">
        <f>IF('Données projet'!$A$62&gt;35,AI15+AH16-AQ15,IF(A16&lt;'Données projet'!$A$62,$AF$205^A16,IF(A16='Données projet'!$A$62,'Données projet'!$B$62,AI15+AH16-AQ15)))</f>
        <v>5.632535823866772</v>
      </c>
      <c r="AJ16" s="14">
        <f>AI16*VLOOKUP('Données projet'!$B$10,Paramètres!$A$1:$I$89,3,0)*VLOOKUP('Données projet'!$B$10,Paramètres!$A$1:$I$89,5,0)</f>
        <v>5.0963184134346546</v>
      </c>
      <c r="AK16" s="14">
        <f t="shared" si="35"/>
        <v>1.9430499109746502</v>
      </c>
      <c r="AL16" s="22">
        <f t="shared" si="4"/>
        <v>12.26023316501287</v>
      </c>
      <c r="AM16" s="60">
        <f t="shared" si="5"/>
        <v>305.59356649834621</v>
      </c>
      <c r="AN16" s="60">
        <f ca="1">AVERAGE(OFFSET($AM$3,0,0,'Données projet'!$E$10+1,1))-AVERAGE(OFFSET($H$3,0,0,'Données projet'!$E$10+1,1))</f>
        <v>210.85498515082651</v>
      </c>
      <c r="AO16" s="60">
        <f t="shared" si="36"/>
        <v>76.413905647258389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5.5625</v>
      </c>
      <c r="BD16" s="13">
        <f>IF('Données projet'!$A$88&gt;35,BD15+BC16-BL15,IF(A16&lt;'Données projet'!$A$88,$BA$205^A16,IF(A16='Données projet'!$A$88,'Données projet'!$B$88,BD15+BC16-BL15)))</f>
        <v>38.360069063104106</v>
      </c>
      <c r="BE16" s="14">
        <f>BD16*VLOOKUP('Données projet'!$B$11,Paramètres!$A$1:$I$89,3,0)*VLOOKUP('Données projet'!$B$11,Paramètres!$A$1:$I$89,5,0)</f>
        <v>16.955150525892016</v>
      </c>
      <c r="BF16" s="14">
        <f t="shared" si="37"/>
        <v>5.6203453547190279</v>
      </c>
      <c r="BG16" s="22">
        <f t="shared" si="7"/>
        <v>39.318988658730902</v>
      </c>
      <c r="BH16" s="60">
        <f t="shared" si="8"/>
        <v>332.65232199206423</v>
      </c>
      <c r="BI16" s="60">
        <f ca="1">AVERAGE(OFFSET($BH$3,0,0,'Données projet'!$E$11+1,1))-AVERAGE(OFFSET($H$3,0,0,'Données projet'!$E$11+1,1))</f>
        <v>456.68544269509601</v>
      </c>
      <c r="BJ16" s="60">
        <f t="shared" si="38"/>
        <v>417.22363874931852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7.0855203619909508</v>
      </c>
      <c r="BY16" s="13">
        <f>IF('Données projet'!$A$114&gt;35,BY15+BX16-CG15,IF(A16&lt;'Données projet'!$A$114,$BV$205^A16,IF(A16='Données projet'!$A$114,'Données projet'!$B$114,BY15+BX16-CG15)))</f>
        <v>8.1415596316521075</v>
      </c>
      <c r="BZ16" s="14">
        <f>BY16*VLOOKUP('Données projet'!$B$12,Paramètres!$A$1:$I$89,3,0)*VLOOKUP('Données projet'!$B$12,Paramètres!$A$1:$I$89,5,0)</f>
        <v>4.5511318340935283</v>
      </c>
      <c r="CA16" s="14">
        <f t="shared" si="39"/>
        <v>1.7581923289389381</v>
      </c>
      <c r="CB16" s="22">
        <f t="shared" si="10"/>
        <v>10.98873958394821</v>
      </c>
      <c r="CC16" s="60">
        <f t="shared" si="11"/>
        <v>304.3220729172815</v>
      </c>
      <c r="CD16" s="60">
        <f ca="1">AVERAGE(OFFSET($CC$3,0,0,'Données projet'!$E$12+1,1))-AVERAGE(OFFSET($H$3,0,0,'Données projet'!$E$12+1,1))</f>
        <v>234.38946271740315</v>
      </c>
      <c r="CE16" s="60">
        <f t="shared" si="40"/>
        <v>123.9494810355684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0" t="e">
        <f t="shared" si="14"/>
        <v>#N/A</v>
      </c>
      <c r="CY16" s="60" t="e">
        <f ca="1">AVERAGE(OFFSET($CX$3,0,0,'Données projet'!$E$13+1,1))-AVERAGE(OFFSET($H$3,0,0,'Données projet'!$E$13+1,1))</f>
        <v>#N/A</v>
      </c>
      <c r="CZ16" s="60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8">
        <f t="shared" si="1"/>
        <v>309.39063334516135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0">
        <f t="shared" si="0"/>
        <v>322.31592994573543</v>
      </c>
      <c r="S17" s="60">
        <f ca="1">AVERAGE(OFFSET($R$3,0,0,'Données projet'!$E$9+1,1))-AVERAGE(OFFSET($H$3,0,0,'Données projet'!$E$9+1,1))</f>
        <v>314.4389771131751</v>
      </c>
      <c r="T17" s="60">
        <f t="shared" si="34"/>
        <v>176.7239677722049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1.8</v>
      </c>
      <c r="AI17" s="14">
        <f>IF('Données projet'!$A$62&gt;35,AI16+AH17-AQ16,IF(A17&lt;'Données projet'!$A$62,$AF$205^A17,IF(A17='Données projet'!$A$62,'Données projet'!$B$62,AI16+AH17-AQ16)))</f>
        <v>6.4335461589438685</v>
      </c>
      <c r="AJ17" s="14">
        <f>AI17*VLOOKUP('Données projet'!$B$10,Paramètres!$A$1:$I$89,3,0)*VLOOKUP('Données projet'!$B$10,Paramètres!$A$1:$I$89,5,0)</f>
        <v>5.821072564612412</v>
      </c>
      <c r="AK17" s="14">
        <f t="shared" si="35"/>
        <v>2.1852882333705264</v>
      </c>
      <c r="AL17" s="22">
        <f t="shared" si="4"/>
        <v>13.944411723153619</v>
      </c>
      <c r="AM17" s="60">
        <f t="shared" si="5"/>
        <v>307.27774505648694</v>
      </c>
      <c r="AN17" s="60">
        <f ca="1">AVERAGE(OFFSET($AM$3,0,0,'Données projet'!$E$10+1,1))-AVERAGE(OFFSET($H$3,0,0,'Données projet'!$E$10+1,1))</f>
        <v>210.85498515082651</v>
      </c>
      <c r="AO17" s="60">
        <f t="shared" si="36"/>
        <v>76.413905647258389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5.5625</v>
      </c>
      <c r="BD17" s="13">
        <f>IF('Données projet'!$A$88&gt;35,BD16+BC17-BL16,IF(A17&lt;'Données projet'!$A$88,$BA$205^A17,IF(A17='Données projet'!$A$88,'Données projet'!$B$88,BD16+BC17-BL16)))</f>
        <v>50.782754749519057</v>
      </c>
      <c r="BE17" s="14">
        <f>BD17*VLOOKUP('Données projet'!$B$11,Paramètres!$A$1:$I$89,3,0)*VLOOKUP('Données projet'!$B$11,Paramètres!$A$1:$I$89,5,0)</f>
        <v>22.445977599287424</v>
      </c>
      <c r="BF17" s="14">
        <f t="shared" si="37"/>
        <v>7.201418759592638</v>
      </c>
      <c r="BG17" s="22">
        <f t="shared" si="7"/>
        <v>51.635881991716104</v>
      </c>
      <c r="BH17" s="60">
        <f t="shared" si="8"/>
        <v>344.96921532504939</v>
      </c>
      <c r="BI17" s="60">
        <f ca="1">AVERAGE(OFFSET($BH$3,0,0,'Données projet'!$E$11+1,1))-AVERAGE(OFFSET($H$3,0,0,'Données projet'!$E$11+1,1))</f>
        <v>456.68544269509601</v>
      </c>
      <c r="BJ17" s="60">
        <f t="shared" si="38"/>
        <v>417.22363874931852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7.0855203619909508</v>
      </c>
      <c r="BY17" s="13">
        <f>IF('Données projet'!$A$114&gt;35,BY16+BX17-CG16,IF(A17&lt;'Données projet'!$A$114,$BV$205^A17,IF(A17='Données projet'!$A$114,'Données projet'!$B$114,BY16+BX17-CG16)))</f>
        <v>9.5666974516258474</v>
      </c>
      <c r="BZ17" s="14">
        <f>BY17*VLOOKUP('Données projet'!$B$12,Paramètres!$A$1:$I$89,3,0)*VLOOKUP('Données projet'!$B$12,Paramètres!$A$1:$I$89,5,0)</f>
        <v>5.3477838754588483</v>
      </c>
      <c r="CA17" s="14">
        <f t="shared" si="39"/>
        <v>2.0275262071062374</v>
      </c>
      <c r="CB17" s="22">
        <f t="shared" si="10"/>
        <v>12.845331727134193</v>
      </c>
      <c r="CC17" s="60">
        <f t="shared" si="11"/>
        <v>306.17866506046749</v>
      </c>
      <c r="CD17" s="60">
        <f ca="1">AVERAGE(OFFSET($CC$3,0,0,'Données projet'!$E$12+1,1))-AVERAGE(OFFSET($H$3,0,0,'Données projet'!$E$12+1,1))</f>
        <v>234.38946271740315</v>
      </c>
      <c r="CE17" s="60">
        <f t="shared" si="40"/>
        <v>123.9494810355684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0" t="e">
        <f t="shared" si="14"/>
        <v>#N/A</v>
      </c>
      <c r="CY17" s="60" t="e">
        <f ca="1">AVERAGE(OFFSET($CX$3,0,0,'Données projet'!$E$13+1,1))-AVERAGE(OFFSET($H$3,0,0,'Données projet'!$E$13+1,1))</f>
        <v>#N/A</v>
      </c>
      <c r="CZ17" s="60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8">
        <f t="shared" si="1"/>
        <v>310.50048479403728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0">
        <f t="shared" si="0"/>
        <v>328.07911334160997</v>
      </c>
      <c r="S18" s="60">
        <f ca="1">AVERAGE(OFFSET($R$3,0,0,'Données projet'!$E$9+1,1))-AVERAGE(OFFSET($H$3,0,0,'Données projet'!$E$9+1,1))</f>
        <v>314.4389771131751</v>
      </c>
      <c r="T18" s="60">
        <f t="shared" si="34"/>
        <v>176.7239677722049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1.8</v>
      </c>
      <c r="AI18" s="14">
        <f>IF('Données projet'!$A$62&gt;35,AI17+AH18-AQ17,IF(A18&lt;'Données projet'!$A$62,$AF$205^A18,IF(A18='Données projet'!$A$62,'Données projet'!$B$62,AI17+AH18-AQ17)))</f>
        <v>7.3484692283495407</v>
      </c>
      <c r="AJ18" s="14">
        <f>AI18*VLOOKUP('Données projet'!$B$10,Paramètres!$A$1:$I$89,3,0)*VLOOKUP('Données projet'!$B$10,Paramètres!$A$1:$I$89,5,0)</f>
        <v>6.648894957810664</v>
      </c>
      <c r="AK18" s="14">
        <f t="shared" si="35"/>
        <v>2.4577261942346365</v>
      </c>
      <c r="AL18" s="22">
        <f t="shared" si="4"/>
        <v>15.860698506478897</v>
      </c>
      <c r="AM18" s="60">
        <f t="shared" si="5"/>
        <v>309.19403183981223</v>
      </c>
      <c r="AN18" s="60">
        <f ca="1">AVERAGE(OFFSET($AM$3,0,0,'Données projet'!$E$10+1,1))-AVERAGE(OFFSET($H$3,0,0,'Données projet'!$E$10+1,1))</f>
        <v>210.85498515082651</v>
      </c>
      <c r="AO18" s="60">
        <f t="shared" si="36"/>
        <v>76.413905647258389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5.5625</v>
      </c>
      <c r="BD18" s="13">
        <f>IF('Données projet'!$A$88&gt;35,BD17+BC18-BL17,IF(A18&lt;'Données projet'!$A$88,$BA$205^A18,IF(A18='Données projet'!$A$88,'Données projet'!$B$88,BD17+BC18-BL17)))</f>
        <v>67.228455081960576</v>
      </c>
      <c r="BE18" s="14">
        <f>BD18*VLOOKUP('Données projet'!$B$11,Paramètres!$A$1:$I$89,3,0)*VLOOKUP('Données projet'!$B$11,Paramètres!$A$1:$I$89,5,0)</f>
        <v>29.71497714622658</v>
      </c>
      <c r="BF18" s="14">
        <f t="shared" si="37"/>
        <v>9.2272678773145138</v>
      </c>
      <c r="BG18" s="22">
        <f t="shared" si="7"/>
        <v>67.824410082667399</v>
      </c>
      <c r="BH18" s="60">
        <f t="shared" si="8"/>
        <v>361.1577434160007</v>
      </c>
      <c r="BI18" s="60">
        <f ca="1">AVERAGE(OFFSET($BH$3,0,0,'Données projet'!$E$11+1,1))-AVERAGE(OFFSET($H$3,0,0,'Données projet'!$E$11+1,1))</f>
        <v>456.68544269509601</v>
      </c>
      <c r="BJ18" s="60">
        <f t="shared" si="38"/>
        <v>417.22363874931852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7.0855203619909508</v>
      </c>
      <c r="BY18" s="13">
        <f>IF('Données projet'!$A$114&gt;35,BY17+BX18-CG17,IF(A18&lt;'Données projet'!$A$114,$BV$205^A18,IF(A18='Données projet'!$A$114,'Données projet'!$B$114,BY17+BX18-CG17)))</f>
        <v>11.241298261224259</v>
      </c>
      <c r="BZ18" s="14">
        <f>BY18*VLOOKUP('Données projet'!$B$12,Paramètres!$A$1:$I$89,3,0)*VLOOKUP('Données projet'!$B$12,Paramètres!$A$1:$I$89,5,0)</f>
        <v>6.2838857280243605</v>
      </c>
      <c r="CA18" s="14">
        <f t="shared" si="39"/>
        <v>2.3381187898729459</v>
      </c>
      <c r="CB18" s="22">
        <f t="shared" si="10"/>
        <v>15.016657868671139</v>
      </c>
      <c r="CC18" s="60">
        <f t="shared" si="11"/>
        <v>308.34999120200445</v>
      </c>
      <c r="CD18" s="60">
        <f ca="1">AVERAGE(OFFSET($CC$3,0,0,'Données projet'!$E$12+1,1))-AVERAGE(OFFSET($H$3,0,0,'Données projet'!$E$12+1,1))</f>
        <v>234.38946271740315</v>
      </c>
      <c r="CE18" s="60">
        <f t="shared" si="40"/>
        <v>123.9494810355684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0" t="e">
        <f t="shared" si="14"/>
        <v>#N/A</v>
      </c>
      <c r="CY18" s="60" t="e">
        <f ca="1">AVERAGE(OFFSET($CX$3,0,0,'Données projet'!$E$13+1,1))-AVERAGE(OFFSET($H$3,0,0,'Données projet'!$E$13+1,1))</f>
        <v>#N/A</v>
      </c>
      <c r="CZ18" s="60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8">
        <f t="shared" si="1"/>
        <v>311.60823119732669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0">
        <f t="shared" si="0"/>
        <v>334.992017673269</v>
      </c>
      <c r="S19" s="60">
        <f ca="1">AVERAGE(OFFSET($R$3,0,0,'Données projet'!$E$9+1,1))-AVERAGE(OFFSET($H$3,0,0,'Données projet'!$E$9+1,1))</f>
        <v>314.4389771131751</v>
      </c>
      <c r="T19" s="60">
        <f t="shared" si="34"/>
        <v>176.7239677722049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1.8</v>
      </c>
      <c r="AI19" s="14">
        <f>IF('Données projet'!$A$62&gt;35,AI18+AH19-AQ18,IF(A19&lt;'Données projet'!$A$62,$AF$205^A19,IF(A19='Données projet'!$A$62,'Données projet'!$B$62,AI18+AH19-AQ18)))</f>
        <v>8.3935047120054769</v>
      </c>
      <c r="AJ19" s="14">
        <f>AI19*VLOOKUP('Données projet'!$B$10,Paramètres!$A$1:$I$89,3,0)*VLOOKUP('Données projet'!$B$10,Paramètres!$A$1:$I$89,5,0)</f>
        <v>7.5944430634225553</v>
      </c>
      <c r="AK19" s="14">
        <f t="shared" si="35"/>
        <v>2.7641287559172452</v>
      </c>
      <c r="AL19" s="22">
        <f t="shared" si="4"/>
        <v>18.041179252016821</v>
      </c>
      <c r="AM19" s="60">
        <f t="shared" si="5"/>
        <v>311.37451258535015</v>
      </c>
      <c r="AN19" s="60">
        <f ca="1">AVERAGE(OFFSET($AM$3,0,0,'Données projet'!$E$10+1,1))-AVERAGE(OFFSET($H$3,0,0,'Données projet'!$E$10+1,1))</f>
        <v>210.85498515082651</v>
      </c>
      <c r="AO19" s="60">
        <f t="shared" si="36"/>
        <v>76.413905647258389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>
        <f>VLOOKUP(A19,'Données projet'!$A$87:$I$107,2,0)</f>
        <v>89</v>
      </c>
      <c r="BB19" s="13">
        <f>VLOOKUP(A19,'Données projet'!$A$87:$I$107,9,0)</f>
        <v>5.5625</v>
      </c>
      <c r="BC19" s="13">
        <f t="array" ref="BC19">INDEX(BB:BB,MIN(IF(ISNUMBER(BB19:BB215),ROW(BB19:BB215),"")))</f>
        <v>5.5625</v>
      </c>
      <c r="BD19" s="13">
        <f>IF('Données projet'!$A$88&gt;35,BD18+BC19-BL18,IF(A19&lt;'Données projet'!$A$88,$BA$205^A19,IF(A19='Données projet'!$A$88,'Données projet'!$B$88,BD18+BC19-BL18)))</f>
        <v>89</v>
      </c>
      <c r="BE19" s="14">
        <f>BD19*VLOOKUP('Données projet'!$B$11,Paramètres!$A$1:$I$89,3,0)*VLOOKUP('Données projet'!$B$11,Paramètres!$A$1:$I$89,5,0)</f>
        <v>39.338000000000001</v>
      </c>
      <c r="BF19" s="14">
        <f t="shared" si="37"/>
        <v>11.823013675785282</v>
      </c>
      <c r="BG19" s="22">
        <f t="shared" si="7"/>
        <v>89.105432151992702</v>
      </c>
      <c r="BH19" s="60">
        <f t="shared" si="8"/>
        <v>382.43876548532603</v>
      </c>
      <c r="BI19" s="60">
        <f ca="1">AVERAGE(OFFSET($BH$3,0,0,'Données projet'!$E$11+1,1))-AVERAGE(OFFSET($H$3,0,0,'Données projet'!$E$11+1,1))</f>
        <v>456.68544269509601</v>
      </c>
      <c r="BJ19" s="60">
        <f t="shared" si="38"/>
        <v>417.22363874931852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7.0855203619909508</v>
      </c>
      <c r="BY19" s="13">
        <f>IF('Données projet'!$A$114&gt;35,BY18+BX19-CG18,IF(A19&lt;'Données projet'!$A$114,$BV$205^A19,IF(A19='Données projet'!$A$114,'Données projet'!$B$114,BY18+BX19-CG18)))</f>
        <v>13.209029263941831</v>
      </c>
      <c r="BZ19" s="14">
        <f>BY19*VLOOKUP('Données projet'!$B$12,Paramètres!$A$1:$I$89,3,0)*VLOOKUP('Données projet'!$B$12,Paramètres!$A$1:$I$89,5,0)</f>
        <v>7.3838473585434841</v>
      </c>
      <c r="CA19" s="14">
        <f t="shared" si="39"/>
        <v>2.6962904136067141</v>
      </c>
      <c r="CB19" s="22">
        <f t="shared" si="10"/>
        <v>17.556239953161597</v>
      </c>
      <c r="CC19" s="60">
        <f t="shared" si="11"/>
        <v>310.88957328649491</v>
      </c>
      <c r="CD19" s="60">
        <f ca="1">AVERAGE(OFFSET($CC$3,0,0,'Données projet'!$E$12+1,1))-AVERAGE(OFFSET($H$3,0,0,'Données projet'!$E$12+1,1))</f>
        <v>234.38946271740315</v>
      </c>
      <c r="CE19" s="60">
        <f t="shared" si="40"/>
        <v>123.9494810355684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0" t="e">
        <f t="shared" si="14"/>
        <v>#N/A</v>
      </c>
      <c r="CY19" s="60" t="e">
        <f ca="1">AVERAGE(OFFSET($CX$3,0,0,'Données projet'!$E$13+1,1))-AVERAGE(OFFSET($H$3,0,0,'Données projet'!$E$13+1,1))</f>
        <v>#N/A</v>
      </c>
      <c r="CZ19" s="60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8">
        <f t="shared" si="1"/>
        <v>312.7140190982978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0">
        <f t="shared" si="0"/>
        <v>343.28469438075035</v>
      </c>
      <c r="S20" s="60">
        <f ca="1">AVERAGE(OFFSET($R$3,0,0,'Données projet'!$E$9+1,1))-AVERAGE(OFFSET($H$3,0,0,'Données projet'!$E$9+1,1))</f>
        <v>314.4389771131751</v>
      </c>
      <c r="T20" s="60">
        <f t="shared" si="34"/>
        <v>176.7239677722049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1.8</v>
      </c>
      <c r="AI20" s="14">
        <f>IF('Données projet'!$A$62&gt;35,AI19+AH20-AQ19,IF(A20&lt;'Données projet'!$A$62,$AF$205^A20,IF(A20='Données projet'!$A$62,'Données projet'!$B$62,AI19+AH20-AQ19)))</f>
        <v>9.5871560676428587</v>
      </c>
      <c r="AJ20" s="14">
        <f>AI20*VLOOKUP('Données projet'!$B$10,Paramètres!$A$1:$I$89,3,0)*VLOOKUP('Données projet'!$B$10,Paramètres!$A$1:$I$89,5,0)</f>
        <v>8.6744588100032587</v>
      </c>
      <c r="AK20" s="14">
        <f t="shared" si="35"/>
        <v>3.1087302553114253</v>
      </c>
      <c r="AL20" s="22">
        <f t="shared" si="4"/>
        <v>20.522387622089742</v>
      </c>
      <c r="AM20" s="60">
        <f t="shared" si="5"/>
        <v>313.85572095542307</v>
      </c>
      <c r="AN20" s="60">
        <f ca="1">AVERAGE(OFFSET($AM$3,0,0,'Données projet'!$E$10+1,1))-AVERAGE(OFFSET($H$3,0,0,'Données projet'!$E$10+1,1))</f>
        <v>210.85498515082651</v>
      </c>
      <c r="AO20" s="60">
        <f t="shared" si="36"/>
        <v>76.413905647258389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27.6</v>
      </c>
      <c r="BD20" s="13">
        <f>IF('Données projet'!$A$88&gt;35,BD19+BC20-BL19,IF(A20&lt;'Données projet'!$A$88,$BA$205^A20,IF(A20='Données projet'!$A$88,'Données projet'!$B$88,BD19+BC20-BL19)))</f>
        <v>116.6</v>
      </c>
      <c r="BE20" s="14">
        <f>BD20*VLOOKUP('Données projet'!$B$11,Paramètres!$A$1:$I$89,3,0)*VLOOKUP('Données projet'!$B$11,Paramètres!$A$1:$I$89,5,0)</f>
        <v>51.537199999999999</v>
      </c>
      <c r="BF20" s="14">
        <f t="shared" si="37"/>
        <v>15.010045931906971</v>
      </c>
      <c r="BG20" s="22">
        <f t="shared" si="7"/>
        <v>115.9031199980713</v>
      </c>
      <c r="BH20" s="60">
        <f t="shared" si="8"/>
        <v>409.23645333140462</v>
      </c>
      <c r="BI20" s="60">
        <f ca="1">AVERAGE(OFFSET($BH$3,0,0,'Données projet'!$E$11+1,1))-AVERAGE(OFFSET($H$3,0,0,'Données projet'!$E$11+1,1))</f>
        <v>456.68544269509601</v>
      </c>
      <c r="BJ20" s="60">
        <f t="shared" si="38"/>
        <v>417.22363874931852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7.0855203619909508</v>
      </c>
      <c r="BY20" s="13">
        <f>IF('Données projet'!$A$114&gt;35,BY19+BX20-CG19,IF(A20&lt;'Données projet'!$A$114,$BV$205^A20,IF(A20='Données projet'!$A$114,'Données projet'!$B$114,BY19+BX20-CG19)))</f>
        <v>15.521201380939937</v>
      </c>
      <c r="BZ20" s="14">
        <f>BY20*VLOOKUP('Données projet'!$B$12,Paramètres!$A$1:$I$89,3,0)*VLOOKUP('Données projet'!$B$12,Paramètres!$A$1:$I$89,5,0)</f>
        <v>8.6763515719454247</v>
      </c>
      <c r="CA20" s="14">
        <f t="shared" si="39"/>
        <v>3.1093296140451927</v>
      </c>
      <c r="CB20" s="22">
        <f t="shared" si="10"/>
        <v>20.526728065600324</v>
      </c>
      <c r="CC20" s="60">
        <f t="shared" si="11"/>
        <v>313.86006139893362</v>
      </c>
      <c r="CD20" s="60">
        <f ca="1">AVERAGE(OFFSET($CC$3,0,0,'Données projet'!$E$12+1,1))-AVERAGE(OFFSET($H$3,0,0,'Données projet'!$E$12+1,1))</f>
        <v>234.38946271740315</v>
      </c>
      <c r="CE20" s="60">
        <f t="shared" si="40"/>
        <v>123.9494810355684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0" t="e">
        <f t="shared" si="14"/>
        <v>#N/A</v>
      </c>
      <c r="CY20" s="60" t="e">
        <f ca="1">AVERAGE(OFFSET($CX$3,0,0,'Données projet'!$E$13+1,1))-AVERAGE(OFFSET($H$3,0,0,'Données projet'!$E$13+1,1))</f>
        <v>#N/A</v>
      </c>
      <c r="CZ20" s="60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8">
        <f t="shared" si="1"/>
        <v>313.81797682591258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0">
        <f t="shared" si="0"/>
        <v>353.23335406291386</v>
      </c>
      <c r="S21" s="60">
        <f ca="1">AVERAGE(OFFSET($R$3,0,0,'Données projet'!$E$9+1,1))-AVERAGE(OFFSET($H$3,0,0,'Données projet'!$E$9+1,1))</f>
        <v>314.4389771131751</v>
      </c>
      <c r="T21" s="60">
        <f t="shared" si="34"/>
        <v>176.7239677722049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1.8</v>
      </c>
      <c r="AI21" s="14">
        <f>IF('Données projet'!$A$62&gt;35,AI20+AH21-AQ20,IF(A21&lt;'Données projet'!$A$62,$AF$205^A21,IF(A21='Données projet'!$A$62,'Données projet'!$B$62,AI20+AH21-AQ20)))</f>
        <v>10.950558154077715</v>
      </c>
      <c r="AJ21" s="14">
        <f>AI21*VLOOKUP('Données projet'!$B$10,Paramètres!$A$1:$I$89,3,0)*VLOOKUP('Données projet'!$B$10,Paramètres!$A$1:$I$89,5,0)</f>
        <v>9.9080650178095162</v>
      </c>
      <c r="AK21" s="14">
        <f t="shared" si="35"/>
        <v>3.4962929203642266</v>
      </c>
      <c r="AL21" s="22">
        <f t="shared" si="4"/>
        <v>23.345923408985936</v>
      </c>
      <c r="AM21" s="60">
        <f t="shared" si="5"/>
        <v>316.67925674231924</v>
      </c>
      <c r="AN21" s="60">
        <f ca="1">AVERAGE(OFFSET($AM$3,0,0,'Données projet'!$E$10+1,1))-AVERAGE(OFFSET($H$3,0,0,'Données projet'!$E$10+1,1))</f>
        <v>210.85498515082651</v>
      </c>
      <c r="AO21" s="60">
        <f t="shared" si="36"/>
        <v>76.413905647258389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27.6</v>
      </c>
      <c r="BD21" s="13">
        <f>IF('Données projet'!$A$88&gt;35,BD20+BC21-BL20,IF(A21&lt;'Données projet'!$A$88,$BA$205^A21,IF(A21='Données projet'!$A$88,'Données projet'!$B$88,BD20+BC21-BL20)))</f>
        <v>144.19999999999999</v>
      </c>
      <c r="BE21" s="14">
        <f>BD21*VLOOKUP('Données projet'!$B$11,Paramètres!$A$1:$I$89,3,0)*VLOOKUP('Données projet'!$B$11,Paramètres!$A$1:$I$89,5,0)</f>
        <v>63.736400000000003</v>
      </c>
      <c r="BF21" s="14">
        <f t="shared" si="37"/>
        <v>18.109601180142342</v>
      </c>
      <c r="BG21" s="22">
        <f t="shared" si="7"/>
        <v>142.54845205541457</v>
      </c>
      <c r="BH21" s="60">
        <f t="shared" si="8"/>
        <v>435.88178538874786</v>
      </c>
      <c r="BI21" s="60">
        <f ca="1">AVERAGE(OFFSET($BH$3,0,0,'Données projet'!$E$11+1,1))-AVERAGE(OFFSET($H$3,0,0,'Données projet'!$E$11+1,1))</f>
        <v>456.68544269509601</v>
      </c>
      <c r="BJ21" s="60">
        <f t="shared" si="38"/>
        <v>417.22363874931852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7.0855203619909508</v>
      </c>
      <c r="BY21" s="13">
        <f>IF('Données projet'!$A$114&gt;35,BY20+BX21-CG20,IF(A21&lt;'Données projet'!$A$114,$BV$205^A21,IF(A21='Données projet'!$A$114,'Données projet'!$B$114,BY20+BX21-CG20)))</f>
        <v>18.238107244210941</v>
      </c>
      <c r="BZ21" s="14">
        <f>BY21*VLOOKUP('Données projet'!$B$12,Paramètres!$A$1:$I$89,3,0)*VLOOKUP('Données projet'!$B$12,Paramètres!$A$1:$I$89,5,0)</f>
        <v>10.195101949513916</v>
      </c>
      <c r="CA21" s="14">
        <f t="shared" si="39"/>
        <v>3.5856414427724985</v>
      </c>
      <c r="CB21" s="22">
        <f t="shared" si="10"/>
        <v>24.001461408232171</v>
      </c>
      <c r="CC21" s="60">
        <f t="shared" si="11"/>
        <v>317.33479474156547</v>
      </c>
      <c r="CD21" s="60">
        <f ca="1">AVERAGE(OFFSET($CC$3,0,0,'Données projet'!$E$12+1,1))-AVERAGE(OFFSET($H$3,0,0,'Données projet'!$E$12+1,1))</f>
        <v>234.38946271740315</v>
      </c>
      <c r="CE21" s="60">
        <f t="shared" si="40"/>
        <v>123.9494810355684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0" t="e">
        <f t="shared" si="14"/>
        <v>#N/A</v>
      </c>
      <c r="CY21" s="60" t="e">
        <f ca="1">AVERAGE(OFFSET($CX$3,0,0,'Données projet'!$E$13+1,1))-AVERAGE(OFFSET($H$3,0,0,'Données projet'!$E$13+1,1))</f>
        <v>#N/A</v>
      </c>
      <c r="CZ21" s="60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8">
        <f t="shared" si="1"/>
        <v>314.92021764503886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0">
        <f t="shared" si="0"/>
        <v>365.16965167242461</v>
      </c>
      <c r="S22" s="60">
        <f ca="1">AVERAGE(OFFSET($R$3,0,0,'Données projet'!$E$9+1,1))-AVERAGE(OFFSET($H$3,0,0,'Données projet'!$E$9+1,1))</f>
        <v>314.4389771131751</v>
      </c>
      <c r="T22" s="60">
        <f t="shared" si="34"/>
        <v>176.7239677722049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1.8</v>
      </c>
      <c r="AI22" s="14">
        <f>IF('Données projet'!$A$62&gt;35,AI21+AH22-AQ21,IF(A22&lt;'Données projet'!$A$62,$AF$205^A22,IF(A22='Données projet'!$A$62,'Données projet'!$B$62,AI21+AH22-AQ21)))</f>
        <v>12.507851446223583</v>
      </c>
      <c r="AJ22" s="14">
        <f>AI22*VLOOKUP('Données projet'!$B$10,Paramètres!$A$1:$I$89,3,0)*VLOOKUP('Données projet'!$B$10,Paramètres!$A$1:$I$89,5,0)</f>
        <v>11.317103988543098</v>
      </c>
      <c r="AK22" s="14">
        <f t="shared" si="35"/>
        <v>3.9321726817897988</v>
      </c>
      <c r="AL22" s="22">
        <f t="shared" si="4"/>
        <v>26.559156867496458</v>
      </c>
      <c r="AM22" s="60">
        <f t="shared" si="5"/>
        <v>319.8924902008298</v>
      </c>
      <c r="AN22" s="60">
        <f ca="1">AVERAGE(OFFSET($AM$3,0,0,'Données projet'!$E$10+1,1))-AVERAGE(OFFSET($H$3,0,0,'Données projet'!$E$10+1,1))</f>
        <v>210.85498515082651</v>
      </c>
      <c r="AO22" s="60">
        <f t="shared" si="36"/>
        <v>76.413905647258389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27.6</v>
      </c>
      <c r="BD22" s="13">
        <f>IF('Données projet'!$A$88&gt;35,BD21+BC22-BL21,IF(A22&lt;'Données projet'!$A$88,$BA$205^A22,IF(A22='Données projet'!$A$88,'Données projet'!$B$88,BD21+BC22-BL21)))</f>
        <v>171.79999999999998</v>
      </c>
      <c r="BE22" s="14">
        <f>BD22*VLOOKUP('Données projet'!$B$11,Paramètres!$A$1:$I$89,3,0)*VLOOKUP('Données projet'!$B$11,Paramètres!$A$1:$I$89,5,0)</f>
        <v>75.935600000000008</v>
      </c>
      <c r="BF22" s="14">
        <f t="shared" si="37"/>
        <v>21.140421681495368</v>
      </c>
      <c r="BG22" s="22">
        <f t="shared" si="7"/>
        <v>169.07407109527111</v>
      </c>
      <c r="BH22" s="60">
        <f t="shared" si="8"/>
        <v>462.40740442860442</v>
      </c>
      <c r="BI22" s="60">
        <f ca="1">AVERAGE(OFFSET($BH$3,0,0,'Données projet'!$E$11+1,1))-AVERAGE(OFFSET($H$3,0,0,'Données projet'!$E$11+1,1))</f>
        <v>456.68544269509601</v>
      </c>
      <c r="BJ22" s="60">
        <f t="shared" si="38"/>
        <v>417.22363874931852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7.0855203619909508</v>
      </c>
      <c r="BY22" s="13">
        <f>IF('Données projet'!$A$114&gt;35,BY21+BX22-CG21,IF(A22&lt;'Données projet'!$A$114,$BV$205^A22,IF(A22='Données projet'!$A$114,'Données projet'!$B$114,BY21+BX22-CG21)))</f>
        <v>21.430593398511533</v>
      </c>
      <c r="BZ22" s="14">
        <f>BY22*VLOOKUP('Données projet'!$B$12,Paramètres!$A$1:$I$89,3,0)*VLOOKUP('Données projet'!$B$12,Paramètres!$A$1:$I$89,5,0)</f>
        <v>11.979701709767948</v>
      </c>
      <c r="CA22" s="14">
        <f t="shared" si="39"/>
        <v>4.1349185039925995</v>
      </c>
      <c r="CB22" s="22">
        <f t="shared" si="10"/>
        <v>28.066296872299617</v>
      </c>
      <c r="CC22" s="60">
        <f t="shared" si="11"/>
        <v>321.39963020563295</v>
      </c>
      <c r="CD22" s="60">
        <f ca="1">AVERAGE(OFFSET($CC$3,0,0,'Données projet'!$E$12+1,1))-AVERAGE(OFFSET($H$3,0,0,'Données projet'!$E$12+1,1))</f>
        <v>234.38946271740315</v>
      </c>
      <c r="CE22" s="60">
        <f t="shared" si="40"/>
        <v>123.9494810355684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0" t="e">
        <f t="shared" si="14"/>
        <v>#N/A</v>
      </c>
      <c r="CY22" s="60" t="e">
        <f ca="1">AVERAGE(OFFSET($CX$3,0,0,'Données projet'!$E$13+1,1))-AVERAGE(OFFSET($H$3,0,0,'Données projet'!$E$13+1,1))</f>
        <v>#N/A</v>
      </c>
      <c r="CZ22" s="60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8">
        <f t="shared" si="1"/>
        <v>316.02084222454056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0">
        <f t="shared" si="0"/>
        <v>379.49184380384929</v>
      </c>
      <c r="S23" s="60">
        <f ca="1">AVERAGE(OFFSET($R$3,0,0,'Données projet'!$E$9+1,1))-AVERAGE(OFFSET($H$3,0,0,'Données projet'!$E$9+1,1))</f>
        <v>314.4389771131751</v>
      </c>
      <c r="T23" s="60">
        <f t="shared" si="34"/>
        <v>176.7239677722049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1.8</v>
      </c>
      <c r="AI23" s="14">
        <f>IF('Données projet'!$A$62&gt;35,AI22+AH23-AQ22,IF(A23&lt;'Données projet'!$A$62,$AF$205^A23,IF(A23='Données projet'!$A$62,'Données projet'!$B$62,AI22+AH23-AQ22)))</f>
        <v>14.286609467713813</v>
      </c>
      <c r="AJ23" s="14">
        <f>AI23*VLOOKUP('Données projet'!$B$10,Paramètres!$A$1:$I$89,3,0)*VLOOKUP('Données projet'!$B$10,Paramètres!$A$1:$I$89,5,0)</f>
        <v>12.926524246387457</v>
      </c>
      <c r="AK23" s="14">
        <f t="shared" si="35"/>
        <v>4.4223931894708697</v>
      </c>
      <c r="AL23" s="22">
        <f t="shared" si="4"/>
        <v>30.216031200786585</v>
      </c>
      <c r="AM23" s="60">
        <f t="shared" si="5"/>
        <v>323.54936453411989</v>
      </c>
      <c r="AN23" s="60">
        <f ca="1">AVERAGE(OFFSET($AM$3,0,0,'Données projet'!$E$10+1,1))-AVERAGE(OFFSET($H$3,0,0,'Données projet'!$E$10+1,1))</f>
        <v>210.85498515082651</v>
      </c>
      <c r="AO23" s="60">
        <f t="shared" si="36"/>
        <v>76.413905647258389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27.6</v>
      </c>
      <c r="BD23" s="13">
        <f>IF('Données projet'!$A$88&gt;35,BD22+BC23-BL22,IF(A23&lt;'Données projet'!$A$88,$BA$205^A23,IF(A23='Données projet'!$A$88,'Données projet'!$B$88,BD22+BC23-BL22)))</f>
        <v>199.39999999999998</v>
      </c>
      <c r="BE23" s="14">
        <f>BD23*VLOOKUP('Données projet'!$B$11,Paramètres!$A$1:$I$89,3,0)*VLOOKUP('Données projet'!$B$11,Paramètres!$A$1:$I$89,5,0)</f>
        <v>88.134799999999998</v>
      </c>
      <c r="BF23" s="14">
        <f t="shared" si="37"/>
        <v>24.114836855000217</v>
      </c>
      <c r="BG23" s="22">
        <f t="shared" si="7"/>
        <v>195.50145085579206</v>
      </c>
      <c r="BH23" s="60">
        <f t="shared" si="8"/>
        <v>488.83478418912534</v>
      </c>
      <c r="BI23" s="60">
        <f ca="1">AVERAGE(OFFSET($BH$3,0,0,'Données projet'!$E$11+1,1))-AVERAGE(OFFSET($H$3,0,0,'Données projet'!$E$11+1,1))</f>
        <v>456.68544269509601</v>
      </c>
      <c r="BJ23" s="60">
        <f t="shared" si="38"/>
        <v>417.22363874931852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7.0855203619909508</v>
      </c>
      <c r="BY23" s="13">
        <f>IF('Données projet'!$A$114&gt;35,BY22+BX23-CG22,IF(A23&lt;'Données projet'!$A$114,$BV$205^A23,IF(A23='Données projet'!$A$114,'Données projet'!$B$114,BY22+BX23-CG22)))</f>
        <v>25.18190770909661</v>
      </c>
      <c r="BZ23" s="14">
        <f>BY23*VLOOKUP('Données projet'!$B$12,Paramètres!$A$1:$I$89,3,0)*VLOOKUP('Données projet'!$B$12,Paramètres!$A$1:$I$89,5,0)</f>
        <v>14.076686409385005</v>
      </c>
      <c r="CA23" s="14">
        <f t="shared" si="39"/>
        <v>4.7683381920753911</v>
      </c>
      <c r="CB23" s="22">
        <f t="shared" si="10"/>
        <v>32.821751180876852</v>
      </c>
      <c r="CC23" s="60">
        <f t="shared" si="11"/>
        <v>326.15508451421016</v>
      </c>
      <c r="CD23" s="60">
        <f ca="1">AVERAGE(OFFSET($CC$3,0,0,'Données projet'!$E$12+1,1))-AVERAGE(OFFSET($H$3,0,0,'Données projet'!$E$12+1,1))</f>
        <v>234.38946271740315</v>
      </c>
      <c r="CE23" s="60">
        <f t="shared" si="40"/>
        <v>123.9494810355684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0" t="e">
        <f t="shared" si="14"/>
        <v>#N/A</v>
      </c>
      <c r="CY23" s="60" t="e">
        <f ca="1">AVERAGE(OFFSET($CX$3,0,0,'Données projet'!$E$13+1,1))-AVERAGE(OFFSET($H$3,0,0,'Données projet'!$E$13+1,1))</f>
        <v>#N/A</v>
      </c>
      <c r="CZ23" s="60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8">
        <f t="shared" si="1"/>
        <v>317.11994059772178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0">
        <f t="shared" si="0"/>
        <v>390.65226125630295</v>
      </c>
      <c r="S24" s="60">
        <f ca="1">AVERAGE(OFFSET($R$3,0,0,'Données projet'!$E$9+1,1))-AVERAGE(OFFSET($H$3,0,0,'Données projet'!$E$9+1,1))</f>
        <v>314.4389771131751</v>
      </c>
      <c r="T24" s="60">
        <f t="shared" si="34"/>
        <v>176.7239677722049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1.8</v>
      </c>
      <c r="AI24" s="14">
        <f>IF('Données projet'!$A$62&gt;35,AI23+AH24-AQ23,IF(A24&lt;'Données projet'!$A$62,$AF$205^A24,IF(A24='Données projet'!$A$62,'Données projet'!$B$62,AI23+AH24-AQ23)))</f>
        <v>16.31832700927982</v>
      </c>
      <c r="AJ24" s="14">
        <f>AI24*VLOOKUP('Données projet'!$B$10,Paramètres!$A$1:$I$89,3,0)*VLOOKUP('Données projet'!$B$10,Paramètres!$A$1:$I$89,5,0)</f>
        <v>14.764822277996382</v>
      </c>
      <c r="AK24" s="14">
        <f t="shared" si="35"/>
        <v>4.9737290564198613</v>
      </c>
      <c r="AL24" s="22">
        <f t="shared" si="4"/>
        <v>34.377976907441628</v>
      </c>
      <c r="AM24" s="60">
        <f t="shared" si="5"/>
        <v>327.71131024077494</v>
      </c>
      <c r="AN24" s="60">
        <f ca="1">AVERAGE(OFFSET($AM$3,0,0,'Données projet'!$E$10+1,1))-AVERAGE(OFFSET($H$3,0,0,'Données projet'!$E$10+1,1))</f>
        <v>210.85498515082651</v>
      </c>
      <c r="AO24" s="60">
        <f t="shared" si="36"/>
        <v>76.413905647258389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>
        <f>VLOOKUP(A24,'Données projet'!$A$87:$I$107,2,0)</f>
        <v>227</v>
      </c>
      <c r="BB24" s="13">
        <f>VLOOKUP(A24,'Données projet'!$A$87:$I$107,9,0)</f>
        <v>27.6</v>
      </c>
      <c r="BC24" s="13">
        <f t="array" ref="BC24">INDEX(BB:BB,MIN(IF(ISNUMBER(BB24:BB220),ROW(BB24:BB220),"")))</f>
        <v>27.6</v>
      </c>
      <c r="BD24" s="13">
        <f>IF('Données projet'!$A$88&gt;35,BD23+BC24-BL23,IF(A24&lt;'Données projet'!$A$88,$BA$205^A24,IF(A24='Données projet'!$A$88,'Données projet'!$B$88,BD23+BC24-BL23)))</f>
        <v>226.99999999999997</v>
      </c>
      <c r="BE24" s="14">
        <f>BD24*VLOOKUP('Données projet'!$B$11,Paramètres!$A$1:$I$89,3,0)*VLOOKUP('Données projet'!$B$11,Paramètres!$A$1:$I$89,5,0)</f>
        <v>100.33399999999999</v>
      </c>
      <c r="BF24" s="14">
        <f t="shared" si="37"/>
        <v>27.041552994167844</v>
      </c>
      <c r="BG24" s="22">
        <f t="shared" si="7"/>
        <v>221.84575479817565</v>
      </c>
      <c r="BH24" s="60">
        <f t="shared" si="8"/>
        <v>515.17908813150893</v>
      </c>
      <c r="BI24" s="60">
        <f ca="1">AVERAGE(OFFSET($BH$3,0,0,'Données projet'!$E$11+1,1))-AVERAGE(OFFSET($H$3,0,0,'Données projet'!$E$11+1,1))</f>
        <v>456.68544269509601</v>
      </c>
      <c r="BJ24" s="60">
        <f t="shared" si="38"/>
        <v>417.22363874931852</v>
      </c>
      <c r="BK24" s="16">
        <f>IF(ISNA(VLOOKUP(A24,'Données projet'!$A$87:$I$107,3,0)),0,VLOOKUP(A24,'Données projet'!$A$87:$I$107,3,0))</f>
        <v>1</v>
      </c>
      <c r="BL24" s="16">
        <f>IF(ISNA(VLOOKUP(A24,'Données projet'!$A$87:$I$107,4,0)),0,VLOOKUP(A24,'Données projet'!$A$87:$I$107,4,0))</f>
        <v>84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7.0855203619909508</v>
      </c>
      <c r="BY24" s="13">
        <f>IF('Données projet'!$A$114&gt;35,BY23+BX24-CG23,IF(A24&lt;'Données projet'!$A$114,$BV$205^A24,IF(A24='Données projet'!$A$114,'Données projet'!$B$114,BY23+BX24-CG23)))</f>
        <v>29.589870148602731</v>
      </c>
      <c r="BZ24" s="14">
        <f>BY24*VLOOKUP('Données projet'!$B$12,Paramètres!$A$1:$I$89,3,0)*VLOOKUP('Données projet'!$B$12,Paramètres!$A$1:$I$89,5,0)</f>
        <v>16.540737413068925</v>
      </c>
      <c r="CA24" s="14">
        <f t="shared" si="39"/>
        <v>5.4987901435180211</v>
      </c>
      <c r="CB24" s="22">
        <f t="shared" si="10"/>
        <v>38.385510494388932</v>
      </c>
      <c r="CC24" s="60">
        <f t="shared" si="11"/>
        <v>331.71884382772225</v>
      </c>
      <c r="CD24" s="60">
        <f ca="1">AVERAGE(OFFSET($CC$3,0,0,'Données projet'!$E$12+1,1))-AVERAGE(OFFSET($H$3,0,0,'Données projet'!$E$12+1,1))</f>
        <v>234.38946271740315</v>
      </c>
      <c r="CE24" s="60">
        <f t="shared" si="40"/>
        <v>123.9494810355684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0" t="e">
        <f t="shared" si="14"/>
        <v>#N/A</v>
      </c>
      <c r="CY24" s="60" t="e">
        <f ca="1">AVERAGE(OFFSET($CX$3,0,0,'Données projet'!$E$13+1,1))-AVERAGE(OFFSET($H$3,0,0,'Données projet'!$E$13+1,1))</f>
        <v>#N/A</v>
      </c>
      <c r="CZ24" s="60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8">
        <f t="shared" si="1"/>
        <v>318.21759373877319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0">
        <f t="shared" si="0"/>
        <v>401.7808352462539</v>
      </c>
      <c r="S25" s="60">
        <f ca="1">AVERAGE(OFFSET($R$3,0,0,'Données projet'!$E$9+1,1))-AVERAGE(OFFSET($H$3,0,0,'Données projet'!$E$9+1,1))</f>
        <v>314.4389771131751</v>
      </c>
      <c r="T25" s="60">
        <f t="shared" si="34"/>
        <v>176.7239677722049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1.8</v>
      </c>
      <c r="AI25" s="14">
        <f>IF('Données projet'!$A$62&gt;35,AI24+AH25-AQ24,IF(A25&lt;'Données projet'!$A$62,$AF$205^A25,IF(A25='Données projet'!$A$62,'Données projet'!$B$62,AI24+AH25-AQ24)))</f>
        <v>18.63897777730768</v>
      </c>
      <c r="AJ25" s="14">
        <f>AI25*VLOOKUP('Données projet'!$B$10,Paramètres!$A$1:$I$89,3,0)*VLOOKUP('Données projet'!$B$10,Paramètres!$A$1:$I$89,5,0)</f>
        <v>16.864547092907991</v>
      </c>
      <c r="AK25" s="14">
        <f t="shared" si="35"/>
        <v>5.5937994806913727</v>
      </c>
      <c r="AL25" s="22">
        <f t="shared" si="4"/>
        <v>39.114953615685558</v>
      </c>
      <c r="AM25" s="60">
        <f t="shared" si="5"/>
        <v>332.44828694901889</v>
      </c>
      <c r="AN25" s="60">
        <f ca="1">AVERAGE(OFFSET($AM$3,0,0,'Données projet'!$E$10+1,1))-AVERAGE(OFFSET($H$3,0,0,'Données projet'!$E$10+1,1))</f>
        <v>210.85498515082651</v>
      </c>
      <c r="AO25" s="60">
        <f t="shared" si="36"/>
        <v>76.413905647258389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35.200000000000003</v>
      </c>
      <c r="BD25" s="13">
        <f>IF('Données projet'!$A$88&gt;35,BD24+BC25-BL24,IF(A25&lt;'Données projet'!$A$88,$BA$205^A25,IF(A25='Données projet'!$A$88,'Données projet'!$B$88,BD24+BC25-BL24)))</f>
        <v>178.2</v>
      </c>
      <c r="BE25" s="14">
        <f>BD25*VLOOKUP('Données projet'!$B$11,Paramètres!$A$1:$I$89,3,0)*VLOOKUP('Données projet'!$B$11,Paramètres!$A$1:$I$89,5,0)</f>
        <v>78.764400000000009</v>
      </c>
      <c r="BF25" s="14">
        <f t="shared" si="37"/>
        <v>21.83480036447164</v>
      </c>
      <c r="BG25" s="22">
        <f t="shared" si="7"/>
        <v>175.21027396812144</v>
      </c>
      <c r="BH25" s="60">
        <f t="shared" si="8"/>
        <v>468.54360730145476</v>
      </c>
      <c r="BI25" s="60">
        <f ca="1">AVERAGE(OFFSET($BH$3,0,0,'Données projet'!$E$11+1,1))-AVERAGE(OFFSET($H$3,0,0,'Données projet'!$E$11+1,1))</f>
        <v>456.68544269509601</v>
      </c>
      <c r="BJ25" s="60">
        <f t="shared" si="38"/>
        <v>417.22363874931852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7.0855203619909508</v>
      </c>
      <c r="BY25" s="13">
        <f>IF('Données projet'!$A$114&gt;35,BY24+BX25-CG24,IF(A25&lt;'Données projet'!$A$114,$BV$205^A25,IF(A25='Données projet'!$A$114,'Données projet'!$B$114,BY24+BX25-CG24)))</f>
        <v>34.769423568925532</v>
      </c>
      <c r="BZ25" s="14">
        <f>BY25*VLOOKUP('Données projet'!$B$12,Paramètres!$A$1:$I$89,3,0)*VLOOKUP('Données projet'!$B$12,Paramètres!$A$1:$I$89,5,0)</f>
        <v>19.436107775029374</v>
      </c>
      <c r="CA25" s="14">
        <f t="shared" si="39"/>
        <v>6.341138531805905</v>
      </c>
      <c r="CB25" s="22">
        <f t="shared" si="10"/>
        <v>44.895370651071438</v>
      </c>
      <c r="CC25" s="60">
        <f t="shared" si="11"/>
        <v>338.22870398440477</v>
      </c>
      <c r="CD25" s="60">
        <f ca="1">AVERAGE(OFFSET($CC$3,0,0,'Données projet'!$E$12+1,1))-AVERAGE(OFFSET($H$3,0,0,'Données projet'!$E$12+1,1))</f>
        <v>234.38946271740315</v>
      </c>
      <c r="CE25" s="60">
        <f t="shared" si="40"/>
        <v>123.9494810355684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0" t="e">
        <f t="shared" si="14"/>
        <v>#N/A</v>
      </c>
      <c r="CY25" s="60" t="e">
        <f ca="1">AVERAGE(OFFSET($CX$3,0,0,'Données projet'!$E$13+1,1))-AVERAGE(OFFSET($H$3,0,0,'Données projet'!$E$13+1,1))</f>
        <v>#N/A</v>
      </c>
      <c r="CZ25" s="60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8">
        <f t="shared" si="1"/>
        <v>319.31387484448885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0">
        <f t="shared" si="0"/>
        <v>412.88129961889177</v>
      </c>
      <c r="S26" s="60">
        <f ca="1">AVERAGE(OFFSET($R$3,0,0,'Données projet'!$E$9+1,1))-AVERAGE(OFFSET($H$3,0,0,'Données projet'!$E$9+1,1))</f>
        <v>314.4389771131751</v>
      </c>
      <c r="T26" s="60">
        <f t="shared" si="34"/>
        <v>176.7239677722049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1.8</v>
      </c>
      <c r="AI26" s="14">
        <f>IF('Données projet'!$A$62&gt;35,AI25+AH26-AQ25,IF(A26&lt;'Données projet'!$A$62,$AF$205^A26,IF(A26='Données projet'!$A$62,'Données projet'!$B$62,AI25+AH26-AQ25)))</f>
        <v>21.289651346330135</v>
      </c>
      <c r="AJ26" s="14">
        <f>AI26*VLOOKUP('Données projet'!$B$10,Paramètres!$A$1:$I$89,3,0)*VLOOKUP('Données projet'!$B$10,Paramètres!$A$1:$I$89,5,0)</f>
        <v>19.262876538159507</v>
      </c>
      <c r="AK26" s="14">
        <f t="shared" si="35"/>
        <v>6.2911735390560919</v>
      </c>
      <c r="AL26" s="22">
        <f t="shared" si="4"/>
        <v>44.506637217817172</v>
      </c>
      <c r="AM26" s="60">
        <f t="shared" si="5"/>
        <v>337.83997055115049</v>
      </c>
      <c r="AN26" s="60">
        <f ca="1">AVERAGE(OFFSET($AM$3,0,0,'Données projet'!$E$10+1,1))-AVERAGE(OFFSET($H$3,0,0,'Données projet'!$E$10+1,1))</f>
        <v>210.85498515082651</v>
      </c>
      <c r="AO26" s="60">
        <f t="shared" si="36"/>
        <v>76.413905647258389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35.200000000000003</v>
      </c>
      <c r="BD26" s="13">
        <f>IF('Données projet'!$A$88&gt;35,BD25+BC26-BL25,IF(A26&lt;'Données projet'!$A$88,$BA$205^A26,IF(A26='Données projet'!$A$88,'Données projet'!$B$88,BD25+BC26-BL25)))</f>
        <v>213.39999999999998</v>
      </c>
      <c r="BE26" s="14">
        <f>BD26*VLOOKUP('Données projet'!$B$11,Paramètres!$A$1:$I$89,3,0)*VLOOKUP('Données projet'!$B$11,Paramètres!$A$1:$I$89,5,0)</f>
        <v>94.322800000000001</v>
      </c>
      <c r="BF26" s="14">
        <f t="shared" si="37"/>
        <v>25.6049166969356</v>
      </c>
      <c r="BG26" s="22">
        <f t="shared" si="7"/>
        <v>208.87410658049615</v>
      </c>
      <c r="BH26" s="60">
        <f t="shared" si="8"/>
        <v>502.20743991382949</v>
      </c>
      <c r="BI26" s="60">
        <f ca="1">AVERAGE(OFFSET($BH$3,0,0,'Données projet'!$E$11+1,1))-AVERAGE(OFFSET($H$3,0,0,'Données projet'!$E$11+1,1))</f>
        <v>456.68544269509601</v>
      </c>
      <c r="BJ26" s="60">
        <f t="shared" si="38"/>
        <v>417.22363874931852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7.0855203619909508</v>
      </c>
      <c r="BY26" s="13">
        <f>IF('Données projet'!$A$114&gt;35,BY25+BX26-CG25,IF(A26&lt;'Données projet'!$A$114,$BV$205^A26,IF(A26='Données projet'!$A$114,'Données projet'!$B$114,BY25+BX26-CG25)))</f>
        <v>40.855630972494836</v>
      </c>
      <c r="BZ26" s="14">
        <f>BY26*VLOOKUP('Données projet'!$B$12,Paramètres!$A$1:$I$89,3,0)*VLOOKUP('Données projet'!$B$12,Paramètres!$A$1:$I$89,5,0)</f>
        <v>22.838297713624613</v>
      </c>
      <c r="CA26" s="14">
        <f t="shared" si="39"/>
        <v>7.3125245426856598</v>
      </c>
      <c r="CB26" s="22">
        <f t="shared" si="10"/>
        <v>52.512682096407055</v>
      </c>
      <c r="CC26" s="60">
        <f t="shared" si="11"/>
        <v>345.84601542974036</v>
      </c>
      <c r="CD26" s="60">
        <f ca="1">AVERAGE(OFFSET($CC$3,0,0,'Données projet'!$E$12+1,1))-AVERAGE(OFFSET($H$3,0,0,'Données projet'!$E$12+1,1))</f>
        <v>234.38946271740315</v>
      </c>
      <c r="CE26" s="60">
        <f t="shared" si="40"/>
        <v>123.9494810355684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0" t="e">
        <f t="shared" si="14"/>
        <v>#N/A</v>
      </c>
      <c r="CY26" s="60" t="e">
        <f ca="1">AVERAGE(OFFSET($CX$3,0,0,'Données projet'!$E$13+1,1))-AVERAGE(OFFSET($H$3,0,0,'Données projet'!$E$13+1,1))</f>
        <v>#N/A</v>
      </c>
      <c r="CZ26" s="60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8">
        <f t="shared" si="1"/>
        <v>320.40885038678698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0">
        <f t="shared" si="0"/>
        <v>423.95663605630523</v>
      </c>
      <c r="S27" s="60">
        <f ca="1">AVERAGE(OFFSET($R$3,0,0,'Données projet'!$E$9+1,1))-AVERAGE(OFFSET($H$3,0,0,'Données projet'!$E$9+1,1))</f>
        <v>314.4389771131751</v>
      </c>
      <c r="T27" s="60">
        <f t="shared" si="34"/>
        <v>176.7239677722049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1.8</v>
      </c>
      <c r="AI27" s="14">
        <f>IF('Données projet'!$A$62&gt;35,AI26+AH27-AQ26,IF(A27&lt;'Données projet'!$A$62,$AF$205^A27,IF(A27='Données projet'!$A$62,'Données projet'!$B$62,AI26+AH27-AQ26)))</f>
        <v>24.317280693371075</v>
      </c>
      <c r="AJ27" s="14">
        <f>AI27*VLOOKUP('Données projet'!$B$10,Paramètres!$A$1:$I$89,3,0)*VLOOKUP('Données projet'!$B$10,Paramètres!$A$1:$I$89,5,0)</f>
        <v>22.002275571362148</v>
      </c>
      <c r="AK27" s="14">
        <f t="shared" si="35"/>
        <v>7.0754886075443943</v>
      </c>
      <c r="AL27" s="22">
        <f t="shared" si="4"/>
        <v>50.643772611595551</v>
      </c>
      <c r="AM27" s="60">
        <f t="shared" si="5"/>
        <v>343.97710594492889</v>
      </c>
      <c r="AN27" s="60">
        <f ca="1">AVERAGE(OFFSET($AM$3,0,0,'Données projet'!$E$10+1,1))-AVERAGE(OFFSET($H$3,0,0,'Données projet'!$E$10+1,1))</f>
        <v>210.85498515082651</v>
      </c>
      <c r="AO27" s="60">
        <f t="shared" si="36"/>
        <v>76.413905647258389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35.200000000000003</v>
      </c>
      <c r="BD27" s="13">
        <f>IF('Données projet'!$A$88&gt;35,BD26+BC27-BL26,IF(A27&lt;'Données projet'!$A$88,$BA$205^A27,IF(A27='Données projet'!$A$88,'Données projet'!$B$88,BD26+BC27-BL26)))</f>
        <v>248.59999999999997</v>
      </c>
      <c r="BE27" s="14">
        <f>BD27*VLOOKUP('Données projet'!$B$11,Paramètres!$A$1:$I$89,3,0)*VLOOKUP('Données projet'!$B$11,Paramètres!$A$1:$I$89,5,0)</f>
        <v>109.88120000000001</v>
      </c>
      <c r="BF27" s="14">
        <f t="shared" si="37"/>
        <v>29.302992605893348</v>
      </c>
      <c r="BG27" s="22">
        <f t="shared" si="7"/>
        <v>242.41246878859752</v>
      </c>
      <c r="BH27" s="60">
        <f t="shared" si="8"/>
        <v>535.74580212193086</v>
      </c>
      <c r="BI27" s="60">
        <f ca="1">AVERAGE(OFFSET($BH$3,0,0,'Données projet'!$E$11+1,1))-AVERAGE(OFFSET($H$3,0,0,'Données projet'!$E$11+1,1))</f>
        <v>456.68544269509601</v>
      </c>
      <c r="BJ27" s="60">
        <f t="shared" si="38"/>
        <v>417.22363874931852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7.0855203619909508</v>
      </c>
      <c r="BY27" s="13">
        <f>IF('Données projet'!$A$114&gt;35,BY26+BX27-CG26,IF(A27&lt;'Données projet'!$A$114,$BV$205^A27,IF(A27='Données projet'!$A$114,'Données projet'!$B$114,BY26+BX27-CG26)))</f>
        <v>48.007197440353238</v>
      </c>
      <c r="BZ27" s="14">
        <f>BY27*VLOOKUP('Données projet'!$B$12,Paramètres!$A$1:$I$89,3,0)*VLOOKUP('Données projet'!$B$12,Paramètres!$A$1:$I$89,5,0)</f>
        <v>26.836023369157459</v>
      </c>
      <c r="CA27" s="14">
        <f t="shared" si="39"/>
        <v>8.4327151850050175</v>
      </c>
      <c r="CB27" s="22">
        <f t="shared" si="10"/>
        <v>61.426386315166305</v>
      </c>
      <c r="CC27" s="60">
        <f t="shared" si="11"/>
        <v>354.75971964849964</v>
      </c>
      <c r="CD27" s="60">
        <f ca="1">AVERAGE(OFFSET($CC$3,0,0,'Données projet'!$E$12+1,1))-AVERAGE(OFFSET($H$3,0,0,'Données projet'!$E$12+1,1))</f>
        <v>234.38946271740315</v>
      </c>
      <c r="CE27" s="60">
        <f t="shared" si="40"/>
        <v>123.9494810355684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0" t="e">
        <f t="shared" si="14"/>
        <v>#N/A</v>
      </c>
      <c r="CY27" s="60" t="e">
        <f ca="1">AVERAGE(OFFSET($CX$3,0,0,'Données projet'!$E$13+1,1))-AVERAGE(OFFSET($H$3,0,0,'Données projet'!$E$13+1,1))</f>
        <v>#N/A</v>
      </c>
      <c r="CZ27" s="60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8">
        <f t="shared" si="1"/>
        <v>321.50258098486643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0">
        <f t="shared" si="0"/>
        <v>435.00927803996467</v>
      </c>
      <c r="S28" s="60">
        <f ca="1">AVERAGE(OFFSET($R$3,0,0,'Données projet'!$E$9+1,1))-AVERAGE(OFFSET($H$3,0,0,'Données projet'!$E$9+1,1))</f>
        <v>314.4389771131751</v>
      </c>
      <c r="T28" s="60">
        <f t="shared" si="34"/>
        <v>176.7239677722049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1.8</v>
      </c>
      <c r="AI28" s="14">
        <f>IF('Données projet'!$A$62&gt;35,AI27+AH28-AQ27,IF(A28&lt;'Données projet'!$A$62,$AF$205^A28,IF(A28='Données projet'!$A$62,'Données projet'!$B$62,AI27+AH28-AQ27)))</f>
        <v>27.775473195906979</v>
      </c>
      <c r="AJ28" s="14">
        <f>AI28*VLOOKUP('Données projet'!$B$10,Paramètres!$A$1:$I$89,3,0)*VLOOKUP('Données projet'!$B$10,Paramètres!$A$1:$I$89,5,0)</f>
        <v>25.131248147656638</v>
      </c>
      <c r="AK28" s="14">
        <f t="shared" si="35"/>
        <v>7.9575835453748658</v>
      </c>
      <c r="AL28" s="22">
        <f t="shared" si="4"/>
        <v>57.629715198696537</v>
      </c>
      <c r="AM28" s="60">
        <f t="shared" si="5"/>
        <v>350.96304853202986</v>
      </c>
      <c r="AN28" s="60">
        <f ca="1">AVERAGE(OFFSET($AM$3,0,0,'Données projet'!$E$10+1,1))-AVERAGE(OFFSET($H$3,0,0,'Données projet'!$E$10+1,1))</f>
        <v>210.85498515082651</v>
      </c>
      <c r="AO28" s="60">
        <f t="shared" si="36"/>
        <v>76.413905647258389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35.200000000000003</v>
      </c>
      <c r="BD28" s="13">
        <f>IF('Données projet'!$A$88&gt;35,BD27+BC28-BL27,IF(A28&lt;'Données projet'!$A$88,$BA$205^A28,IF(A28='Données projet'!$A$88,'Données projet'!$B$88,BD27+BC28-BL27)))</f>
        <v>283.79999999999995</v>
      </c>
      <c r="BE28" s="14">
        <f>BD28*VLOOKUP('Données projet'!$B$11,Paramètres!$A$1:$I$89,3,0)*VLOOKUP('Données projet'!$B$11,Paramètres!$A$1:$I$89,5,0)</f>
        <v>125.4396</v>
      </c>
      <c r="BF28" s="14">
        <f t="shared" si="37"/>
        <v>32.940404724987246</v>
      </c>
      <c r="BG28" s="22">
        <f t="shared" si="7"/>
        <v>275.8451748960195</v>
      </c>
      <c r="BH28" s="60">
        <f t="shared" si="8"/>
        <v>569.17850822935281</v>
      </c>
      <c r="BI28" s="60">
        <f ca="1">AVERAGE(OFFSET($BH$3,0,0,'Données projet'!$E$11+1,1))-AVERAGE(OFFSET($H$3,0,0,'Données projet'!$E$11+1,1))</f>
        <v>456.68544269509601</v>
      </c>
      <c r="BJ28" s="60">
        <f t="shared" si="38"/>
        <v>417.22363874931852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7.0855203619909508</v>
      </c>
      <c r="BY28" s="13">
        <f>IF('Données projet'!$A$114&gt;35,BY27+BX28-CG27,IF(A28&lt;'Données projet'!$A$114,$BV$205^A28,IF(A28='Données projet'!$A$114,'Données projet'!$B$114,BY27+BX28-CG27)))</f>
        <v>56.410608555492423</v>
      </c>
      <c r="BZ28" s="14">
        <f>BY28*VLOOKUP('Données projet'!$B$12,Paramètres!$A$1:$I$89,3,0)*VLOOKUP('Données projet'!$B$12,Paramètres!$A$1:$I$89,5,0)</f>
        <v>31.533530182520266</v>
      </c>
      <c r="CA28" s="14">
        <f t="shared" si="39"/>
        <v>9.7245055351701541</v>
      </c>
      <c r="CB28" s="22">
        <f t="shared" si="10"/>
        <v>71.85774554164415</v>
      </c>
      <c r="CC28" s="60">
        <f t="shared" si="11"/>
        <v>365.19107887497745</v>
      </c>
      <c r="CD28" s="60">
        <f ca="1">AVERAGE(OFFSET($CC$3,0,0,'Données projet'!$E$12+1,1))-AVERAGE(OFFSET($H$3,0,0,'Données projet'!$E$12+1,1))</f>
        <v>234.38946271740315</v>
      </c>
      <c r="CE28" s="60">
        <f t="shared" si="40"/>
        <v>123.9494810355684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0" t="e">
        <f t="shared" si="14"/>
        <v>#N/A</v>
      </c>
      <c r="CY28" s="60" t="e">
        <f ca="1">AVERAGE(OFFSET($CX$3,0,0,'Données projet'!$E$13+1,1))-AVERAGE(OFFSET($H$3,0,0,'Données projet'!$E$13+1,1))</f>
        <v>#N/A</v>
      </c>
      <c r="CZ28" s="60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8">
        <f t="shared" si="1"/>
        <v>322.59512213389104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0">
        <f t="shared" si="0"/>
        <v>448.79621558952238</v>
      </c>
      <c r="S29" s="60">
        <f ca="1">AVERAGE(OFFSET($R$3,0,0,'Données projet'!$E$9+1,1))-AVERAGE(OFFSET($H$3,0,0,'Données projet'!$E$9+1,1))</f>
        <v>314.4389771131751</v>
      </c>
      <c r="T29" s="60">
        <f t="shared" si="34"/>
        <v>176.7239677722049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1.8</v>
      </c>
      <c r="AI29" s="14">
        <f>IF('Données projet'!$A$62&gt;35,AI28+AH29-AQ28,IF(A29&lt;'Données projet'!$A$62,$AF$205^A29,IF(A29='Données projet'!$A$62,'Données projet'!$B$62,AI28+AH29-AQ28)))</f>
        <v>31.725459807142535</v>
      </c>
      <c r="AJ29" s="14">
        <f>AI29*VLOOKUP('Données projet'!$B$10,Paramètres!$A$1:$I$89,3,0)*VLOOKUP('Données projet'!$B$10,Paramètres!$A$1:$I$89,5,0)</f>
        <v>28.705196033502563</v>
      </c>
      <c r="AK29" s="14">
        <f t="shared" si="35"/>
        <v>8.9496484828059941</v>
      </c>
      <c r="AL29" s="22">
        <f t="shared" si="4"/>
        <v>65.582187532570742</v>
      </c>
      <c r="AM29" s="60">
        <f t="shared" si="5"/>
        <v>358.91552086590406</v>
      </c>
      <c r="AN29" s="60">
        <f ca="1">AVERAGE(OFFSET($AM$3,0,0,'Données projet'!$E$10+1,1))-AVERAGE(OFFSET($H$3,0,0,'Données projet'!$E$10+1,1))</f>
        <v>210.85498515082651</v>
      </c>
      <c r="AO29" s="60">
        <f t="shared" si="36"/>
        <v>76.413905647258389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>
        <f>VLOOKUP(A29,'Données projet'!$A$87:$I$107,2,0)</f>
        <v>319</v>
      </c>
      <c r="BB29" s="13">
        <f>VLOOKUP(A29,'Données projet'!$A$87:$I$107,9,0)</f>
        <v>35.200000000000003</v>
      </c>
      <c r="BC29" s="13">
        <f t="array" ref="BC29">INDEX(BB:BB,MIN(IF(ISNUMBER(BB29:BB225),ROW(BB29:BB225),"")))</f>
        <v>35.200000000000003</v>
      </c>
      <c r="BD29" s="13">
        <f>IF('Données projet'!$A$88&gt;35,BD28+BC29-BL28,IF(A29&lt;'Données projet'!$A$88,$BA$205^A29,IF(A29='Données projet'!$A$88,'Données projet'!$B$88,BD28+BC29-BL28)))</f>
        <v>318.99999999999994</v>
      </c>
      <c r="BE29" s="14">
        <f>BD29*VLOOKUP('Données projet'!$B$11,Paramètres!$A$1:$I$89,3,0)*VLOOKUP('Données projet'!$B$11,Paramètres!$A$1:$I$89,5,0)</f>
        <v>140.99799999999999</v>
      </c>
      <c r="BF29" s="14">
        <f t="shared" si="37"/>
        <v>36.525538677563652</v>
      </c>
      <c r="BG29" s="22">
        <f t="shared" si="7"/>
        <v>309.18682986342333</v>
      </c>
      <c r="BH29" s="60">
        <f t="shared" si="8"/>
        <v>602.52016319675658</v>
      </c>
      <c r="BI29" s="60">
        <f ca="1">AVERAGE(OFFSET($BH$3,0,0,'Données projet'!$E$11+1,1))-AVERAGE(OFFSET($H$3,0,0,'Données projet'!$E$11+1,1))</f>
        <v>456.68544269509601</v>
      </c>
      <c r="BJ29" s="60">
        <f t="shared" si="38"/>
        <v>417.22363874931852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7.0855203619909508</v>
      </c>
      <c r="BY29" s="13">
        <f>IF('Données projet'!$A$114&gt;35,BY28+BX29-CG28,IF(A29&lt;'Données projet'!$A$114,$BV$205^A29,IF(A29='Données projet'!$A$114,'Données projet'!$B$114,BY28+BX29-CG28)))</f>
        <v>66.284993235747223</v>
      </c>
      <c r="BZ29" s="14">
        <f>BY29*VLOOKUP('Données projet'!$B$12,Paramètres!$A$1:$I$89,3,0)*VLOOKUP('Données projet'!$B$12,Paramètres!$A$1:$I$89,5,0)</f>
        <v>37.053311218782696</v>
      </c>
      <c r="CA29" s="14">
        <f t="shared" si="39"/>
        <v>11.214182600606669</v>
      </c>
      <c r="CB29" s="22">
        <f t="shared" si="10"/>
        <v>84.065885068769816</v>
      </c>
      <c r="CC29" s="60">
        <f t="shared" si="11"/>
        <v>377.39921840210314</v>
      </c>
      <c r="CD29" s="60">
        <f ca="1">AVERAGE(OFFSET($CC$3,0,0,'Données projet'!$E$12+1,1))-AVERAGE(OFFSET($H$3,0,0,'Données projet'!$E$12+1,1))</f>
        <v>234.38946271740315</v>
      </c>
      <c r="CE29" s="60">
        <f t="shared" si="40"/>
        <v>123.9494810355684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0" t="e">
        <f t="shared" si="14"/>
        <v>#N/A</v>
      </c>
      <c r="CY29" s="60" t="e">
        <f ca="1">AVERAGE(OFFSET($CX$3,0,0,'Données projet'!$E$13+1,1))-AVERAGE(OFFSET($H$3,0,0,'Données projet'!$E$13+1,1))</f>
        <v>#N/A</v>
      </c>
      <c r="CZ29" s="60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8">
        <f t="shared" si="1"/>
        <v>323.68652481841508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0">
        <f t="shared" si="0"/>
        <v>462.55410206940076</v>
      </c>
      <c r="S30" s="60">
        <f ca="1">AVERAGE(OFFSET($R$3,0,0,'Données projet'!$E$9+1,1))-AVERAGE(OFFSET($H$3,0,0,'Données projet'!$E$9+1,1))</f>
        <v>314.4389771131751</v>
      </c>
      <c r="T30" s="60">
        <f t="shared" si="34"/>
        <v>176.7239677722049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1.8</v>
      </c>
      <c r="AI30" s="14">
        <f>IF('Données projet'!$A$62&gt;35,AI29+AH30-AQ29,IF(A30&lt;'Données projet'!$A$62,$AF$205^A30,IF(A30='Données projet'!$A$62,'Données projet'!$B$62,AI29+AH30-AQ29)))</f>
        <v>36.237179214751805</v>
      </c>
      <c r="AJ30" s="14">
        <f>AI30*VLOOKUP('Données projet'!$B$10,Paramètres!$A$1:$I$89,3,0)*VLOOKUP('Données projet'!$B$10,Paramètres!$A$1:$I$89,5,0)</f>
        <v>32.78739975350743</v>
      </c>
      <c r="AK30" s="14">
        <f t="shared" si="35"/>
        <v>10.065393282907534</v>
      </c>
      <c r="AL30" s="22">
        <f t="shared" si="4"/>
        <v>74.635281205089385</v>
      </c>
      <c r="AM30" s="60">
        <f t="shared" si="5"/>
        <v>367.96861453842268</v>
      </c>
      <c r="AN30" s="60">
        <f ca="1">AVERAGE(OFFSET($AM$3,0,0,'Données projet'!$E$10+1,1))-AVERAGE(OFFSET($H$3,0,0,'Données projet'!$E$10+1,1))</f>
        <v>210.85498515082651</v>
      </c>
      <c r="AO30" s="60">
        <f t="shared" si="36"/>
        <v>76.413905647258389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37.6</v>
      </c>
      <c r="BD30" s="13">
        <f>IF('Données projet'!$A$88&gt;35,BD29+BC30-BL29,IF(A30&lt;'Données projet'!$A$88,$BA$205^A30,IF(A30='Données projet'!$A$88,'Données projet'!$B$88,BD29+BC30-BL29)))</f>
        <v>356.59999999999997</v>
      </c>
      <c r="BE30" s="14">
        <f>BD30*VLOOKUP('Données projet'!$B$11,Paramètres!$A$1:$I$89,3,0)*VLOOKUP('Données projet'!$B$11,Paramètres!$A$1:$I$89,5,0)</f>
        <v>157.6172</v>
      </c>
      <c r="BF30" s="14">
        <f t="shared" si="37"/>
        <v>40.304599784492368</v>
      </c>
      <c r="BG30" s="22">
        <f t="shared" si="7"/>
        <v>344.71380129132416</v>
      </c>
      <c r="BH30" s="60">
        <f t="shared" si="8"/>
        <v>638.04713462465747</v>
      </c>
      <c r="BI30" s="60">
        <f ca="1">AVERAGE(OFFSET($BH$3,0,0,'Données projet'!$E$11+1,1))-AVERAGE(OFFSET($H$3,0,0,'Données projet'!$E$11+1,1))</f>
        <v>456.68544269509601</v>
      </c>
      <c r="BJ30" s="60">
        <f t="shared" si="38"/>
        <v>417.22363874931852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7.0855203619909508</v>
      </c>
      <c r="BY30" s="13">
        <f>IF('Données projet'!$A$114&gt;35,BY29+BX30-CG29,IF(A30&lt;'Données projet'!$A$114,$BV$205^A30,IF(A30='Données projet'!$A$114,'Données projet'!$B$114,BY29+BX30-CG29)))</f>
        <v>77.887837780386093</v>
      </c>
      <c r="BZ30" s="14">
        <f>BY30*VLOOKUP('Données projet'!$B$12,Paramètres!$A$1:$I$89,3,0)*VLOOKUP('Données projet'!$B$12,Paramètres!$A$1:$I$89,5,0)</f>
        <v>43.539301319235825</v>
      </c>
      <c r="CA30" s="14">
        <f t="shared" si="39"/>
        <v>12.932060241513231</v>
      </c>
      <c r="CB30" s="22">
        <f t="shared" si="10"/>
        <v>98.354288051637937</v>
      </c>
      <c r="CC30" s="60">
        <f t="shared" si="11"/>
        <v>391.68762138497124</v>
      </c>
      <c r="CD30" s="60">
        <f ca="1">AVERAGE(OFFSET($CC$3,0,0,'Données projet'!$E$12+1,1))-AVERAGE(OFFSET($H$3,0,0,'Données projet'!$E$12+1,1))</f>
        <v>234.38946271740315</v>
      </c>
      <c r="CE30" s="60">
        <f t="shared" si="40"/>
        <v>123.9494810355684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0" t="e">
        <f t="shared" si="14"/>
        <v>#N/A</v>
      </c>
      <c r="CY30" s="60" t="e">
        <f ca="1">AVERAGE(OFFSET($CX$3,0,0,'Données projet'!$E$13+1,1))-AVERAGE(OFFSET($H$3,0,0,'Données projet'!$E$13+1,1))</f>
        <v>#N/A</v>
      </c>
      <c r="CZ30" s="60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8">
        <f t="shared" si="1"/>
        <v>324.77683603237602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0">
        <f t="shared" si="0"/>
        <v>476.28563363945864</v>
      </c>
      <c r="S31" s="60">
        <f ca="1">AVERAGE(OFFSET($R$3,0,0,'Données projet'!$E$9+1,1))-AVERAGE(OFFSET($H$3,0,0,'Données projet'!$E$9+1,1))</f>
        <v>314.4389771131751</v>
      </c>
      <c r="T31" s="60">
        <f t="shared" si="34"/>
        <v>176.7239677722049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1.8</v>
      </c>
      <c r="AI31" s="14">
        <f>IF('Données projet'!$A$62&gt;35,AI30+AH31-AQ30,IF(A31&lt;'Données projet'!$A$62,$AF$205^A31,IF(A31='Données projet'!$A$62,'Données projet'!$B$62,AI30+AH31-AQ30)))</f>
        <v>41.390516179261404</v>
      </c>
      <c r="AJ31" s="14">
        <f>AI31*VLOOKUP('Données projet'!$B$10,Paramètres!$A$1:$I$89,3,0)*VLOOKUP('Données projet'!$B$10,Paramètres!$A$1:$I$89,5,0)</f>
        <v>37.450139038995715</v>
      </c>
      <c r="AK31" s="14">
        <f t="shared" si="35"/>
        <v>11.320237005312592</v>
      </c>
      <c r="AL31" s="22">
        <f t="shared" si="4"/>
        <v>84.941738277170302</v>
      </c>
      <c r="AM31" s="60">
        <f t="shared" si="5"/>
        <v>378.27507161050363</v>
      </c>
      <c r="AN31" s="60">
        <f ca="1">AVERAGE(OFFSET($AM$3,0,0,'Données projet'!$E$10+1,1))-AVERAGE(OFFSET($H$3,0,0,'Données projet'!$E$10+1,1))</f>
        <v>210.85498515082651</v>
      </c>
      <c r="AO31" s="60">
        <f t="shared" si="36"/>
        <v>76.413905647258389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37.6</v>
      </c>
      <c r="BD31" s="13">
        <f>IF('Données projet'!$A$88&gt;35,BD30+BC31-BL30,IF(A31&lt;'Données projet'!$A$88,$BA$205^A31,IF(A31='Données projet'!$A$88,'Données projet'!$B$88,BD30+BC31-BL30)))</f>
        <v>394.2</v>
      </c>
      <c r="BE31" s="14">
        <f>BD31*VLOOKUP('Données projet'!$B$11,Paramètres!$A$1:$I$89,3,0)*VLOOKUP('Données projet'!$B$11,Paramètres!$A$1:$I$89,5,0)</f>
        <v>174.2364</v>
      </c>
      <c r="BF31" s="14">
        <f t="shared" si="37"/>
        <v>44.03747274965864</v>
      </c>
      <c r="BG31" s="22">
        <f t="shared" si="7"/>
        <v>380.16032837232211</v>
      </c>
      <c r="BH31" s="60">
        <f t="shared" si="8"/>
        <v>673.49366170565543</v>
      </c>
      <c r="BI31" s="60">
        <f ca="1">AVERAGE(OFFSET($BH$3,0,0,'Données projet'!$E$11+1,1))-AVERAGE(OFFSET($H$3,0,0,'Données projet'!$E$11+1,1))</f>
        <v>456.68544269509601</v>
      </c>
      <c r="BJ31" s="60">
        <f t="shared" si="38"/>
        <v>417.22363874931852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7.0855203619909508</v>
      </c>
      <c r="BY31" s="13">
        <f>IF('Données projet'!$A$114&gt;35,BY30+BX31-CG30,IF(A31&lt;'Données projet'!$A$114,$BV$205^A31,IF(A31='Données projet'!$A$114,'Données projet'!$B$114,BY30+BX31-CG30)))</f>
        <v>91.521700130944467</v>
      </c>
      <c r="BZ31" s="14">
        <f>BY31*VLOOKUP('Données projet'!$B$12,Paramètres!$A$1:$I$89,3,0)*VLOOKUP('Données projet'!$B$12,Paramètres!$A$1:$I$89,5,0)</f>
        <v>51.160630373197961</v>
      </c>
      <c r="CA31" s="14">
        <f t="shared" si="39"/>
        <v>14.913096036181903</v>
      </c>
      <c r="CB31" s="22">
        <f t="shared" si="10"/>
        <v>115.07840682966992</v>
      </c>
      <c r="CC31" s="60">
        <f t="shared" si="11"/>
        <v>408.41174016300323</v>
      </c>
      <c r="CD31" s="60">
        <f ca="1">AVERAGE(OFFSET($CC$3,0,0,'Données projet'!$E$12+1,1))-AVERAGE(OFFSET($H$3,0,0,'Données projet'!$E$12+1,1))</f>
        <v>234.38946271740315</v>
      </c>
      <c r="CE31" s="60">
        <f t="shared" si="40"/>
        <v>123.9494810355684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0" t="e">
        <f t="shared" si="14"/>
        <v>#N/A</v>
      </c>
      <c r="CY31" s="60" t="e">
        <f ca="1">AVERAGE(OFFSET($CX$3,0,0,'Données projet'!$E$13+1,1))-AVERAGE(OFFSET($H$3,0,0,'Données projet'!$E$13+1,1))</f>
        <v>#N/A</v>
      </c>
      <c r="CZ31" s="60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8">
        <f t="shared" si="1"/>
        <v>325.86609922271543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0">
        <f t="shared" si="0"/>
        <v>489.99306810277216</v>
      </c>
      <c r="S32" s="60">
        <f ca="1">AVERAGE(OFFSET($R$3,0,0,'Données projet'!$E$9+1,1))-AVERAGE(OFFSET($H$3,0,0,'Données projet'!$E$9+1,1))</f>
        <v>314.4389771131751</v>
      </c>
      <c r="T32" s="60">
        <f t="shared" si="34"/>
        <v>176.7239677722049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1.8</v>
      </c>
      <c r="AI32" s="14">
        <f>IF('Données projet'!$A$62&gt;35,AI31+AH32-AQ31,IF(A32&lt;'Données projet'!$A$62,$AF$205^A32,IF(A32='Données projet'!$A$62,'Données projet'!$B$62,AI31+AH32-AQ31)))</f>
        <v>47.276715978165399</v>
      </c>
      <c r="AJ32" s="14">
        <f>AI32*VLOOKUP('Données projet'!$B$10,Paramètres!$A$1:$I$89,3,0)*VLOOKUP('Données projet'!$B$10,Paramètres!$A$1:$I$89,5,0)</f>
        <v>42.775972617044054</v>
      </c>
      <c r="AK32" s="14">
        <f t="shared" si="35"/>
        <v>12.731520990248997</v>
      </c>
      <c r="AL32" s="22">
        <f t="shared" si="4"/>
        <v>96.675551366035393</v>
      </c>
      <c r="AM32" s="60">
        <f t="shared" si="5"/>
        <v>390.00888469936871</v>
      </c>
      <c r="AN32" s="60">
        <f ca="1">AVERAGE(OFFSET($AM$3,0,0,'Données projet'!$E$10+1,1))-AVERAGE(OFFSET($H$3,0,0,'Données projet'!$E$10+1,1))</f>
        <v>210.85498515082651</v>
      </c>
      <c r="AO32" s="60">
        <f t="shared" si="36"/>
        <v>76.413905647258389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37.6</v>
      </c>
      <c r="BD32" s="13">
        <f>IF('Données projet'!$A$88&gt;35,BD31+BC32-BL31,IF(A32&lt;'Données projet'!$A$88,$BA$205^A32,IF(A32='Données projet'!$A$88,'Données projet'!$B$88,BD31+BC32-BL31)))</f>
        <v>431.8</v>
      </c>
      <c r="BE32" s="14">
        <f>BD32*VLOOKUP('Données projet'!$B$11,Paramètres!$A$1:$I$89,3,0)*VLOOKUP('Données projet'!$B$11,Paramètres!$A$1:$I$89,5,0)</f>
        <v>190.85560000000001</v>
      </c>
      <c r="BF32" s="14">
        <f t="shared" si="37"/>
        <v>47.729064370082199</v>
      </c>
      <c r="BG32" s="22">
        <f t="shared" si="7"/>
        <v>415.5349571112265</v>
      </c>
      <c r="BH32" s="60">
        <f t="shared" si="8"/>
        <v>708.86829044455976</v>
      </c>
      <c r="BI32" s="60">
        <f ca="1">AVERAGE(OFFSET($BH$3,0,0,'Données projet'!$E$11+1,1))-AVERAGE(OFFSET($H$3,0,0,'Données projet'!$E$11+1,1))</f>
        <v>456.68544269509601</v>
      </c>
      <c r="BJ32" s="60">
        <f t="shared" si="38"/>
        <v>417.22363874931852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7.0855203619909508</v>
      </c>
      <c r="BY32" s="13">
        <f>IF('Données projet'!$A$114&gt;35,BY31+BX32-CG31,IF(A32&lt;'Données projet'!$A$114,$BV$205^A32,IF(A32='Données projet'!$A$114,'Données projet'!$B$114,BY31+BX32-CG31)))</f>
        <v>107.54209942862016</v>
      </c>
      <c r="BZ32" s="14">
        <f>BY32*VLOOKUP('Données projet'!$B$12,Paramètres!$A$1:$I$89,3,0)*VLOOKUP('Données projet'!$B$12,Paramètres!$A$1:$I$89,5,0)</f>
        <v>60.116033580598675</v>
      </c>
      <c r="CA32" s="14">
        <f t="shared" si="39"/>
        <v>17.197602642652111</v>
      </c>
      <c r="CB32" s="22">
        <f t="shared" si="10"/>
        <v>134.65458308882845</v>
      </c>
      <c r="CC32" s="60">
        <f t="shared" si="11"/>
        <v>427.98791642216179</v>
      </c>
      <c r="CD32" s="60">
        <f ca="1">AVERAGE(OFFSET($CC$3,0,0,'Données projet'!$E$12+1,1))-AVERAGE(OFFSET($H$3,0,0,'Données projet'!$E$12+1,1))</f>
        <v>234.38946271740315</v>
      </c>
      <c r="CE32" s="60">
        <f t="shared" si="40"/>
        <v>123.9494810355684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0" t="e">
        <f t="shared" si="14"/>
        <v>#N/A</v>
      </c>
      <c r="CY32" s="60" t="e">
        <f ca="1">AVERAGE(OFFSET($CX$3,0,0,'Données projet'!$E$13+1,1))-AVERAGE(OFFSET($H$3,0,0,'Données projet'!$E$13+1,1))</f>
        <v>#N/A</v>
      </c>
      <c r="CZ32" s="60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8">
        <f t="shared" si="1"/>
        <v>326.95435467009145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0">
        <f t="shared" si="0"/>
        <v>503.67832244229635</v>
      </c>
      <c r="S33" s="60">
        <f ca="1">AVERAGE(OFFSET($R$3,0,0,'Données projet'!$E$9+1,1))-AVERAGE(OFFSET($H$3,0,0,'Données projet'!$E$9+1,1))</f>
        <v>314.4389771131751</v>
      </c>
      <c r="T33" s="60">
        <f t="shared" si="34"/>
        <v>176.7239677722049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1.8</v>
      </c>
      <c r="AH33" s="13">
        <f t="array" ref="AH33">INDEX(AG:AG,MIN(IF(ISNUMBER(AG33:AG229),ROW(AG33:AG229),"")))</f>
        <v>1.8</v>
      </c>
      <c r="AI33" s="14">
        <f>IF('Données projet'!$A$62&gt;35,AI32+AH33-AQ32,IF(A33&lt;'Données projet'!$A$62,$AF$205^A33,IF(A33='Données projet'!$A$62,'Données projet'!$B$62,AI32+AH33-AQ32)))</f>
        <v>54</v>
      </c>
      <c r="AJ33" s="14">
        <f>AI33*VLOOKUP('Données projet'!$B$10,Paramètres!$A$1:$I$89,3,0)*VLOOKUP('Données projet'!$B$10,Paramètres!$A$1:$I$89,5,0)</f>
        <v>48.859199999999994</v>
      </c>
      <c r="AK33" s="14">
        <f t="shared" si="35"/>
        <v>14.318748507569314</v>
      </c>
      <c r="AL33" s="22">
        <f t="shared" si="4"/>
        <v>110.03492698401654</v>
      </c>
      <c r="AM33" s="60">
        <f t="shared" si="5"/>
        <v>403.36826031734984</v>
      </c>
      <c r="AN33" s="60">
        <f ca="1">AVERAGE(OFFSET($AM$3,0,0,'Données projet'!$E$10+1,1))-AVERAGE(OFFSET($H$3,0,0,'Données projet'!$E$10+1,1))</f>
        <v>210.85498515082651</v>
      </c>
      <c r="AO33" s="60">
        <f t="shared" si="36"/>
        <v>76.413905647258389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37.6</v>
      </c>
      <c r="BD33" s="13">
        <f>IF('Données projet'!$A$88&gt;35,BD32+BC33-BL32,IF(A33&lt;'Données projet'!$A$88,$BA$205^A33,IF(A33='Données projet'!$A$88,'Données projet'!$B$88,BD32+BC33-BL32)))</f>
        <v>469.40000000000003</v>
      </c>
      <c r="BE33" s="14">
        <f>BD33*VLOOKUP('Données projet'!$B$11,Paramètres!$A$1:$I$89,3,0)*VLOOKUP('Données projet'!$B$11,Paramètres!$A$1:$I$89,5,0)</f>
        <v>207.47480000000004</v>
      </c>
      <c r="BF33" s="14">
        <f t="shared" si="37"/>
        <v>51.383378039852609</v>
      </c>
      <c r="BG33" s="22">
        <f t="shared" si="7"/>
        <v>450.84466008607666</v>
      </c>
      <c r="BH33" s="60">
        <f t="shared" si="8"/>
        <v>744.17799341940997</v>
      </c>
      <c r="BI33" s="60">
        <f ca="1">AVERAGE(OFFSET($BH$3,0,0,'Données projet'!$E$11+1,1))-AVERAGE(OFFSET($H$3,0,0,'Données projet'!$E$11+1,1))</f>
        <v>456.68544269509601</v>
      </c>
      <c r="BJ33" s="60">
        <f t="shared" si="38"/>
        <v>417.22363874931852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7.0855203619909508</v>
      </c>
      <c r="BY33" s="13">
        <f>IF('Données projet'!$A$114&gt;35,BY32+BX33-CG32,IF(A33&lt;'Données projet'!$A$114,$BV$205^A33,IF(A33='Données projet'!$A$114,'Données projet'!$B$114,BY32+BX33-CG32)))</f>
        <v>126.36678659780355</v>
      </c>
      <c r="BZ33" s="14">
        <f>BY33*VLOOKUP('Données projet'!$B$12,Paramètres!$A$1:$I$89,3,0)*VLOOKUP('Données projet'!$B$12,Paramètres!$A$1:$I$89,5,0)</f>
        <v>70.639033708172192</v>
      </c>
      <c r="CA33" s="14">
        <f t="shared" si="39"/>
        <v>19.83206813239806</v>
      </c>
      <c r="CB33" s="22">
        <f t="shared" si="10"/>
        <v>157.57050237232653</v>
      </c>
      <c r="CC33" s="60">
        <f t="shared" si="11"/>
        <v>450.90383570565984</v>
      </c>
      <c r="CD33" s="60">
        <f ca="1">AVERAGE(OFFSET($CC$3,0,0,'Données projet'!$E$12+1,1))-AVERAGE(OFFSET($H$3,0,0,'Données projet'!$E$12+1,1))</f>
        <v>234.38946271740315</v>
      </c>
      <c r="CE33" s="60">
        <f t="shared" si="40"/>
        <v>123.9494810355684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0" t="e">
        <f t="shared" si="14"/>
        <v>#N/A</v>
      </c>
      <c r="CY33" s="60" t="e">
        <f ca="1">AVERAGE(OFFSET($CX$3,0,0,'Données projet'!$E$13+1,1))-AVERAGE(OFFSET($H$3,0,0,'Données projet'!$E$13+1,1))</f>
        <v>#N/A</v>
      </c>
      <c r="CZ33" s="60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8">
        <f t="shared" si="1"/>
        <v>328.04163981740385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0">
        <f t="shared" si="0"/>
        <v>462.55410206940076</v>
      </c>
      <c r="S34" s="60">
        <f ca="1">AVERAGE(OFFSET($R$3,0,0,'Données projet'!$E$9+1,1))-AVERAGE(OFFSET($H$3,0,0,'Données projet'!$E$9+1,1))</f>
        <v>314.4389771131751</v>
      </c>
      <c r="T34" s="60">
        <f t="shared" si="34"/>
        <v>176.7239677722049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5.2</v>
      </c>
      <c r="AI34" s="14">
        <f>IF('Données projet'!$A$62&gt;35,AI33+AH34-AQ33,IF(A34&lt;'Données projet'!$A$62,$AF$205^A34,IF(A34='Données projet'!$A$62,'Données projet'!$B$62,AI33+AH34-AQ33)))</f>
        <v>59.2</v>
      </c>
      <c r="AJ34" s="14">
        <f>AI34*VLOOKUP('Données projet'!$B$10,Paramètres!$A$1:$I$89,3,0)*VLOOKUP('Données projet'!$B$10,Paramètres!$A$1:$I$89,5,0)</f>
        <v>53.564160000000001</v>
      </c>
      <c r="AK34" s="14">
        <f t="shared" si="35"/>
        <v>15.530498469746302</v>
      </c>
      <c r="AL34" s="22">
        <f t="shared" si="4"/>
        <v>120.33986350147482</v>
      </c>
      <c r="AM34" s="60">
        <f t="shared" si="5"/>
        <v>413.67319683480815</v>
      </c>
      <c r="AN34" s="60">
        <f ca="1">AVERAGE(OFFSET($AM$3,0,0,'Données projet'!$E$10+1,1))-AVERAGE(OFFSET($H$3,0,0,'Données projet'!$E$10+1,1))</f>
        <v>210.85498515082651</v>
      </c>
      <c r="AO34" s="60">
        <f t="shared" si="36"/>
        <v>76.413905647258389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>
        <f>VLOOKUP(A34,'Données projet'!$A$87:$I$107,2,0)</f>
        <v>507</v>
      </c>
      <c r="BB34" s="13">
        <f>VLOOKUP(A34,'Données projet'!$A$87:$I$107,9,0)</f>
        <v>37.6</v>
      </c>
      <c r="BC34" s="13">
        <f t="array" ref="BC34">INDEX(BB:BB,MIN(IF(ISNUMBER(BB34:BB230),ROW(BB34:BB230),"")))</f>
        <v>37.6</v>
      </c>
      <c r="BD34" s="13">
        <f>IF('Données projet'!$A$88&gt;35,BD33+BC34-BL33,IF(A34&lt;'Données projet'!$A$88,$BA$205^A34,IF(A34='Données projet'!$A$88,'Données projet'!$B$88,BD33+BC34-BL33)))</f>
        <v>507.00000000000006</v>
      </c>
      <c r="BE34" s="14">
        <f>BD34*VLOOKUP('Données projet'!$B$11,Paramètres!$A$1:$I$89,3,0)*VLOOKUP('Données projet'!$B$11,Paramètres!$A$1:$I$89,5,0)</f>
        <v>224.09400000000005</v>
      </c>
      <c r="BF34" s="14">
        <f t="shared" si="37"/>
        <v>55.003739293082717</v>
      </c>
      <c r="BG34" s="22">
        <f t="shared" si="7"/>
        <v>486.09522926878577</v>
      </c>
      <c r="BH34" s="60">
        <f t="shared" si="8"/>
        <v>779.42856260211909</v>
      </c>
      <c r="BI34" s="60">
        <f ca="1">AVERAGE(OFFSET($BH$3,0,0,'Données projet'!$E$11+1,1))-AVERAGE(OFFSET($H$3,0,0,'Données projet'!$E$11+1,1))</f>
        <v>456.68544269509601</v>
      </c>
      <c r="BJ34" s="60">
        <f t="shared" si="38"/>
        <v>417.22363874931852</v>
      </c>
      <c r="BK34" s="16">
        <f>IF(ISNA(VLOOKUP(A34,'Données projet'!$A$87:$I$107,3,0)),0,VLOOKUP(A34,'Données projet'!$A$87:$I$107,3,0))</f>
        <v>2</v>
      </c>
      <c r="BL34" s="16">
        <f>IF(ISNA(VLOOKUP(A34,'Données projet'!$A$87:$I$107,4,0)),0,VLOOKUP(A34,'Données projet'!$A$87:$I$107,4,0))</f>
        <v>168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7.0855203619909508</v>
      </c>
      <c r="BY34" s="13">
        <f>IF('Données projet'!$A$114&gt;35,BY33+BX34-CG33,IF(A34&lt;'Données projet'!$A$114,$BV$205^A34,IF(A34='Données projet'!$A$114,'Données projet'!$B$114,BY33+BX34-CG33)))</f>
        <v>148.48663769720966</v>
      </c>
      <c r="BZ34" s="14">
        <f>BY34*VLOOKUP('Données projet'!$B$12,Paramètres!$A$1:$I$89,3,0)*VLOOKUP('Données projet'!$B$12,Paramètres!$A$1:$I$89,5,0)</f>
        <v>83.004030472740197</v>
      </c>
      <c r="CA34" s="14">
        <f t="shared" si="39"/>
        <v>22.870101989251733</v>
      </c>
      <c r="CB34" s="22">
        <f t="shared" si="10"/>
        <v>184.39744737130263</v>
      </c>
      <c r="CC34" s="60">
        <f t="shared" si="11"/>
        <v>477.73078070463595</v>
      </c>
      <c r="CD34" s="60">
        <f ca="1">AVERAGE(OFFSET($CC$3,0,0,'Données projet'!$E$12+1,1))-AVERAGE(OFFSET($H$3,0,0,'Données projet'!$E$12+1,1))</f>
        <v>234.38946271740315</v>
      </c>
      <c r="CE34" s="60">
        <f t="shared" si="40"/>
        <v>123.9494810355684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0" t="e">
        <f t="shared" si="14"/>
        <v>#N/A</v>
      </c>
      <c r="CY34" s="60" t="e">
        <f ca="1">AVERAGE(OFFSET($CX$3,0,0,'Données projet'!$E$13+1,1))-AVERAGE(OFFSET($H$3,0,0,'Données projet'!$E$13+1,1))</f>
        <v>#N/A</v>
      </c>
      <c r="CZ34" s="60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8">
        <f t="shared" si="1"/>
        <v>329.12798955473778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0">
        <f t="shared" si="0"/>
        <v>478.24526587136597</v>
      </c>
      <c r="S35" s="60">
        <f ca="1">AVERAGE(OFFSET($R$3,0,0,'Données projet'!$E$9+1,1))-AVERAGE(OFFSET($H$3,0,0,'Données projet'!$E$9+1,1))</f>
        <v>314.4389771131751</v>
      </c>
      <c r="T35" s="60">
        <f t="shared" si="34"/>
        <v>176.7239677722049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5.2</v>
      </c>
      <c r="AI35" s="14">
        <f>IF('Données projet'!$A$62&gt;35,AI34+AH35-AQ34,IF(A35&lt;'Données projet'!$A$62,$AF$205^A35,IF(A35='Données projet'!$A$62,'Données projet'!$B$62,AI34+AH35-AQ34)))</f>
        <v>64.400000000000006</v>
      </c>
      <c r="AJ35" s="14">
        <f>AI35*VLOOKUP('Données projet'!$B$10,Paramètres!$A$1:$I$89,3,0)*VLOOKUP('Données projet'!$B$10,Paramètres!$A$1:$I$89,5,0)</f>
        <v>58.269120000000008</v>
      </c>
      <c r="AK35" s="14">
        <f t="shared" si="35"/>
        <v>16.729905486873804</v>
      </c>
      <c r="AL35" s="22">
        <f t="shared" si="4"/>
        <v>130.62330272297189</v>
      </c>
      <c r="AM35" s="60">
        <f t="shared" si="5"/>
        <v>423.95663605630523</v>
      </c>
      <c r="AN35" s="60">
        <f ca="1">AVERAGE(OFFSET($AM$3,0,0,'Données projet'!$E$10+1,1))-AVERAGE(OFFSET($H$3,0,0,'Données projet'!$E$10+1,1))</f>
        <v>210.85498515082651</v>
      </c>
      <c r="AO35" s="60">
        <f t="shared" si="36"/>
        <v>76.413905647258389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36.4</v>
      </c>
      <c r="BD35" s="13">
        <f>IF('Données projet'!$A$88&gt;35,BD34+BC35-BL34,IF(A35&lt;'Données projet'!$A$88,$BA$205^A35,IF(A35='Données projet'!$A$88,'Données projet'!$B$88,BD34+BC35-BL34)))</f>
        <v>375.40000000000009</v>
      </c>
      <c r="BE35" s="14">
        <f>BD35*VLOOKUP('Données projet'!$B$11,Paramètres!$A$1:$I$89,3,0)*VLOOKUP('Données projet'!$B$11,Paramètres!$A$1:$I$89,5,0)</f>
        <v>165.92680000000004</v>
      </c>
      <c r="BF35" s="14">
        <f t="shared" si="37"/>
        <v>42.17647867147906</v>
      </c>
      <c r="BG35" s="22">
        <f t="shared" si="7"/>
        <v>362.44654368615943</v>
      </c>
      <c r="BH35" s="60">
        <f t="shared" si="8"/>
        <v>655.77987701949269</v>
      </c>
      <c r="BI35" s="60">
        <f ca="1">AVERAGE(OFFSET($BH$3,0,0,'Données projet'!$E$11+1,1))-AVERAGE(OFFSET($H$3,0,0,'Données projet'!$E$11+1,1))</f>
        <v>456.68544269509601</v>
      </c>
      <c r="BJ35" s="60">
        <f t="shared" si="38"/>
        <v>417.22363874931852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7.0855203619909508</v>
      </c>
      <c r="BY35" s="13">
        <f>IF('Données projet'!$A$114&gt;35,BY34+BX35-CG34,IF(A35&lt;'Données projet'!$A$114,$BV$205^A35,IF(A35='Données projet'!$A$114,'Données projet'!$B$114,BY34+BX35-CG34)))</f>
        <v>174.47845409567168</v>
      </c>
      <c r="BZ35" s="14">
        <f>BY35*VLOOKUP('Données projet'!$B$12,Paramètres!$A$1:$I$89,3,0)*VLOOKUP('Données projet'!$B$12,Paramètres!$A$1:$I$89,5,0)</f>
        <v>97.533455839480467</v>
      </c>
      <c r="CA35" s="14">
        <f t="shared" si="39"/>
        <v>26.3735260239614</v>
      </c>
      <c r="CB35" s="22">
        <f t="shared" si="10"/>
        <v>215.80466007882794</v>
      </c>
      <c r="CC35" s="60">
        <f t="shared" si="11"/>
        <v>509.13799341216122</v>
      </c>
      <c r="CD35" s="60">
        <f ca="1">AVERAGE(OFFSET($CC$3,0,0,'Données projet'!$E$12+1,1))-AVERAGE(OFFSET($H$3,0,0,'Données projet'!$E$12+1,1))</f>
        <v>234.38946271740315</v>
      </c>
      <c r="CE35" s="60">
        <f t="shared" si="40"/>
        <v>123.9494810355684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0" t="e">
        <f t="shared" si="14"/>
        <v>#N/A</v>
      </c>
      <c r="CY35" s="60" t="e">
        <f ca="1">AVERAGE(OFFSET($CX$3,0,0,'Données projet'!$E$13+1,1))-AVERAGE(OFFSET($H$3,0,0,'Données projet'!$E$13+1,1))</f>
        <v>#N/A</v>
      </c>
      <c r="CZ35" s="60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8">
        <f t="shared" si="1"/>
        <v>330.21343646768912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0">
        <f t="shared" si="0"/>
        <v>493.9053274736159</v>
      </c>
      <c r="S36" s="60">
        <f ca="1">AVERAGE(OFFSET($R$3,0,0,'Données projet'!$E$9+1,1))-AVERAGE(OFFSET($H$3,0,0,'Données projet'!$E$9+1,1))</f>
        <v>314.4389771131751</v>
      </c>
      <c r="T36" s="60">
        <f t="shared" si="34"/>
        <v>176.7239677722049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5.2</v>
      </c>
      <c r="AI36" s="14">
        <f>IF('Données projet'!$A$62&gt;35,AI35+AH36-AQ35,IF(A36&lt;'Données projet'!$A$62,$AF$205^A36,IF(A36='Données projet'!$A$62,'Données projet'!$B$62,AI35+AH36-AQ35)))</f>
        <v>69.600000000000009</v>
      </c>
      <c r="AJ36" s="14">
        <f>AI36*VLOOKUP('Données projet'!$B$10,Paramètres!$A$1:$I$89,3,0)*VLOOKUP('Données projet'!$B$10,Paramètres!$A$1:$I$89,5,0)</f>
        <v>62.974080000000008</v>
      </c>
      <c r="AK36" s="14">
        <f t="shared" si="35"/>
        <v>17.91807950185715</v>
      </c>
      <c r="AL36" s="22">
        <f t="shared" si="4"/>
        <v>140.88717779906787</v>
      </c>
      <c r="AM36" s="60">
        <f t="shared" si="5"/>
        <v>434.22051113240116</v>
      </c>
      <c r="AN36" s="60">
        <f ca="1">AVERAGE(OFFSET($AM$3,0,0,'Données projet'!$E$10+1,1))-AVERAGE(OFFSET($H$3,0,0,'Données projet'!$E$10+1,1))</f>
        <v>210.85498515082651</v>
      </c>
      <c r="AO36" s="60">
        <f t="shared" si="36"/>
        <v>76.413905647258389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36.4</v>
      </c>
      <c r="BD36" s="13">
        <f>IF('Données projet'!$A$88&gt;35,BD35+BC36-BL35,IF(A36&lt;'Données projet'!$A$88,$BA$205^A36,IF(A36='Données projet'!$A$88,'Données projet'!$B$88,BD35+BC36-BL35)))</f>
        <v>411.80000000000007</v>
      </c>
      <c r="BE36" s="14">
        <f>BD36*VLOOKUP('Données projet'!$B$11,Paramètres!$A$1:$I$89,3,0)*VLOOKUP('Données projet'!$B$11,Paramètres!$A$1:$I$89,5,0)</f>
        <v>182.01560000000003</v>
      </c>
      <c r="BF36" s="14">
        <f t="shared" si="37"/>
        <v>45.770328992860769</v>
      </c>
      <c r="BG36" s="22">
        <f t="shared" si="7"/>
        <v>396.72715966256595</v>
      </c>
      <c r="BH36" s="60">
        <f t="shared" si="8"/>
        <v>690.06049299589927</v>
      </c>
      <c r="BI36" s="60">
        <f ca="1">AVERAGE(OFFSET($BH$3,0,0,'Données projet'!$E$11+1,1))-AVERAGE(OFFSET($H$3,0,0,'Données projet'!$E$11+1,1))</f>
        <v>456.68544269509601</v>
      </c>
      <c r="BJ36" s="60">
        <f t="shared" si="38"/>
        <v>417.22363874931852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7.0855203619909508</v>
      </c>
      <c r="BY36" s="13">
        <f>IF('Données projet'!$A$114&gt;35,BY35+BX36-CG35,IF(A36&lt;'Données projet'!$A$114,$BV$205^A36,IF(A36='Données projet'!$A$114,'Données projet'!$B$114,BY35+BX36-CG35)))</f>
        <v>205.02000325237</v>
      </c>
      <c r="BZ36" s="14">
        <f>BY36*VLOOKUP('Données projet'!$B$12,Paramètres!$A$1:$I$89,3,0)*VLOOKUP('Données projet'!$B$12,Paramètres!$A$1:$I$89,5,0)</f>
        <v>114.60618181807483</v>
      </c>
      <c r="CA36" s="14">
        <f t="shared" si="39"/>
        <v>30.413632403714789</v>
      </c>
      <c r="CB36" s="22">
        <f t="shared" si="10"/>
        <v>252.57617643628359</v>
      </c>
      <c r="CC36" s="60">
        <f t="shared" si="11"/>
        <v>545.90950976961688</v>
      </c>
      <c r="CD36" s="60">
        <f ca="1">AVERAGE(OFFSET($CC$3,0,0,'Données projet'!$E$12+1,1))-AVERAGE(OFFSET($H$3,0,0,'Données projet'!$E$12+1,1))</f>
        <v>234.38946271740315</v>
      </c>
      <c r="CE36" s="60">
        <f t="shared" si="40"/>
        <v>123.9494810355684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0" t="e">
        <f t="shared" si="14"/>
        <v>#N/A</v>
      </c>
      <c r="CY36" s="60" t="e">
        <f ca="1">AVERAGE(OFFSET($CX$3,0,0,'Données projet'!$E$13+1,1))-AVERAGE(OFFSET($H$3,0,0,'Données projet'!$E$13+1,1))</f>
        <v>#N/A</v>
      </c>
      <c r="CZ36" s="60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8">
        <f t="shared" si="1"/>
        <v>331.29801105474394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0">
        <f t="shared" si="0"/>
        <v>509.537057935093</v>
      </c>
      <c r="S37" s="60">
        <f ca="1">AVERAGE(OFFSET($R$3,0,0,'Données projet'!$E$9+1,1))-AVERAGE(OFFSET($H$3,0,0,'Données projet'!$E$9+1,1))</f>
        <v>314.4389771131751</v>
      </c>
      <c r="T37" s="60">
        <f t="shared" si="34"/>
        <v>176.7239677722049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5.2</v>
      </c>
      <c r="AI37" s="14">
        <f>IF('Données projet'!$A$62&gt;35,AI36+AH37-AQ36,IF(A37&lt;'Données projet'!$A$62,$AF$205^A37,IF(A37='Données projet'!$A$62,'Données projet'!$B$62,AI36+AH37-AQ36)))</f>
        <v>74.800000000000011</v>
      </c>
      <c r="AJ37" s="14">
        <f>AI37*VLOOKUP('Données projet'!$B$10,Paramètres!$A$1:$I$89,3,0)*VLOOKUP('Données projet'!$B$10,Paramètres!$A$1:$I$89,5,0)</f>
        <v>67.679040000000001</v>
      </c>
      <c r="AK37" s="14">
        <f t="shared" si="35"/>
        <v>19.095955192788225</v>
      </c>
      <c r="AL37" s="22">
        <f t="shared" si="4"/>
        <v>151.13311662743948</v>
      </c>
      <c r="AM37" s="60">
        <f t="shared" si="5"/>
        <v>444.46644996077282</v>
      </c>
      <c r="AN37" s="60">
        <f ca="1">AVERAGE(OFFSET($AM$3,0,0,'Données projet'!$E$10+1,1))-AVERAGE(OFFSET($H$3,0,0,'Données projet'!$E$10+1,1))</f>
        <v>210.85498515082651</v>
      </c>
      <c r="AO37" s="60">
        <f t="shared" si="36"/>
        <v>76.413905647258389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36.4</v>
      </c>
      <c r="BD37" s="13">
        <f>IF('Données projet'!$A$88&gt;35,BD36+BC37-BL36,IF(A37&lt;'Données projet'!$A$88,$BA$205^A37,IF(A37='Données projet'!$A$88,'Données projet'!$B$88,BD36+BC37-BL36)))</f>
        <v>448.20000000000005</v>
      </c>
      <c r="BE37" s="14">
        <f>BD37*VLOOKUP('Données projet'!$B$11,Paramètres!$A$1:$I$89,3,0)*VLOOKUP('Données projet'!$B$11,Paramètres!$A$1:$I$89,5,0)</f>
        <v>198.10440000000006</v>
      </c>
      <c r="BF37" s="14">
        <f t="shared" si="37"/>
        <v>49.327341602622013</v>
      </c>
      <c r="BG37" s="22">
        <f t="shared" si="7"/>
        <v>430.9436166245668</v>
      </c>
      <c r="BH37" s="60">
        <f t="shared" si="8"/>
        <v>724.27694995790011</v>
      </c>
      <c r="BI37" s="60">
        <f ca="1">AVERAGE(OFFSET($BH$3,0,0,'Données projet'!$E$11+1,1))-AVERAGE(OFFSET($H$3,0,0,'Données projet'!$E$11+1,1))</f>
        <v>456.68544269509601</v>
      </c>
      <c r="BJ37" s="60">
        <f t="shared" si="38"/>
        <v>417.22363874931852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240.90769230769232</v>
      </c>
      <c r="BW37" s="13">
        <f>VLOOKUP(A37,'Données projet'!$A$113:$I$133,9,0)</f>
        <v>7.0855203619909508</v>
      </c>
      <c r="BX37" s="13">
        <f t="array" ref="BX37">INDEX(BW:BW,MIN(IF(ISNUMBER(BW37:BW233),ROW(BW37:BW233),"")))</f>
        <v>7.0855203619909508</v>
      </c>
      <c r="BY37" s="13">
        <f>IF('Données projet'!$A$114&gt;35,BY36+BX37-CG36,IF(A37&lt;'Données projet'!$A$114,$BV$205^A37,IF(A37='Données projet'!$A$114,'Données projet'!$B$114,BY36+BX37-CG36)))</f>
        <v>240.90769230769232</v>
      </c>
      <c r="BZ37" s="14">
        <f>BY37*VLOOKUP('Données projet'!$B$12,Paramètres!$A$1:$I$89,3,0)*VLOOKUP('Données projet'!$B$12,Paramètres!$A$1:$I$89,5,0)</f>
        <v>134.66740000000001</v>
      </c>
      <c r="CA37" s="14">
        <f t="shared" si="39"/>
        <v>35.072634396625773</v>
      </c>
      <c r="CB37" s="22">
        <f t="shared" si="10"/>
        <v>295.63055990745659</v>
      </c>
      <c r="CC37" s="60">
        <f t="shared" si="11"/>
        <v>588.96389324078996</v>
      </c>
      <c r="CD37" s="60">
        <f ca="1">AVERAGE(OFFSET($CC$3,0,0,'Données projet'!$E$12+1,1))-AVERAGE(OFFSET($H$3,0,0,'Données projet'!$E$12+1,1))</f>
        <v>234.38946271740315</v>
      </c>
      <c r="CE37" s="60">
        <f t="shared" si="40"/>
        <v>123.9494810355684</v>
      </c>
      <c r="CF37" s="16">
        <f>IF(ISNA(VLOOKUP(A37,'Données projet'!$A$113:$I$133,3,0)),0,VLOOKUP(A37,'Données projet'!$A$113:$I$133,3,0))</f>
        <v>1</v>
      </c>
      <c r="CG37" s="16">
        <f>IF(ISNA(VLOOKUP(A37,'Données projet'!$A$113:$I$133,4,0)),0,VLOOKUP(A37,'Données projet'!$A$113:$I$133,4,0))</f>
        <v>83.969230769230762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0.27500000000000002</v>
      </c>
      <c r="CJ37" s="17">
        <f>IF(ISNA(VLOOKUP(A37,'Données projet'!$A$113:$I$133,7,0)),0%,VLOOKUP(A37,'Données projet'!$A$113:$I$133,7,0))</f>
        <v>0.5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17.056097685900401</v>
      </c>
      <c r="CM37" s="23">
        <f>EXP(-LN(2)/2)*CM36+(1-EXP(-LN(2)/2))/(LN(2)/2)*CG37*CJ37*VLOOKUP('Données projet'!$B$12,Paramètres!$A$1:$I$89,3,0)*0.475*44/12</f>
        <v>26.572812683567633</v>
      </c>
      <c r="CN37" s="24">
        <f t="shared" si="12"/>
        <v>43.628910369468031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0" t="e">
        <f t="shared" si="14"/>
        <v>#N/A</v>
      </c>
      <c r="CY37" s="60" t="e">
        <f ca="1">AVERAGE(OFFSET($CX$3,0,0,'Données projet'!$E$13+1,1))-AVERAGE(OFFSET($H$3,0,0,'Données projet'!$E$13+1,1))</f>
        <v>#N/A</v>
      </c>
      <c r="CZ37" s="60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8">
        <f t="shared" si="1"/>
        <v>332.38174191836544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0">
        <f t="shared" si="0"/>
        <v>525.14279449916307</v>
      </c>
      <c r="S38" s="60">
        <f ca="1">AVERAGE(OFFSET($R$3,0,0,'Données projet'!$E$9+1,1))-AVERAGE(OFFSET($H$3,0,0,'Données projet'!$E$9+1,1))</f>
        <v>314.4389771131751</v>
      </c>
      <c r="T38" s="60">
        <f t="shared" si="34"/>
        <v>176.7239677722049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5.2</v>
      </c>
      <c r="AI38" s="14">
        <f>IF('Données projet'!$A$62&gt;35,AI37+AH38-AQ37,IF(A38&lt;'Données projet'!$A$62,$AF$205^A38,IF(A38='Données projet'!$A$62,'Données projet'!$B$62,AI37+AH38-AQ37)))</f>
        <v>80.000000000000014</v>
      </c>
      <c r="AJ38" s="14">
        <f>AI38*VLOOKUP('Données projet'!$B$10,Paramètres!$A$1:$I$89,3,0)*VLOOKUP('Données projet'!$B$10,Paramètres!$A$1:$I$89,5,0)</f>
        <v>72.384000000000015</v>
      </c>
      <c r="AK38" s="14">
        <f t="shared" si="35"/>
        <v>20.264329923804397</v>
      </c>
      <c r="AL38" s="22">
        <f t="shared" si="4"/>
        <v>161.362507950626</v>
      </c>
      <c r="AM38" s="60">
        <f t="shared" si="5"/>
        <v>454.69584128395934</v>
      </c>
      <c r="AN38" s="60">
        <f ca="1">AVERAGE(OFFSET($AM$3,0,0,'Données projet'!$E$10+1,1))-AVERAGE(OFFSET($H$3,0,0,'Données projet'!$E$10+1,1))</f>
        <v>210.85498515082651</v>
      </c>
      <c r="AO38" s="60">
        <f t="shared" si="36"/>
        <v>76.413905647258389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36.4</v>
      </c>
      <c r="BD38" s="13">
        <f>IF('Données projet'!$A$88&gt;35,BD37+BC38-BL37,IF(A38&lt;'Données projet'!$A$88,$BA$205^A38,IF(A38='Données projet'!$A$88,'Données projet'!$B$88,BD37+BC38-BL37)))</f>
        <v>484.6</v>
      </c>
      <c r="BE38" s="14">
        <f>BD38*VLOOKUP('Données projet'!$B$11,Paramètres!$A$1:$I$89,3,0)*VLOOKUP('Données projet'!$B$11,Paramètres!$A$1:$I$89,5,0)</f>
        <v>214.19320000000002</v>
      </c>
      <c r="BF38" s="14">
        <f t="shared" si="37"/>
        <v>52.850848358481301</v>
      </c>
      <c r="BG38" s="22">
        <f t="shared" si="7"/>
        <v>465.10171755768823</v>
      </c>
      <c r="BH38" s="60">
        <f t="shared" si="8"/>
        <v>758.43505089102155</v>
      </c>
      <c r="BI38" s="60">
        <f ca="1">AVERAGE(OFFSET($BH$3,0,0,'Données projet'!$E$11+1,1))-AVERAGE(OFFSET($H$3,0,0,'Données projet'!$E$11+1,1))</f>
        <v>456.68544269509601</v>
      </c>
      <c r="BJ38" s="60">
        <f t="shared" si="38"/>
        <v>417.22363874931852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10.952991452991451</v>
      </c>
      <c r="BY38" s="13">
        <f>IF('Données projet'!$A$114&gt;35,BY37+BX38-CG37,IF(A38&lt;'Données projet'!$A$114,$BV$205^A38,IF(A38='Données projet'!$A$114,'Données projet'!$B$114,BY37+BX38-CG37)))</f>
        <v>167.89145299145301</v>
      </c>
      <c r="BZ38" s="14">
        <f>BY38*VLOOKUP('Données projet'!$B$12,Paramètres!$A$1:$I$89,3,0)*VLOOKUP('Données projet'!$B$12,Paramètres!$A$1:$I$89,5,0)</f>
        <v>93.851322222222237</v>
      </c>
      <c r="CA38" s="14">
        <f t="shared" si="39"/>
        <v>25.491793888573941</v>
      </c>
      <c r="CB38" s="22">
        <f t="shared" si="10"/>
        <v>207.85592722630329</v>
      </c>
      <c r="CC38" s="60">
        <f t="shared" si="11"/>
        <v>501.18926055963664</v>
      </c>
      <c r="CD38" s="60">
        <f ca="1">AVERAGE(OFFSET($CC$3,0,0,'Données projet'!$E$12+1,1))-AVERAGE(OFFSET($H$3,0,0,'Données projet'!$E$12+1,1))</f>
        <v>234.38946271740315</v>
      </c>
      <c r="CE38" s="60">
        <f t="shared" si="40"/>
        <v>123.9494810355684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16.58969779773826</v>
      </c>
      <c r="CM38" s="23">
        <f>EXP(-LN(2)/2)*CM37+(1-EXP(-LN(2)/2))/(LN(2)/2)*CG38*CJ38*VLOOKUP('Données projet'!$B$12,Paramètres!$A$1:$I$89,3,0)*0.475*44/12</f>
        <v>18.789816043750573</v>
      </c>
      <c r="CN38" s="24">
        <f t="shared" si="12"/>
        <v>35.37951384148883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0" t="e">
        <f t="shared" si="14"/>
        <v>#N/A</v>
      </c>
      <c r="CY38" s="60" t="e">
        <f ca="1">AVERAGE(OFFSET($CX$3,0,0,'Données projet'!$E$13+1,1))-AVERAGE(OFFSET($H$3,0,0,'Données projet'!$E$13+1,1))</f>
        <v>#N/A</v>
      </c>
      <c r="CZ38" s="60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8">
        <f t="shared" si="1"/>
        <v>333.46465593362842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0">
        <f t="shared" si="0"/>
        <v>541.50302276112825</v>
      </c>
      <c r="S39" s="60">
        <f ca="1">AVERAGE(OFFSET($R$3,0,0,'Données projet'!$E$9+1,1))-AVERAGE(OFFSET($H$3,0,0,'Données projet'!$E$9+1,1))</f>
        <v>314.4389771131751</v>
      </c>
      <c r="T39" s="60">
        <f t="shared" si="34"/>
        <v>176.7239677722049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5.2</v>
      </c>
      <c r="AI39" s="14">
        <f>IF('Données projet'!$A$62&gt;35,AI38+AH39-AQ38,IF(A39&lt;'Données projet'!$A$62,$AF$205^A39,IF(A39='Données projet'!$A$62,'Données projet'!$B$62,AI38+AH39-AQ38)))</f>
        <v>85.200000000000017</v>
      </c>
      <c r="AJ39" s="14">
        <f>AI39*VLOOKUP('Données projet'!$B$10,Paramètres!$A$1:$I$89,3,0)*VLOOKUP('Données projet'!$B$10,Paramètres!$A$1:$I$89,5,0)</f>
        <v>77.088960000000014</v>
      </c>
      <c r="AK39" s="14">
        <f t="shared" si="35"/>
        <v>21.423891539868706</v>
      </c>
      <c r="AL39" s="22">
        <f t="shared" si="4"/>
        <v>171.57654976527135</v>
      </c>
      <c r="AM39" s="60">
        <f t="shared" si="5"/>
        <v>464.90988309860467</v>
      </c>
      <c r="AN39" s="60">
        <f ca="1">AVERAGE(OFFSET($AM$3,0,0,'Données projet'!$E$10+1,1))-AVERAGE(OFFSET($H$3,0,0,'Données projet'!$E$10+1,1))</f>
        <v>210.85498515082651</v>
      </c>
      <c r="AO39" s="60">
        <f t="shared" si="36"/>
        <v>76.413905647258389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521</v>
      </c>
      <c r="BB39" s="13">
        <f>VLOOKUP(A39,'Données projet'!$A$87:$I$107,9,0)</f>
        <v>36.4</v>
      </c>
      <c r="BC39" s="13">
        <f t="array" ref="BC39">INDEX(BB:BB,MIN(IF(ISNUMBER(BB39:BB235),ROW(BB39:BB235),"")))</f>
        <v>36.4</v>
      </c>
      <c r="BD39" s="13">
        <f>IF('Données projet'!$A$88&gt;35,BD38+BC39-BL38,IF(A39&lt;'Données projet'!$A$88,$BA$205^A39,IF(A39='Données projet'!$A$88,'Données projet'!$B$88,BD38+BC39-BL38)))</f>
        <v>521</v>
      </c>
      <c r="BE39" s="14">
        <f>BD39*VLOOKUP('Données projet'!$B$11,Paramètres!$A$1:$I$89,3,0)*VLOOKUP('Données projet'!$B$11,Paramètres!$A$1:$I$89,5,0)</f>
        <v>230.28200000000004</v>
      </c>
      <c r="BF39" s="14">
        <f t="shared" si="37"/>
        <v>56.34365217521664</v>
      </c>
      <c r="BG39" s="22">
        <f t="shared" si="7"/>
        <v>499.20634420516899</v>
      </c>
      <c r="BH39" s="60">
        <f t="shared" si="8"/>
        <v>792.53967753850225</v>
      </c>
      <c r="BI39" s="60">
        <f ca="1">AVERAGE(OFFSET($BH$3,0,0,'Données projet'!$E$11+1,1))-AVERAGE(OFFSET($H$3,0,0,'Données projet'!$E$11+1,1))</f>
        <v>456.68544269509601</v>
      </c>
      <c r="BJ39" s="60">
        <f t="shared" si="38"/>
        <v>417.22363874931852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10.952991452991451</v>
      </c>
      <c r="BY39" s="13">
        <f>IF('Données projet'!$A$114&gt;35,BY38+BX39-CG38,IF(A39&lt;'Données projet'!$A$114,$BV$205^A39,IF(A39='Données projet'!$A$114,'Données projet'!$B$114,BY38+BX39-CG38)))</f>
        <v>178.84444444444446</v>
      </c>
      <c r="BZ39" s="14">
        <f>BY39*VLOOKUP('Données projet'!$B$12,Paramètres!$A$1:$I$89,3,0)*VLOOKUP('Données projet'!$B$12,Paramètres!$A$1:$I$89,5,0)</f>
        <v>99.974044444444459</v>
      </c>
      <c r="CA39" s="14">
        <f t="shared" si="39"/>
        <v>26.955813901739628</v>
      </c>
      <c r="CB39" s="22">
        <f t="shared" si="10"/>
        <v>221.06950328627065</v>
      </c>
      <c r="CC39" s="60">
        <f t="shared" si="11"/>
        <v>514.40283661960393</v>
      </c>
      <c r="CD39" s="60">
        <f ca="1">AVERAGE(OFFSET($CC$3,0,0,'Données projet'!$E$12+1,1))-AVERAGE(OFFSET($H$3,0,0,'Données projet'!$E$12+1,1))</f>
        <v>234.38946271740315</v>
      </c>
      <c r="CE39" s="60">
        <f t="shared" si="40"/>
        <v>123.9494810355684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16.136051639044815</v>
      </c>
      <c r="CM39" s="23">
        <f>EXP(-LN(2)/2)*CM38+(1-EXP(-LN(2)/2))/(LN(2)/2)*CG39*CJ39*VLOOKUP('Données projet'!$B$12,Paramètres!$A$1:$I$89,3,0)*0.475*44/12</f>
        <v>13.286406341783817</v>
      </c>
      <c r="CN39" s="24">
        <f t="shared" si="12"/>
        <v>29.422457980828632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0" t="e">
        <f t="shared" si="14"/>
        <v>#N/A</v>
      </c>
      <c r="CY39" s="60" t="e">
        <f ca="1">AVERAGE(OFFSET($CX$3,0,0,'Données projet'!$E$13+1,1))-AVERAGE(OFFSET($H$3,0,0,'Données projet'!$E$13+1,1))</f>
        <v>#N/A</v>
      </c>
      <c r="CZ39" s="60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8">
        <f t="shared" si="1"/>
        <v>334.54677839758983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0">
        <f t="shared" si="0"/>
        <v>557.83878140250943</v>
      </c>
      <c r="S40" s="60">
        <f ca="1">AVERAGE(OFFSET($R$3,0,0,'Données projet'!$E$9+1,1))-AVERAGE(OFFSET($H$3,0,0,'Données projet'!$E$9+1,1))</f>
        <v>314.4389771131751</v>
      </c>
      <c r="T40" s="60">
        <f t="shared" si="34"/>
        <v>176.7239677722049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5.2</v>
      </c>
      <c r="AI40" s="14">
        <f>IF('Données projet'!$A$62&gt;35,AI39+AH40-AQ39,IF(A40&lt;'Données projet'!$A$62,$AF$205^A40,IF(A40='Données projet'!$A$62,'Données projet'!$B$62,AI39+AH40-AQ39)))</f>
        <v>90.40000000000002</v>
      </c>
      <c r="AJ40" s="14">
        <f>AI40*VLOOKUP('Données projet'!$B$10,Paramètres!$A$1:$I$89,3,0)*VLOOKUP('Données projet'!$B$10,Paramètres!$A$1:$I$89,5,0)</f>
        <v>81.793920000000014</v>
      </c>
      <c r="AK40" s="14">
        <f t="shared" si="35"/>
        <v>22.575239179244807</v>
      </c>
      <c r="AL40" s="22">
        <f t="shared" si="4"/>
        <v>181.77628557051807</v>
      </c>
      <c r="AM40" s="60">
        <f t="shared" si="5"/>
        <v>475.10961890385136</v>
      </c>
      <c r="AN40" s="60">
        <f ca="1">AVERAGE(OFFSET($AM$3,0,0,'Données projet'!$E$10+1,1))-AVERAGE(OFFSET($H$3,0,0,'Données projet'!$E$10+1,1))</f>
        <v>210.85498515082651</v>
      </c>
      <c r="AO40" s="60">
        <f t="shared" si="36"/>
        <v>76.413905647258389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33.4</v>
      </c>
      <c r="BD40" s="13">
        <f>IF('Données projet'!$A$88&gt;35,BD39+BC40-BL39,IF(A40&lt;'Données projet'!$A$88,$BA$205^A40,IF(A40='Données projet'!$A$88,'Données projet'!$B$88,BD39+BC40-BL39)))</f>
        <v>554.4</v>
      </c>
      <c r="BE40" s="14">
        <f>BD40*VLOOKUP('Données projet'!$B$11,Paramètres!$A$1:$I$89,3,0)*VLOOKUP('Données projet'!$B$11,Paramètres!$A$1:$I$89,5,0)</f>
        <v>245.04480000000001</v>
      </c>
      <c r="BF40" s="14">
        <f t="shared" si="37"/>
        <v>59.523626194644038</v>
      </c>
      <c r="BG40" s="22">
        <f t="shared" si="7"/>
        <v>530.45667562233848</v>
      </c>
      <c r="BH40" s="60">
        <f t="shared" si="8"/>
        <v>823.79000895567174</v>
      </c>
      <c r="BI40" s="60">
        <f ca="1">AVERAGE(OFFSET($BH$3,0,0,'Données projet'!$E$11+1,1))-AVERAGE(OFFSET($H$3,0,0,'Données projet'!$E$11+1,1))</f>
        <v>456.68544269509601</v>
      </c>
      <c r="BJ40" s="60">
        <f t="shared" si="38"/>
        <v>417.22363874931852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10.952991452991451</v>
      </c>
      <c r="BY40" s="13">
        <f>IF('Données projet'!$A$114&gt;35,BY39+BX40-CG39,IF(A40&lt;'Données projet'!$A$114,$BV$205^A40,IF(A40='Données projet'!$A$114,'Données projet'!$B$114,BY39+BX40-CG39)))</f>
        <v>189.79743589743592</v>
      </c>
      <c r="BZ40" s="14">
        <f>BY40*VLOOKUP('Données projet'!$B$12,Paramètres!$A$1:$I$89,3,0)*VLOOKUP('Données projet'!$B$12,Paramètres!$A$1:$I$89,5,0)</f>
        <v>106.09676666666667</v>
      </c>
      <c r="CA40" s="14">
        <f t="shared" si="39"/>
        <v>28.409427602727192</v>
      </c>
      <c r="CB40" s="22">
        <f t="shared" si="10"/>
        <v>234.2649550191943</v>
      </c>
      <c r="CC40" s="60">
        <f t="shared" si="11"/>
        <v>527.59828835252756</v>
      </c>
      <c r="CD40" s="60">
        <f ca="1">AVERAGE(OFFSET($CC$3,0,0,'Données projet'!$E$12+1,1))-AVERAGE(OFFSET($H$3,0,0,'Données projet'!$E$12+1,1))</f>
        <v>234.38946271740315</v>
      </c>
      <c r="CE40" s="60">
        <f t="shared" si="40"/>
        <v>123.9494810355684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15.694810458417059</v>
      </c>
      <c r="CM40" s="23">
        <f>EXP(-LN(2)/2)*CM39+(1-EXP(-LN(2)/2))/(LN(2)/2)*CG40*CJ40*VLOOKUP('Données projet'!$B$12,Paramètres!$A$1:$I$89,3,0)*0.475*44/12</f>
        <v>9.3949080218752865</v>
      </c>
      <c r="CN40" s="24">
        <f t="shared" si="12"/>
        <v>25.089718480292348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0" t="e">
        <f t="shared" si="14"/>
        <v>#N/A</v>
      </c>
      <c r="CY40" s="60" t="e">
        <f ca="1">AVERAGE(OFFSET($CX$3,0,0,'Données projet'!$E$13+1,1))-AVERAGE(OFFSET($H$3,0,0,'Données projet'!$E$13+1,1))</f>
        <v>#N/A</v>
      </c>
      <c r="CZ40" s="60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8">
        <f t="shared" si="1"/>
        <v>335.62813316205717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0">
        <f t="shared" si="0"/>
        <v>574.15179438724942</v>
      </c>
      <c r="S41" s="60">
        <f ca="1">AVERAGE(OFFSET($R$3,0,0,'Données projet'!$E$9+1,1))-AVERAGE(OFFSET($H$3,0,0,'Données projet'!$E$9+1,1))</f>
        <v>314.4389771131751</v>
      </c>
      <c r="T41" s="60">
        <f t="shared" si="34"/>
        <v>176.7239677722049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5.2</v>
      </c>
      <c r="AI41" s="14">
        <f>IF('Données projet'!$A$62&gt;35,AI40+AH41-AQ40,IF(A41&lt;'Données projet'!$A$62,$AF$205^A41,IF(A41='Données projet'!$A$62,'Données projet'!$B$62,AI40+AH41-AQ40)))</f>
        <v>95.600000000000023</v>
      </c>
      <c r="AJ41" s="14">
        <f>AI41*VLOOKUP('Données projet'!$B$10,Paramètres!$A$1:$I$89,3,0)*VLOOKUP('Données projet'!$B$10,Paramètres!$A$1:$I$89,5,0)</f>
        <v>86.498880000000014</v>
      </c>
      <c r="AK41" s="14">
        <f t="shared" si="35"/>
        <v>23.718899159460385</v>
      </c>
      <c r="AL41" s="22">
        <f t="shared" si="4"/>
        <v>191.9626320360602</v>
      </c>
      <c r="AM41" s="60">
        <f t="shared" si="5"/>
        <v>485.29596536939351</v>
      </c>
      <c r="AN41" s="60">
        <f ca="1">AVERAGE(OFFSET($AM$3,0,0,'Données projet'!$E$10+1,1))-AVERAGE(OFFSET($H$3,0,0,'Données projet'!$E$10+1,1))</f>
        <v>210.85498515082651</v>
      </c>
      <c r="AO41" s="60">
        <f t="shared" si="36"/>
        <v>76.413905647258389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33.4</v>
      </c>
      <c r="BD41" s="13">
        <f>IF('Données projet'!$A$88&gt;35,BD40+BC41-BL40,IF(A41&lt;'Données projet'!$A$88,$BA$205^A41,IF(A41='Données projet'!$A$88,'Données projet'!$B$88,BD40+BC41-BL40)))</f>
        <v>587.79999999999995</v>
      </c>
      <c r="BE41" s="14">
        <f>BD41*VLOOKUP('Données projet'!$B$11,Paramètres!$A$1:$I$89,3,0)*VLOOKUP('Données projet'!$B$11,Paramètres!$A$1:$I$89,5,0)</f>
        <v>259.80760000000004</v>
      </c>
      <c r="BF41" s="14">
        <f t="shared" si="37"/>
        <v>62.681364284435411</v>
      </c>
      <c r="BG41" s="22">
        <f t="shared" si="7"/>
        <v>561.66827946205842</v>
      </c>
      <c r="BH41" s="60">
        <f t="shared" si="8"/>
        <v>855.00161279539179</v>
      </c>
      <c r="BI41" s="60">
        <f ca="1">AVERAGE(OFFSET($BH$3,0,0,'Données projet'!$E$11+1,1))-AVERAGE(OFFSET($H$3,0,0,'Données projet'!$E$11+1,1))</f>
        <v>456.68544269509601</v>
      </c>
      <c r="BJ41" s="60">
        <f t="shared" si="38"/>
        <v>417.22363874931852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10.952991452991451</v>
      </c>
      <c r="BY41" s="13">
        <f>IF('Données projet'!$A$114&gt;35,BY40+BX41-CG40,IF(A41&lt;'Données projet'!$A$114,$BV$205^A41,IF(A41='Données projet'!$A$114,'Données projet'!$B$114,BY40+BX41-CG40)))</f>
        <v>200.75042735042737</v>
      </c>
      <c r="BZ41" s="14">
        <f>BY41*VLOOKUP('Données projet'!$B$12,Paramètres!$A$1:$I$89,3,0)*VLOOKUP('Données projet'!$B$12,Paramètres!$A$1:$I$89,5,0)</f>
        <v>112.2194888888889</v>
      </c>
      <c r="CA41" s="14">
        <f t="shared" si="39"/>
        <v>29.853303947073364</v>
      </c>
      <c r="CB41" s="22">
        <f t="shared" si="10"/>
        <v>247.4434475226343</v>
      </c>
      <c r="CC41" s="60">
        <f t="shared" si="11"/>
        <v>540.77678085596767</v>
      </c>
      <c r="CD41" s="60">
        <f ca="1">AVERAGE(OFFSET($CC$3,0,0,'Données projet'!$E$12+1,1))-AVERAGE(OFFSET($H$3,0,0,'Données projet'!$E$12+1,1))</f>
        <v>234.38946271740315</v>
      </c>
      <c r="CE41" s="60">
        <f t="shared" si="40"/>
        <v>123.9494810355684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15.265635041077434</v>
      </c>
      <c r="CM41" s="23">
        <f>EXP(-LN(2)/2)*CM40+(1-EXP(-LN(2)/2))/(LN(2)/2)*CG41*CJ41*VLOOKUP('Données projet'!$B$12,Paramètres!$A$1:$I$89,3,0)*0.475*44/12</f>
        <v>6.6432031708919084</v>
      </c>
      <c r="CN41" s="24">
        <f t="shared" si="12"/>
        <v>21.908838211969343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0" t="e">
        <f t="shared" si="14"/>
        <v>#N/A</v>
      </c>
      <c r="CY41" s="60" t="e">
        <f ca="1">AVERAGE(OFFSET($CX$3,0,0,'Données projet'!$E$13+1,1))-AVERAGE(OFFSET($H$3,0,0,'Données projet'!$E$13+1,1))</f>
        <v>#N/A</v>
      </c>
      <c r="CZ41" s="60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8">
        <f t="shared" si="1"/>
        <v>336.70874275198798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0">
        <f t="shared" si="0"/>
        <v>590.44356897369653</v>
      </c>
      <c r="S42" s="60">
        <f ca="1">AVERAGE(OFFSET($R$3,0,0,'Données projet'!$E$9+1,1))-AVERAGE(OFFSET($H$3,0,0,'Données projet'!$E$9+1,1))</f>
        <v>314.4389771131751</v>
      </c>
      <c r="T42" s="60">
        <f t="shared" si="34"/>
        <v>176.7239677722049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5.2</v>
      </c>
      <c r="AI42" s="14">
        <f>IF('Données projet'!$A$62&gt;35,AI41+AH42-AQ41,IF(A42&lt;'Données projet'!$A$62,$AF$205^A42,IF(A42='Données projet'!$A$62,'Données projet'!$B$62,AI41+AH42-AQ41)))</f>
        <v>100.80000000000003</v>
      </c>
      <c r="AJ42" s="14">
        <f>AI42*VLOOKUP('Données projet'!$B$10,Paramètres!$A$1:$I$89,3,0)*VLOOKUP('Données projet'!$B$10,Paramètres!$A$1:$I$89,5,0)</f>
        <v>91.203840000000028</v>
      </c>
      <c r="AK42" s="14">
        <f t="shared" si="35"/>
        <v>24.855337308022545</v>
      </c>
      <c r="AL42" s="22">
        <f t="shared" si="4"/>
        <v>202.13640047813931</v>
      </c>
      <c r="AM42" s="60">
        <f t="shared" si="5"/>
        <v>495.46973381147262</v>
      </c>
      <c r="AN42" s="60">
        <f ca="1">AVERAGE(OFFSET($AM$3,0,0,'Données projet'!$E$10+1,1))-AVERAGE(OFFSET($H$3,0,0,'Données projet'!$E$10+1,1))</f>
        <v>210.85498515082651</v>
      </c>
      <c r="AO42" s="60">
        <f t="shared" si="36"/>
        <v>76.413905647258389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33.4</v>
      </c>
      <c r="BD42" s="13">
        <f>IF('Données projet'!$A$88&gt;35,BD41+BC42-BL41,IF(A42&lt;'Données projet'!$A$88,$BA$205^A42,IF(A42='Données projet'!$A$88,'Données projet'!$B$88,BD41+BC42-BL41)))</f>
        <v>621.19999999999993</v>
      </c>
      <c r="BE42" s="14">
        <f>BD42*VLOOKUP('Données projet'!$B$11,Paramètres!$A$1:$I$89,3,0)*VLOOKUP('Données projet'!$B$11,Paramètres!$A$1:$I$89,5,0)</f>
        <v>274.57040000000001</v>
      </c>
      <c r="BF42" s="14">
        <f t="shared" si="37"/>
        <v>65.818273908286358</v>
      </c>
      <c r="BG42" s="22">
        <f t="shared" si="7"/>
        <v>592.84360705693211</v>
      </c>
      <c r="BH42" s="60">
        <f t="shared" si="8"/>
        <v>886.17694039026537</v>
      </c>
      <c r="BI42" s="60">
        <f ca="1">AVERAGE(OFFSET($BH$3,0,0,'Données projet'!$E$11+1,1))-AVERAGE(OFFSET($H$3,0,0,'Données projet'!$E$11+1,1))</f>
        <v>456.68544269509601</v>
      </c>
      <c r="BJ42" s="60">
        <f t="shared" si="38"/>
        <v>417.22363874931852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10.952991452991451</v>
      </c>
      <c r="BY42" s="13">
        <f>IF('Données projet'!$A$114&gt;35,BY41+BX42-CG41,IF(A42&lt;'Données projet'!$A$114,$BV$205^A42,IF(A42='Données projet'!$A$114,'Données projet'!$B$114,BY41+BX42-CG41)))</f>
        <v>211.70341880341883</v>
      </c>
      <c r="BZ42" s="14">
        <f>BY42*VLOOKUP('Données projet'!$B$12,Paramètres!$A$1:$I$89,3,0)*VLOOKUP('Données projet'!$B$12,Paramètres!$A$1:$I$89,5,0)</f>
        <v>118.34221111111113</v>
      </c>
      <c r="CA42" s="14">
        <f t="shared" si="39"/>
        <v>31.288034770853997</v>
      </c>
      <c r="CB42" s="22">
        <f t="shared" si="10"/>
        <v>260.60601157775596</v>
      </c>
      <c r="CC42" s="60">
        <f t="shared" si="11"/>
        <v>553.93934491108928</v>
      </c>
      <c r="CD42" s="60">
        <f ca="1">AVERAGE(OFFSET($CC$3,0,0,'Données projet'!$E$12+1,1))-AVERAGE(OFFSET($H$3,0,0,'Données projet'!$E$12+1,1))</f>
        <v>234.38946271740315</v>
      </c>
      <c r="CE42" s="60">
        <f t="shared" si="40"/>
        <v>123.9494810355684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14.848195448094316</v>
      </c>
      <c r="CM42" s="23">
        <f>EXP(-LN(2)/2)*CM41+(1-EXP(-LN(2)/2))/(LN(2)/2)*CG42*CJ42*VLOOKUP('Données projet'!$B$12,Paramètres!$A$1:$I$89,3,0)*0.475*44/12</f>
        <v>4.6974540109376433</v>
      </c>
      <c r="CN42" s="24">
        <f t="shared" si="12"/>
        <v>19.54564945903196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0" t="e">
        <f t="shared" si="14"/>
        <v>#N/A</v>
      </c>
      <c r="CY42" s="60" t="e">
        <f ca="1">AVERAGE(OFFSET($CX$3,0,0,'Données projet'!$E$13+1,1))-AVERAGE(OFFSET($H$3,0,0,'Données projet'!$E$13+1,1))</f>
        <v>#N/A</v>
      </c>
      <c r="CZ42" s="60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8">
        <f t="shared" si="1"/>
        <v>337.78862847140419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0">
        <f t="shared" si="0"/>
        <v>606.71543359582972</v>
      </c>
      <c r="S43" s="60">
        <f ca="1">AVERAGE(OFFSET($R$3,0,0,'Données projet'!$E$9+1,1))-AVERAGE(OFFSET($H$3,0,0,'Données projet'!$E$9+1,1))</f>
        <v>314.4389771131751</v>
      </c>
      <c r="T43" s="60">
        <f t="shared" si="34"/>
        <v>176.7239677722049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106</v>
      </c>
      <c r="AG43" s="13">
        <f>VLOOKUP(A43,'Données projet'!$A$61:$I$81,9,0)</f>
        <v>5.2</v>
      </c>
      <c r="AH43" s="13">
        <f t="array" ref="AH43">INDEX(AG:AG,MIN(IF(ISNUMBER(AG43:AG239),ROW(AG43:AG239),"")))</f>
        <v>5.2</v>
      </c>
      <c r="AI43" s="14">
        <f>IF('Données projet'!$A$62&gt;35,AI42+AH43-AQ42,IF(A43&lt;'Données projet'!$A$62,$AF$205^A43,IF(A43='Données projet'!$A$62,'Données projet'!$B$62,AI42+AH43-AQ42)))</f>
        <v>106.00000000000003</v>
      </c>
      <c r="AJ43" s="14">
        <f>AI43*VLOOKUP('Données projet'!$B$10,Paramètres!$A$1:$I$89,3,0)*VLOOKUP('Données projet'!$B$10,Paramètres!$A$1:$I$89,5,0)</f>
        <v>95.908800000000014</v>
      </c>
      <c r="AK43" s="14">
        <f t="shared" si="35"/>
        <v>25.984968676228355</v>
      </c>
      <c r="AL43" s="22">
        <f t="shared" si="4"/>
        <v>212.29831377776441</v>
      </c>
      <c r="AM43" s="60">
        <f t="shared" si="5"/>
        <v>505.63164711109772</v>
      </c>
      <c r="AN43" s="60">
        <f ca="1">AVERAGE(OFFSET($AM$3,0,0,'Données projet'!$E$10+1,1))-AVERAGE(OFFSET($H$3,0,0,'Données projet'!$E$10+1,1))</f>
        <v>210.85498515082651</v>
      </c>
      <c r="AO43" s="60">
        <f t="shared" si="36"/>
        <v>76.413905647258389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27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33.4</v>
      </c>
      <c r="BD43" s="13">
        <f>IF('Données projet'!$A$88&gt;35,BD42+BC43-BL42,IF(A43&lt;'Données projet'!$A$88,$BA$205^A43,IF(A43='Données projet'!$A$88,'Données projet'!$B$88,BD42+BC43-BL42)))</f>
        <v>654.59999999999991</v>
      </c>
      <c r="BE43" s="14">
        <f>BD43*VLOOKUP('Données projet'!$B$11,Paramètres!$A$1:$I$89,3,0)*VLOOKUP('Données projet'!$B$11,Paramètres!$A$1:$I$89,5,0)</f>
        <v>289.33319999999998</v>
      </c>
      <c r="BF43" s="14">
        <f t="shared" si="37"/>
        <v>68.935602631998606</v>
      </c>
      <c r="BG43" s="22">
        <f t="shared" si="7"/>
        <v>623.98483125073085</v>
      </c>
      <c r="BH43" s="60">
        <f t="shared" si="8"/>
        <v>917.31816458406411</v>
      </c>
      <c r="BI43" s="60">
        <f ca="1">AVERAGE(OFFSET($BH$3,0,0,'Données projet'!$E$11+1,1))-AVERAGE(OFFSET($H$3,0,0,'Données projet'!$E$11+1,1))</f>
        <v>456.68544269509601</v>
      </c>
      <c r="BJ43" s="60">
        <f t="shared" si="38"/>
        <v>417.22363874931852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10.952991452991451</v>
      </c>
      <c r="BY43" s="13">
        <f>IF('Données projet'!$A$114&gt;35,BY42+BX43-CG42,IF(A43&lt;'Données projet'!$A$114,$BV$205^A43,IF(A43='Données projet'!$A$114,'Données projet'!$B$114,BY42+BX43-CG42)))</f>
        <v>222.65641025641028</v>
      </c>
      <c r="BZ43" s="14">
        <f>BY43*VLOOKUP('Données projet'!$B$12,Paramètres!$A$1:$I$89,3,0)*VLOOKUP('Données projet'!$B$12,Paramètres!$A$1:$I$89,5,0)</f>
        <v>124.46493333333335</v>
      </c>
      <c r="CA43" s="14">
        <f t="shared" si="39"/>
        <v>32.714147211013803</v>
      </c>
      <c r="CB43" s="22">
        <f t="shared" si="10"/>
        <v>273.75356528140463</v>
      </c>
      <c r="CC43" s="60">
        <f t="shared" si="11"/>
        <v>567.08689861473795</v>
      </c>
      <c r="CD43" s="60">
        <f ca="1">AVERAGE(OFFSET($CC$3,0,0,'Données projet'!$E$12+1,1))-AVERAGE(OFFSET($H$3,0,0,'Données projet'!$E$12+1,1))</f>
        <v>234.38946271740315</v>
      </c>
      <c r="CE43" s="60">
        <f t="shared" si="40"/>
        <v>123.9494810355684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14.442170762733515</v>
      </c>
      <c r="CM43" s="23">
        <f>EXP(-LN(2)/2)*CM42+(1-EXP(-LN(2)/2))/(LN(2)/2)*CG43*CJ43*VLOOKUP('Données projet'!$B$12,Paramètres!$A$1:$I$89,3,0)*0.475*44/12</f>
        <v>3.3216015854459542</v>
      </c>
      <c r="CN43" s="24">
        <f t="shared" si="12"/>
        <v>17.763772348179469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0" t="e">
        <f t="shared" si="14"/>
        <v>#N/A</v>
      </c>
      <c r="CY43" s="60" t="e">
        <f ca="1">AVERAGE(OFFSET($CX$3,0,0,'Données projet'!$E$13+1,1))-AVERAGE(OFFSET($H$3,0,0,'Données projet'!$E$13+1,1))</f>
        <v>#N/A</v>
      </c>
      <c r="CZ43" s="60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8">
        <f t="shared" si="1"/>
        <v>338.86781049841682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0">
        <f t="shared" si="0"/>
        <v>541.50302276112825</v>
      </c>
      <c r="S44" s="60">
        <f ca="1">AVERAGE(OFFSET($R$3,0,0,'Données projet'!$E$9+1,1))-AVERAGE(OFFSET($H$3,0,0,'Données projet'!$E$9+1,1))</f>
        <v>314.4389771131751</v>
      </c>
      <c r="T44" s="60">
        <f t="shared" si="34"/>
        <v>176.7239677722049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84.600000000000023</v>
      </c>
      <c r="AJ44" s="14">
        <f>AI44*VLOOKUP('Données projet'!$B$10,Paramètres!$A$1:$I$89,3,0)*VLOOKUP('Données projet'!$B$10,Paramètres!$A$1:$I$89,5,0)</f>
        <v>76.546080000000018</v>
      </c>
      <c r="AK44" s="14">
        <f t="shared" si="35"/>
        <v>21.290525837973497</v>
      </c>
      <c r="AL44" s="22">
        <f t="shared" si="4"/>
        <v>170.39875516780384</v>
      </c>
      <c r="AM44" s="60">
        <f t="shared" si="5"/>
        <v>463.73208850113713</v>
      </c>
      <c r="AN44" s="60">
        <f ca="1">AVERAGE(OFFSET($AM$3,0,0,'Données projet'!$E$10+1,1))-AVERAGE(OFFSET($H$3,0,0,'Données projet'!$E$10+1,1))</f>
        <v>210.85498515082651</v>
      </c>
      <c r="AO44" s="60">
        <f t="shared" si="36"/>
        <v>76.413905647258389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>
        <f>VLOOKUP(A44,'Données projet'!$A$87:$I$107,2,0)</f>
        <v>688</v>
      </c>
      <c r="BB44" s="13">
        <f>VLOOKUP(A44,'Données projet'!$A$87:$I$107,9,0)</f>
        <v>33.4</v>
      </c>
      <c r="BC44" s="13">
        <f t="array" ref="BC44">INDEX(BB:BB,MIN(IF(ISNUMBER(BB44:BB240),ROW(BB44:BB240),"")))</f>
        <v>33.4</v>
      </c>
      <c r="BD44" s="13">
        <f>IF('Données projet'!$A$88&gt;35,BD43+BC44-BL43,IF(A44&lt;'Données projet'!$A$88,$BA$205^A44,IF(A44='Données projet'!$A$88,'Données projet'!$B$88,BD43+BC44-BL43)))</f>
        <v>687.99999999999989</v>
      </c>
      <c r="BE44" s="14">
        <f>BD44*VLOOKUP('Données projet'!$B$11,Paramètres!$A$1:$I$89,3,0)*VLOOKUP('Données projet'!$B$11,Paramètres!$A$1:$I$89,5,0)</f>
        <v>304.096</v>
      </c>
      <c r="BF44" s="14">
        <f t="shared" si="37"/>
        <v>72.034463519873213</v>
      </c>
      <c r="BG44" s="22">
        <f t="shared" si="7"/>
        <v>655.0938906304458</v>
      </c>
      <c r="BH44" s="60">
        <f t="shared" si="8"/>
        <v>948.42722396377917</v>
      </c>
      <c r="BI44" s="60">
        <f ca="1">AVERAGE(OFFSET($BH$3,0,0,'Données projet'!$E$11+1,1))-AVERAGE(OFFSET($H$3,0,0,'Données projet'!$E$11+1,1))</f>
        <v>456.68544269509601</v>
      </c>
      <c r="BJ44" s="60">
        <f t="shared" si="38"/>
        <v>417.22363874931852</v>
      </c>
      <c r="BK44" s="16">
        <f>IF(ISNA(VLOOKUP(A44,'Données projet'!$A$87:$I$107,3,0)),0,VLOOKUP(A44,'Données projet'!$A$87:$I$107,3,0))</f>
        <v>3</v>
      </c>
      <c r="BL44" s="16">
        <f>IF(ISNA(VLOOKUP(A44,'Données projet'!$A$87:$I$107,4,0)),0,VLOOKUP(A44,'Données projet'!$A$87:$I$107,4,0))</f>
        <v>168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10.952991452991451</v>
      </c>
      <c r="BY44" s="13">
        <f>IF('Données projet'!$A$114&gt;35,BY43+BX44-CG43,IF(A44&lt;'Données projet'!$A$114,$BV$205^A44,IF(A44='Données projet'!$A$114,'Données projet'!$B$114,BY43+BX44-CG43)))</f>
        <v>233.60940170940174</v>
      </c>
      <c r="BZ44" s="14">
        <f>BY44*VLOOKUP('Données projet'!$B$12,Paramètres!$A$1:$I$89,3,0)*VLOOKUP('Données projet'!$B$12,Paramètres!$A$1:$I$89,5,0)</f>
        <v>130.58765555555559</v>
      </c>
      <c r="CA44" s="14">
        <f t="shared" si="39"/>
        <v>34.132113612376557</v>
      </c>
      <c r="CB44" s="22">
        <f t="shared" si="10"/>
        <v>286.88693130081521</v>
      </c>
      <c r="CC44" s="60">
        <f t="shared" si="11"/>
        <v>580.22026463414852</v>
      </c>
      <c r="CD44" s="60">
        <f ca="1">AVERAGE(OFFSET($CC$3,0,0,'Données projet'!$E$12+1,1))-AVERAGE(OFFSET($H$3,0,0,'Données projet'!$E$12+1,1))</f>
        <v>234.38946271740315</v>
      </c>
      <c r="CE44" s="60">
        <f t="shared" si="40"/>
        <v>123.9494810355684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14.047248843745814</v>
      </c>
      <c r="CM44" s="23">
        <f>EXP(-LN(2)/2)*CM43+(1-EXP(-LN(2)/2))/(LN(2)/2)*CG44*CJ44*VLOOKUP('Données projet'!$B$12,Paramètres!$A$1:$I$89,3,0)*0.475*44/12</f>
        <v>2.3487270054688216</v>
      </c>
      <c r="CN44" s="24">
        <f t="shared" si="12"/>
        <v>16.395975849214636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0" t="e">
        <f t="shared" si="14"/>
        <v>#N/A</v>
      </c>
      <c r="CY44" s="60" t="e">
        <f ca="1">AVERAGE(OFFSET($CX$3,0,0,'Données projet'!$E$13+1,1))-AVERAGE(OFFSET($H$3,0,0,'Données projet'!$E$13+1,1))</f>
        <v>#N/A</v>
      </c>
      <c r="CZ44" s="60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8">
        <f t="shared" si="1"/>
        <v>339.94630797071898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0">
        <f t="shared" si="0"/>
        <v>557.83878140250954</v>
      </c>
      <c r="S45" s="60">
        <f ca="1">AVERAGE(OFFSET($R$3,0,0,'Données projet'!$E$9+1,1))-AVERAGE(OFFSET($H$3,0,0,'Données projet'!$E$9+1,1))</f>
        <v>314.4389771131751</v>
      </c>
      <c r="T45" s="60">
        <f t="shared" si="34"/>
        <v>176.7239677722049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90.200000000000017</v>
      </c>
      <c r="AJ45" s="14">
        <f>AI45*VLOOKUP('Données projet'!$B$10,Paramètres!$A$1:$I$89,3,0)*VLOOKUP('Données projet'!$B$10,Paramètres!$A$1:$I$89,5,0)</f>
        <v>81.612960000000015</v>
      </c>
      <c r="AK45" s="14">
        <f t="shared" si="35"/>
        <v>22.531101896247538</v>
      </c>
      <c r="AL45" s="22">
        <f t="shared" si="4"/>
        <v>181.38424113596446</v>
      </c>
      <c r="AM45" s="60">
        <f t="shared" si="5"/>
        <v>474.7175744692978</v>
      </c>
      <c r="AN45" s="60">
        <f ca="1">AVERAGE(OFFSET($AM$3,0,0,'Données projet'!$E$10+1,1))-AVERAGE(OFFSET($H$3,0,0,'Données projet'!$E$10+1,1))</f>
        <v>210.85498515082651</v>
      </c>
      <c r="AO45" s="60">
        <f t="shared" si="36"/>
        <v>76.413905647258389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30</v>
      </c>
      <c r="BD45" s="13">
        <f>IF('Données projet'!$A$88&gt;35,BD44+BC45-BL44,IF(A45&lt;'Données projet'!$A$88,$BA$205^A45,IF(A45='Données projet'!$A$88,'Données projet'!$B$88,BD44+BC45-BL44)))</f>
        <v>549.99999999999989</v>
      </c>
      <c r="BE45" s="14">
        <f>BD45*VLOOKUP('Données projet'!$B$11,Paramètres!$A$1:$I$89,3,0)*VLOOKUP('Données projet'!$B$11,Paramètres!$A$1:$I$89,5,0)</f>
        <v>243.09999999999997</v>
      </c>
      <c r="BF45" s="14">
        <f t="shared" si="37"/>
        <v>59.10601157500043</v>
      </c>
      <c r="BG45" s="22">
        <f t="shared" si="7"/>
        <v>526.34213682645907</v>
      </c>
      <c r="BH45" s="60">
        <f t="shared" si="8"/>
        <v>819.67547015979244</v>
      </c>
      <c r="BI45" s="60">
        <f ca="1">AVERAGE(OFFSET($BH$3,0,0,'Données projet'!$E$11+1,1))-AVERAGE(OFFSET($H$3,0,0,'Données projet'!$E$11+1,1))</f>
        <v>456.68544269509601</v>
      </c>
      <c r="BJ45" s="60">
        <f t="shared" si="38"/>
        <v>417.22363874931852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10.952991452991451</v>
      </c>
      <c r="BY45" s="13">
        <f>IF('Données projet'!$A$114&gt;35,BY44+BX45-CG44,IF(A45&lt;'Données projet'!$A$114,$BV$205^A45,IF(A45='Données projet'!$A$114,'Données projet'!$B$114,BY44+BX45-CG44)))</f>
        <v>244.56239316239319</v>
      </c>
      <c r="BZ45" s="14">
        <f>BY45*VLOOKUP('Données projet'!$B$12,Paramètres!$A$1:$I$89,3,0)*VLOOKUP('Données projet'!$B$12,Paramètres!$A$1:$I$89,5,0)</f>
        <v>136.71037777777781</v>
      </c>
      <c r="CA45" s="14">
        <f t="shared" si="39"/>
        <v>35.542359524058632</v>
      </c>
      <c r="CB45" s="22">
        <f t="shared" si="10"/>
        <v>300.00685080069843</v>
      </c>
      <c r="CC45" s="60">
        <f t="shared" si="11"/>
        <v>593.34018413403169</v>
      </c>
      <c r="CD45" s="60">
        <f ca="1">AVERAGE(OFFSET($CC$3,0,0,'Données projet'!$E$12+1,1))-AVERAGE(OFFSET($H$3,0,0,'Données projet'!$E$12+1,1))</f>
        <v>234.38946271740315</v>
      </c>
      <c r="CE45" s="60">
        <f t="shared" si="40"/>
        <v>123.9494810355684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13.663126085400874</v>
      </c>
      <c r="CM45" s="23">
        <f>EXP(-LN(2)/2)*CM44+(1-EXP(-LN(2)/2))/(LN(2)/2)*CG45*CJ45*VLOOKUP('Données projet'!$B$12,Paramètres!$A$1:$I$89,3,0)*0.475*44/12</f>
        <v>1.6608007927229771</v>
      </c>
      <c r="CN45" s="24">
        <f t="shared" si="12"/>
        <v>15.323926878123851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0" t="e">
        <f t="shared" si="14"/>
        <v>#N/A</v>
      </c>
      <c r="CY45" s="60" t="e">
        <f ca="1">AVERAGE(OFFSET($CX$3,0,0,'Données projet'!$E$13+1,1))-AVERAGE(OFFSET($H$3,0,0,'Données projet'!$E$13+1,1))</f>
        <v>#N/A</v>
      </c>
      <c r="CZ45" s="60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8">
        <f t="shared" si="1"/>
        <v>341.02413906270732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0">
        <f t="shared" si="0"/>
        <v>574.15179438724942</v>
      </c>
      <c r="S46" s="60">
        <f ca="1">AVERAGE(OFFSET($R$3,0,0,'Données projet'!$E$9+1,1))-AVERAGE(OFFSET($H$3,0,0,'Données projet'!$E$9+1,1))</f>
        <v>314.4389771131751</v>
      </c>
      <c r="T46" s="60">
        <f t="shared" si="34"/>
        <v>176.7239677722049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95.800000000000011</v>
      </c>
      <c r="AJ46" s="14">
        <f>AI46*VLOOKUP('Données projet'!$B$10,Paramètres!$A$1:$I$89,3,0)*VLOOKUP('Données projet'!$B$10,Paramètres!$A$1:$I$89,5,0)</f>
        <v>86.679839999999999</v>
      </c>
      <c r="AK46" s="14">
        <f t="shared" si="35"/>
        <v>23.762739053789723</v>
      </c>
      <c r="AL46" s="22">
        <f t="shared" si="4"/>
        <v>192.35415851868379</v>
      </c>
      <c r="AM46" s="60">
        <f t="shared" si="5"/>
        <v>485.6874918520171</v>
      </c>
      <c r="AN46" s="60">
        <f ca="1">AVERAGE(OFFSET($AM$3,0,0,'Données projet'!$E$10+1,1))-AVERAGE(OFFSET($H$3,0,0,'Données projet'!$E$10+1,1))</f>
        <v>210.85498515082651</v>
      </c>
      <c r="AO46" s="60">
        <f t="shared" si="36"/>
        <v>76.413905647258389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30</v>
      </c>
      <c r="BD46" s="13">
        <f>IF('Données projet'!$A$88&gt;35,BD45+BC46-BL45,IF(A46&lt;'Données projet'!$A$88,$BA$205^A46,IF(A46='Données projet'!$A$88,'Données projet'!$B$88,BD45+BC46-BL45)))</f>
        <v>579.99999999999989</v>
      </c>
      <c r="BE46" s="14">
        <f>BD46*VLOOKUP('Données projet'!$B$11,Paramètres!$A$1:$I$89,3,0)*VLOOKUP('Données projet'!$B$11,Paramètres!$A$1:$I$89,5,0)</f>
        <v>256.36</v>
      </c>
      <c r="BF46" s="14">
        <f t="shared" si="37"/>
        <v>61.945841529525417</v>
      </c>
      <c r="BG46" s="22">
        <f t="shared" si="7"/>
        <v>554.38267399725669</v>
      </c>
      <c r="BH46" s="60">
        <f t="shared" si="8"/>
        <v>847.71600733058995</v>
      </c>
      <c r="BI46" s="60">
        <f ca="1">AVERAGE(OFFSET($BH$3,0,0,'Données projet'!$E$11+1,1))-AVERAGE(OFFSET($H$3,0,0,'Données projet'!$E$11+1,1))</f>
        <v>456.68544269509601</v>
      </c>
      <c r="BJ46" s="60">
        <f t="shared" si="38"/>
        <v>417.22363874931852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>
        <f>VLOOKUP(A46,'Données projet'!$A$113:$I$133,2,0)</f>
        <v>255.51538461538462</v>
      </c>
      <c r="BW46" s="13">
        <f>VLOOKUP(A46,'Données projet'!$A$113:$I$133,9,0)</f>
        <v>10.952991452991451</v>
      </c>
      <c r="BX46" s="13">
        <f t="array" ref="BX46">INDEX(BW:BW,MIN(IF(ISNUMBER(BW46:BW242),ROW(BW46:BW242),"")))</f>
        <v>10.952991452991451</v>
      </c>
      <c r="BY46" s="13">
        <f>IF('Données projet'!$A$114&gt;35,BY45+BX46-CG45,IF(A46&lt;'Données projet'!$A$114,$BV$205^A46,IF(A46='Données projet'!$A$114,'Données projet'!$B$114,BY45+BX46-CG45)))</f>
        <v>255.51538461538465</v>
      </c>
      <c r="BZ46" s="14">
        <f>BY46*VLOOKUP('Données projet'!$B$12,Paramètres!$A$1:$I$89,3,0)*VLOOKUP('Données projet'!$B$12,Paramètres!$A$1:$I$89,5,0)</f>
        <v>142.83310000000003</v>
      </c>
      <c r="CA46" s="14">
        <f t="shared" si="39"/>
        <v>36.945270222902437</v>
      </c>
      <c r="CB46" s="22">
        <f t="shared" si="10"/>
        <v>313.11399480488848</v>
      </c>
      <c r="CC46" s="60">
        <f t="shared" si="11"/>
        <v>606.44732813822179</v>
      </c>
      <c r="CD46" s="60">
        <f ca="1">AVERAGE(OFFSET($CC$3,0,0,'Données projet'!$E$12+1,1))-AVERAGE(OFFSET($H$3,0,0,'Données projet'!$E$12+1,1))</f>
        <v>234.38946271740315</v>
      </c>
      <c r="CE46" s="60">
        <f t="shared" si="40"/>
        <v>123.9494810355684</v>
      </c>
      <c r="CF46" s="16">
        <f>IF(ISNA(VLOOKUP(A46,'Données projet'!$A$113:$I$133,3,0)),0,VLOOKUP(A46,'Données projet'!$A$113:$I$133,3,0))</f>
        <v>2</v>
      </c>
      <c r="CG46" s="16">
        <f>IF(ISNA(VLOOKUP(A46,'Données projet'!$A$113:$I$133,4,0)),0,VLOOKUP(A46,'Données projet'!$A$113:$I$133,4,0))</f>
        <v>60.638461538461534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0.27500000000000002</v>
      </c>
      <c r="CJ46" s="17">
        <f>IF(ISNA(VLOOKUP(A46,'Données projet'!$A$113:$I$133,7,0)),0%,VLOOKUP(A46,'Données projet'!$A$113:$I$133,7,0))</f>
        <v>0.5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25.606584690308082</v>
      </c>
      <c r="CM46" s="23">
        <f>EXP(-LN(2)/2)*CM45+(1-EXP(-LN(2)/2))/(LN(2)/2)*CG46*CJ46*VLOOKUP('Données projet'!$B$12,Paramètres!$A$1:$I$89,3,0)*0.475*44/12</f>
        <v>20.363945985746842</v>
      </c>
      <c r="CN46" s="24">
        <f t="shared" si="12"/>
        <v>45.970530676054921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0" t="e">
        <f t="shared" si="14"/>
        <v>#N/A</v>
      </c>
      <c r="CY46" s="60" t="e">
        <f ca="1">AVERAGE(OFFSET($CX$3,0,0,'Données projet'!$E$13+1,1))-AVERAGE(OFFSET($H$3,0,0,'Données projet'!$E$13+1,1))</f>
        <v>#N/A</v>
      </c>
      <c r="CZ46" s="60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8">
        <f t="shared" si="1"/>
        <v>342.1013210552274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0">
        <f t="shared" si="0"/>
        <v>590.44356897369653</v>
      </c>
      <c r="S47" s="60">
        <f ca="1">AVERAGE(OFFSET($R$3,0,0,'Données projet'!$E$9+1,1))-AVERAGE(OFFSET($H$3,0,0,'Données projet'!$E$9+1,1))</f>
        <v>314.4389771131751</v>
      </c>
      <c r="T47" s="60">
        <f t="shared" si="34"/>
        <v>176.7239677722049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101.4</v>
      </c>
      <c r="AJ47" s="14">
        <f>AI47*VLOOKUP('Données projet'!$B$10,Paramètres!$A$1:$I$89,3,0)*VLOOKUP('Données projet'!$B$10,Paramètres!$A$1:$I$89,5,0)</f>
        <v>91.746719999999996</v>
      </c>
      <c r="AK47" s="14">
        <f t="shared" si="35"/>
        <v>24.986019358738364</v>
      </c>
      <c r="AL47" s="22">
        <f t="shared" si="4"/>
        <v>203.30952104980261</v>
      </c>
      <c r="AM47" s="60">
        <f t="shared" si="5"/>
        <v>496.64285438313595</v>
      </c>
      <c r="AN47" s="60">
        <f ca="1">AVERAGE(OFFSET($AM$3,0,0,'Données projet'!$E$10+1,1))-AVERAGE(OFFSET($H$3,0,0,'Données projet'!$E$10+1,1))</f>
        <v>210.85498515082651</v>
      </c>
      <c r="AO47" s="60">
        <f t="shared" si="36"/>
        <v>76.413905647258389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30</v>
      </c>
      <c r="BD47" s="13">
        <f>IF('Données projet'!$A$88&gt;35,BD46+BC47-BL46,IF(A47&lt;'Données projet'!$A$88,$BA$205^A47,IF(A47='Données projet'!$A$88,'Données projet'!$B$88,BD46+BC47-BL46)))</f>
        <v>609.99999999999989</v>
      </c>
      <c r="BE47" s="14">
        <f>BD47*VLOOKUP('Données projet'!$B$11,Paramètres!$A$1:$I$89,3,0)*VLOOKUP('Données projet'!$B$11,Paramètres!$A$1:$I$89,5,0)</f>
        <v>269.62</v>
      </c>
      <c r="BF47" s="14">
        <f t="shared" si="37"/>
        <v>64.768617088050021</v>
      </c>
      <c r="BG47" s="22">
        <f t="shared" si="7"/>
        <v>582.39350809502037</v>
      </c>
      <c r="BH47" s="60">
        <f t="shared" si="8"/>
        <v>875.72684142835374</v>
      </c>
      <c r="BI47" s="60">
        <f ca="1">AVERAGE(OFFSET($BH$3,0,0,'Données projet'!$E$11+1,1))-AVERAGE(OFFSET($H$3,0,0,'Données projet'!$E$11+1,1))</f>
        <v>456.68544269509601</v>
      </c>
      <c r="BJ47" s="60">
        <f t="shared" si="38"/>
        <v>417.22363874931852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10.423076923076922</v>
      </c>
      <c r="BY47" s="13">
        <f>IF('Données projet'!$A$114&gt;35,BY46+BX47-CG46,IF(A47&lt;'Données projet'!$A$114,$BV$205^A47,IF(A47='Données projet'!$A$114,'Données projet'!$B$114,BY46+BX47-CG46)))</f>
        <v>205.30000000000004</v>
      </c>
      <c r="BZ47" s="14">
        <f>BY47*VLOOKUP('Données projet'!$B$12,Paramètres!$A$1:$I$89,3,0)*VLOOKUP('Données projet'!$B$12,Paramètres!$A$1:$I$89,5,0)</f>
        <v>114.76270000000002</v>
      </c>
      <c r="CA47" s="14">
        <f t="shared" si="39"/>
        <v>30.450330729103193</v>
      </c>
      <c r="CB47" s="22">
        <f t="shared" si="10"/>
        <v>252.91269518652146</v>
      </c>
      <c r="CC47" s="60">
        <f t="shared" si="11"/>
        <v>546.2460285198548</v>
      </c>
      <c r="CD47" s="60">
        <f ca="1">AVERAGE(OFFSET($CC$3,0,0,'Données projet'!$E$12+1,1))-AVERAGE(OFFSET($H$3,0,0,'Données projet'!$E$12+1,1))</f>
        <v>234.38946271740315</v>
      </c>
      <c r="CE47" s="60">
        <f t="shared" si="40"/>
        <v>123.9494810355684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24.906371285359842</v>
      </c>
      <c r="CM47" s="23">
        <f>EXP(-LN(2)/2)*CM46+(1-EXP(-LN(2)/2))/(LN(2)/2)*CG47*CJ47*VLOOKUP('Données projet'!$B$12,Paramètres!$A$1:$I$89,3,0)*0.475*44/12</f>
        <v>14.399484298238166</v>
      </c>
      <c r="CN47" s="24">
        <f t="shared" si="12"/>
        <v>39.30585558359801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0" t="e">
        <f t="shared" si="14"/>
        <v>#N/A</v>
      </c>
      <c r="CY47" s="60" t="e">
        <f ca="1">AVERAGE(OFFSET($CX$3,0,0,'Données projet'!$E$13+1,1))-AVERAGE(OFFSET($H$3,0,0,'Données projet'!$E$13+1,1))</f>
        <v>#N/A</v>
      </c>
      <c r="CZ47" s="60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8">
        <f t="shared" si="1"/>
        <v>343.17787039879954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0">
        <f t="shared" si="0"/>
        <v>606.71543359582972</v>
      </c>
      <c r="S48" s="60">
        <f ca="1">AVERAGE(OFFSET($R$3,0,0,'Données projet'!$E$9+1,1))-AVERAGE(OFFSET($H$3,0,0,'Données projet'!$E$9+1,1))</f>
        <v>314.4389771131751</v>
      </c>
      <c r="T48" s="60">
        <f t="shared" si="34"/>
        <v>176.7239677722049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107</v>
      </c>
      <c r="AJ48" s="14">
        <f>AI48*VLOOKUP('Données projet'!$B$10,Paramètres!$A$1:$I$89,3,0)*VLOOKUP('Données projet'!$B$10,Paramètres!$A$1:$I$89,5,0)</f>
        <v>96.813599999999994</v>
      </c>
      <c r="AK48" s="14">
        <f t="shared" si="35"/>
        <v>26.201456938925336</v>
      </c>
      <c r="AL48" s="22">
        <f t="shared" si="4"/>
        <v>214.25122416862826</v>
      </c>
      <c r="AM48" s="60">
        <f t="shared" si="5"/>
        <v>507.58455750196157</v>
      </c>
      <c r="AN48" s="60">
        <f ca="1">AVERAGE(OFFSET($AM$3,0,0,'Données projet'!$E$10+1,1))-AVERAGE(OFFSET($H$3,0,0,'Données projet'!$E$10+1,1))</f>
        <v>210.85498515082651</v>
      </c>
      <c r="AO48" s="60">
        <f t="shared" si="36"/>
        <v>76.413905647258389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30</v>
      </c>
      <c r="BD48" s="13">
        <f>IF('Données projet'!$A$88&gt;35,BD47+BC48-BL47,IF(A48&lt;'Données projet'!$A$88,$BA$205^A48,IF(A48='Données projet'!$A$88,'Données projet'!$B$88,BD47+BC48-BL47)))</f>
        <v>639.99999999999989</v>
      </c>
      <c r="BE48" s="14">
        <f>BD48*VLOOKUP('Données projet'!$B$11,Paramètres!$A$1:$I$89,3,0)*VLOOKUP('Données projet'!$B$11,Paramètres!$A$1:$I$89,5,0)</f>
        <v>282.87999999999994</v>
      </c>
      <c r="BF48" s="14">
        <f t="shared" si="37"/>
        <v>67.575272716956064</v>
      </c>
      <c r="BG48" s="22">
        <f t="shared" si="7"/>
        <v>610.37626664869833</v>
      </c>
      <c r="BH48" s="60">
        <f t="shared" si="8"/>
        <v>903.7095999820317</v>
      </c>
      <c r="BI48" s="60">
        <f ca="1">AVERAGE(OFFSET($BH$3,0,0,'Données projet'!$E$11+1,1))-AVERAGE(OFFSET($H$3,0,0,'Données projet'!$E$11+1,1))</f>
        <v>456.68544269509601</v>
      </c>
      <c r="BJ48" s="60">
        <f t="shared" si="38"/>
        <v>417.22363874931852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10.423076923076922</v>
      </c>
      <c r="BY48" s="13">
        <f>IF('Données projet'!$A$114&gt;35,BY47+BX48-CG47,IF(A48&lt;'Données projet'!$A$114,$BV$205^A48,IF(A48='Données projet'!$A$114,'Données projet'!$B$114,BY47+BX48-CG47)))</f>
        <v>215.72307692307697</v>
      </c>
      <c r="BZ48" s="14">
        <f>BY48*VLOOKUP('Données projet'!$B$12,Paramètres!$A$1:$I$89,3,0)*VLOOKUP('Données projet'!$B$12,Paramètres!$A$1:$I$89,5,0)</f>
        <v>120.58920000000002</v>
      </c>
      <c r="CA48" s="14">
        <f t="shared" si="39"/>
        <v>31.812381320163617</v>
      </c>
      <c r="CB48" s="22">
        <f t="shared" si="10"/>
        <v>265.4327541326183</v>
      </c>
      <c r="CC48" s="60">
        <f t="shared" si="11"/>
        <v>558.76608746595161</v>
      </c>
      <c r="CD48" s="60">
        <f ca="1">AVERAGE(OFFSET($CC$3,0,0,'Données projet'!$E$12+1,1))-AVERAGE(OFFSET($H$3,0,0,'Données projet'!$E$12+1,1))</f>
        <v>234.38946271740315</v>
      </c>
      <c r="CE48" s="60">
        <f t="shared" si="40"/>
        <v>123.9494810355684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24.225305252792538</v>
      </c>
      <c r="CM48" s="23">
        <f>EXP(-LN(2)/2)*CM47+(1-EXP(-LN(2)/2))/(LN(2)/2)*CG48*CJ48*VLOOKUP('Données projet'!$B$12,Paramètres!$A$1:$I$89,3,0)*0.475*44/12</f>
        <v>10.181972992873423</v>
      </c>
      <c r="CN48" s="24">
        <f t="shared" si="12"/>
        <v>34.407278245665964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0" t="e">
        <f t="shared" si="14"/>
        <v>#N/A</v>
      </c>
      <c r="CY48" s="60" t="e">
        <f ca="1">AVERAGE(OFFSET($CX$3,0,0,'Données projet'!$E$13+1,1))-AVERAGE(OFFSET($H$3,0,0,'Données projet'!$E$13+1,1))</f>
        <v>#N/A</v>
      </c>
      <c r="CZ48" s="60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8">
        <f t="shared" si="1"/>
        <v>344.25380277106626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0">
        <f t="shared" si="0"/>
        <v>622.58179746983251</v>
      </c>
      <c r="S49" s="60">
        <f ca="1">AVERAGE(OFFSET($R$3,0,0,'Données projet'!$E$9+1,1))-AVERAGE(OFFSET($H$3,0,0,'Données projet'!$E$9+1,1))</f>
        <v>314.4389771131751</v>
      </c>
      <c r="T49" s="60">
        <f t="shared" si="34"/>
        <v>176.7239677722049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112.6</v>
      </c>
      <c r="AJ49" s="14">
        <f>AI49*VLOOKUP('Données projet'!$B$10,Paramètres!$A$1:$I$89,3,0)*VLOOKUP('Données projet'!$B$10,Paramètres!$A$1:$I$89,5,0)</f>
        <v>101.88047999999999</v>
      </c>
      <c r="AK49" s="14">
        <f t="shared" si="35"/>
        <v>27.409509067425631</v>
      </c>
      <c r="AL49" s="22">
        <f t="shared" si="4"/>
        <v>225.18006429243292</v>
      </c>
      <c r="AM49" s="60">
        <f t="shared" si="5"/>
        <v>518.51339762576617</v>
      </c>
      <c r="AN49" s="60">
        <f ca="1">AVERAGE(OFFSET($AM$3,0,0,'Données projet'!$E$10+1,1))-AVERAGE(OFFSET($H$3,0,0,'Données projet'!$E$10+1,1))</f>
        <v>210.85498515082651</v>
      </c>
      <c r="AO49" s="60">
        <f t="shared" si="36"/>
        <v>76.413905647258389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>
        <f>VLOOKUP(A49,'Données projet'!$A$87:$I$107,2,0)</f>
        <v>670</v>
      </c>
      <c r="BB49" s="13">
        <f>VLOOKUP(A49,'Données projet'!$A$87:$I$107,9,0)</f>
        <v>30</v>
      </c>
      <c r="BC49" s="13">
        <f t="array" ref="BC49">INDEX(BB:BB,MIN(IF(ISNUMBER(BB49:BB245),ROW(BB49:BB245),"")))</f>
        <v>30</v>
      </c>
      <c r="BD49" s="13">
        <f>IF('Données projet'!$A$88&gt;35,BD48+BC49-BL48,IF(A49&lt;'Données projet'!$A$88,$BA$205^A49,IF(A49='Données projet'!$A$88,'Données projet'!$B$88,BD48+BC49-BL48)))</f>
        <v>669.99999999999989</v>
      </c>
      <c r="BE49" s="14">
        <f>BD49*VLOOKUP('Données projet'!$B$11,Paramètres!$A$1:$I$89,3,0)*VLOOKUP('Données projet'!$B$11,Paramètres!$A$1:$I$89,5,0)</f>
        <v>296.14</v>
      </c>
      <c r="BF49" s="14">
        <f t="shared" si="37"/>
        <v>70.366650325591266</v>
      </c>
      <c r="BG49" s="22">
        <f t="shared" si="7"/>
        <v>638.33241598373809</v>
      </c>
      <c r="BH49" s="60">
        <f t="shared" si="8"/>
        <v>931.66574931707146</v>
      </c>
      <c r="BI49" s="60">
        <f ca="1">AVERAGE(OFFSET($BH$3,0,0,'Données projet'!$E$11+1,1))-AVERAGE(OFFSET($H$3,0,0,'Données projet'!$E$11+1,1))</f>
        <v>456.68544269509601</v>
      </c>
      <c r="BJ49" s="60">
        <f t="shared" si="38"/>
        <v>417.22363874931852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10.423076923076922</v>
      </c>
      <c r="BY49" s="13">
        <f>IF('Données projet'!$A$114&gt;35,BY48+BX49-CG48,IF(A49&lt;'Données projet'!$A$114,$BV$205^A49,IF(A49='Données projet'!$A$114,'Données projet'!$B$114,BY48+BX49-CG48)))</f>
        <v>226.14615384615391</v>
      </c>
      <c r="BZ49" s="14">
        <f>BY49*VLOOKUP('Données projet'!$B$12,Paramètres!$A$1:$I$89,3,0)*VLOOKUP('Données projet'!$B$12,Paramètres!$A$1:$I$89,5,0)</f>
        <v>126.41570000000003</v>
      </c>
      <c r="CA49" s="14">
        <f t="shared" si="39"/>
        <v>33.166789976544962</v>
      </c>
      <c r="CB49" s="22">
        <f t="shared" si="10"/>
        <v>277.93950337581583</v>
      </c>
      <c r="CC49" s="60">
        <f t="shared" si="11"/>
        <v>571.27283670914915</v>
      </c>
      <c r="CD49" s="60">
        <f ca="1">AVERAGE(OFFSET($CC$3,0,0,'Données projet'!$E$12+1,1))-AVERAGE(OFFSET($H$3,0,0,'Données projet'!$E$12+1,1))</f>
        <v>234.38946271740315</v>
      </c>
      <c r="CE49" s="60">
        <f t="shared" si="40"/>
        <v>123.9494810355684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23.562863006701491</v>
      </c>
      <c r="CM49" s="23">
        <f>EXP(-LN(2)/2)*CM48+(1-EXP(-LN(2)/2))/(LN(2)/2)*CG49*CJ49*VLOOKUP('Données projet'!$B$12,Paramètres!$A$1:$I$89,3,0)*0.475*44/12</f>
        <v>7.1997421491190838</v>
      </c>
      <c r="CN49" s="24">
        <f t="shared" si="12"/>
        <v>30.762605155820573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0" t="e">
        <f t="shared" si="14"/>
        <v>#N/A</v>
      </c>
      <c r="CY49" s="60" t="e">
        <f ca="1">AVERAGE(OFFSET($CX$3,0,0,'Données projet'!$E$13+1,1))-AVERAGE(OFFSET($H$3,0,0,'Données projet'!$E$13+1,1))</f>
        <v>#N/A</v>
      </c>
      <c r="CZ49" s="60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8">
        <f t="shared" si="1"/>
        <v>345.32913312910375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0">
        <f t="shared" si="0"/>
        <v>638.43129351369294</v>
      </c>
      <c r="S50" s="60">
        <f ca="1">AVERAGE(OFFSET($R$3,0,0,'Données projet'!$E$9+1,1))-AVERAGE(OFFSET($H$3,0,0,'Données projet'!$E$9+1,1))</f>
        <v>314.4389771131751</v>
      </c>
      <c r="T50" s="60">
        <f t="shared" si="34"/>
        <v>176.7239677722049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118.19999999999999</v>
      </c>
      <c r="AJ50" s="14">
        <f>AI50*VLOOKUP('Données projet'!$B$10,Paramètres!$A$1:$I$89,3,0)*VLOOKUP('Données projet'!$B$10,Paramètres!$A$1:$I$89,5,0)</f>
        <v>106.94735999999997</v>
      </c>
      <c r="AK50" s="14">
        <f t="shared" si="35"/>
        <v>28.61058496425451</v>
      </c>
      <c r="AL50" s="22">
        <f t="shared" si="4"/>
        <v>236.09675414607656</v>
      </c>
      <c r="AM50" s="60">
        <f t="shared" si="5"/>
        <v>529.43008747940985</v>
      </c>
      <c r="AN50" s="60">
        <f ca="1">AVERAGE(OFFSET($AM$3,0,0,'Données projet'!$E$10+1,1))-AVERAGE(OFFSET($H$3,0,0,'Données projet'!$E$10+1,1))</f>
        <v>210.85498515082651</v>
      </c>
      <c r="AO50" s="60">
        <f t="shared" si="36"/>
        <v>76.413905647258389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26.6</v>
      </c>
      <c r="BD50" s="13">
        <f>IF('Données projet'!$A$88&gt;35,BD49+BC50-BL49,IF(A50&lt;'Données projet'!$A$88,$BA$205^A50,IF(A50='Données projet'!$A$88,'Données projet'!$B$88,BD49+BC50-BL49)))</f>
        <v>696.59999999999991</v>
      </c>
      <c r="BE50" s="14">
        <f>BD50*VLOOKUP('Données projet'!$B$11,Paramètres!$A$1:$I$89,3,0)*VLOOKUP('Données projet'!$B$11,Paramètres!$A$1:$I$89,5,0)</f>
        <v>307.8972</v>
      </c>
      <c r="BF50" s="14">
        <f t="shared" si="37"/>
        <v>72.829508030207904</v>
      </c>
      <c r="BG50" s="22">
        <f t="shared" si="7"/>
        <v>663.0990164859453</v>
      </c>
      <c r="BH50" s="60">
        <f t="shared" si="8"/>
        <v>956.43234981927867</v>
      </c>
      <c r="BI50" s="60">
        <f ca="1">AVERAGE(OFFSET($BH$3,0,0,'Données projet'!$E$11+1,1))-AVERAGE(OFFSET($H$3,0,0,'Données projet'!$E$11+1,1))</f>
        <v>456.68544269509601</v>
      </c>
      <c r="BJ50" s="60">
        <f t="shared" si="38"/>
        <v>417.22363874931852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10.423076923076922</v>
      </c>
      <c r="BY50" s="13">
        <f>IF('Données projet'!$A$114&gt;35,BY49+BX50-CG49,IF(A50&lt;'Données projet'!$A$114,$BV$205^A50,IF(A50='Données projet'!$A$114,'Données projet'!$B$114,BY49+BX50-CG49)))</f>
        <v>236.56923076923084</v>
      </c>
      <c r="BZ50" s="14">
        <f>BY50*VLOOKUP('Données projet'!$B$12,Paramètres!$A$1:$I$89,3,0)*VLOOKUP('Données projet'!$B$12,Paramètres!$A$1:$I$89,5,0)</f>
        <v>132.24220000000003</v>
      </c>
      <c r="CA50" s="14">
        <f t="shared" si="39"/>
        <v>34.513949144201142</v>
      </c>
      <c r="CB50" s="22">
        <f t="shared" si="10"/>
        <v>290.4336264261504</v>
      </c>
      <c r="CC50" s="60">
        <f t="shared" si="11"/>
        <v>583.76695975948371</v>
      </c>
      <c r="CD50" s="60">
        <f ca="1">AVERAGE(OFFSET($CC$3,0,0,'Données projet'!$E$12+1,1))-AVERAGE(OFFSET($H$3,0,0,'Données projet'!$E$12+1,1))</f>
        <v>234.38946271740315</v>
      </c>
      <c r="CE50" s="60">
        <f t="shared" si="40"/>
        <v>123.9494810355684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22.918535278666127</v>
      </c>
      <c r="CM50" s="23">
        <f>EXP(-LN(2)/2)*CM49+(1-EXP(-LN(2)/2))/(LN(2)/2)*CG50*CJ50*VLOOKUP('Données projet'!$B$12,Paramètres!$A$1:$I$89,3,0)*0.475*44/12</f>
        <v>5.0909864964367122</v>
      </c>
      <c r="CN50" s="24">
        <f t="shared" si="12"/>
        <v>28.00952177510284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0" t="e">
        <f t="shared" si="14"/>
        <v>#N/A</v>
      </c>
      <c r="CY50" s="60" t="e">
        <f ca="1">AVERAGE(OFFSET($CX$3,0,0,'Données projet'!$E$13+1,1))-AVERAGE(OFFSET($H$3,0,0,'Données projet'!$E$13+1,1))</f>
        <v>#N/A</v>
      </c>
      <c r="CZ50" s="60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8">
        <f t="shared" si="1"/>
        <v>346.40387575715488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0">
        <f t="shared" si="0"/>
        <v>654.26480538883823</v>
      </c>
      <c r="S51" s="60">
        <f ca="1">AVERAGE(OFFSET($R$3,0,0,'Données projet'!$E$9+1,1))-AVERAGE(OFFSET($H$3,0,0,'Données projet'!$E$9+1,1))</f>
        <v>314.4389771131751</v>
      </c>
      <c r="T51" s="60">
        <f t="shared" si="34"/>
        <v>176.7239677722049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123.79999999999998</v>
      </c>
      <c r="AJ51" s="14">
        <f>AI51*VLOOKUP('Données projet'!$B$10,Paramètres!$A$1:$I$89,3,0)*VLOOKUP('Données projet'!$B$10,Paramètres!$A$1:$I$89,5,0)</f>
        <v>112.01423999999999</v>
      </c>
      <c r="AK51" s="14">
        <f t="shared" si="35"/>
        <v>29.805052882814007</v>
      </c>
      <c r="AL51" s="22">
        <f t="shared" si="4"/>
        <v>247.00193510423432</v>
      </c>
      <c r="AM51" s="60">
        <f t="shared" si="5"/>
        <v>540.33526843756761</v>
      </c>
      <c r="AN51" s="60">
        <f ca="1">AVERAGE(OFFSET($AM$3,0,0,'Données projet'!$E$10+1,1))-AVERAGE(OFFSET($H$3,0,0,'Données projet'!$E$10+1,1))</f>
        <v>210.85498515082651</v>
      </c>
      <c r="AO51" s="60">
        <f t="shared" si="36"/>
        <v>76.413905647258389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26.6</v>
      </c>
      <c r="BD51" s="13">
        <f>IF('Données projet'!$A$88&gt;35,BD50+BC51-BL50,IF(A51&lt;'Données projet'!$A$88,$BA$205^A51,IF(A51='Données projet'!$A$88,'Données projet'!$B$88,BD50+BC51-BL50)))</f>
        <v>723.19999999999993</v>
      </c>
      <c r="BE51" s="14">
        <f>BD51*VLOOKUP('Données projet'!$B$11,Paramètres!$A$1:$I$89,3,0)*VLOOKUP('Données projet'!$B$11,Paramètres!$A$1:$I$89,5,0)</f>
        <v>319.65440000000001</v>
      </c>
      <c r="BF51" s="14">
        <f t="shared" si="37"/>
        <v>75.2814403399517</v>
      </c>
      <c r="BG51" s="22">
        <f t="shared" si="7"/>
        <v>687.84658859208241</v>
      </c>
      <c r="BH51" s="60">
        <f t="shared" si="8"/>
        <v>981.17992192541578</v>
      </c>
      <c r="BI51" s="60">
        <f ca="1">AVERAGE(OFFSET($BH$3,0,0,'Données projet'!$E$11+1,1))-AVERAGE(OFFSET($H$3,0,0,'Données projet'!$E$11+1,1))</f>
        <v>456.68544269509601</v>
      </c>
      <c r="BJ51" s="60">
        <f t="shared" si="38"/>
        <v>417.22363874931852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10.423076923076922</v>
      </c>
      <c r="BY51" s="13">
        <f>IF('Données projet'!$A$114&gt;35,BY50+BX51-CG50,IF(A51&lt;'Données projet'!$A$114,$BV$205^A51,IF(A51='Données projet'!$A$114,'Données projet'!$B$114,BY50+BX51-CG50)))</f>
        <v>246.99230769230778</v>
      </c>
      <c r="BZ51" s="14">
        <f>BY51*VLOOKUP('Données projet'!$B$12,Paramètres!$A$1:$I$89,3,0)*VLOOKUP('Données projet'!$B$12,Paramètres!$A$1:$I$89,5,0)</f>
        <v>138.06870000000004</v>
      </c>
      <c r="CA51" s="14">
        <f t="shared" si="39"/>
        <v>35.854214731947266</v>
      </c>
      <c r="CB51" s="22">
        <f t="shared" si="10"/>
        <v>302.91574315814154</v>
      </c>
      <c r="CC51" s="60">
        <f t="shared" si="11"/>
        <v>596.24907649147485</v>
      </c>
      <c r="CD51" s="60">
        <f ca="1">AVERAGE(OFFSET($CC$3,0,0,'Données projet'!$E$12+1,1))-AVERAGE(OFFSET($H$3,0,0,'Données projet'!$E$12+1,1))</f>
        <v>234.38946271740315</v>
      </c>
      <c r="CE51" s="60">
        <f t="shared" si="40"/>
        <v>123.9494810355684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22.291826726237613</v>
      </c>
      <c r="CM51" s="23">
        <f>EXP(-LN(2)/2)*CM50+(1-EXP(-LN(2)/2))/(LN(2)/2)*CG51*CJ51*VLOOKUP('Données projet'!$B$12,Paramètres!$A$1:$I$89,3,0)*0.475*44/12</f>
        <v>3.5998710745595428</v>
      </c>
      <c r="CN51" s="24">
        <f t="shared" si="12"/>
        <v>25.891697800797154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0" t="e">
        <f t="shared" si="14"/>
        <v>#N/A</v>
      </c>
      <c r="CY51" s="60" t="e">
        <f ca="1">AVERAGE(OFFSET($CX$3,0,0,'Données projet'!$E$13+1,1))-AVERAGE(OFFSET($H$3,0,0,'Données projet'!$E$13+1,1))</f>
        <v>#N/A</v>
      </c>
      <c r="CZ51" s="60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8">
        <f t="shared" si="1"/>
        <v>347.47804431027294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0">
        <f t="shared" si="0"/>
        <v>670.08313290501178</v>
      </c>
      <c r="S52" s="60">
        <f ca="1">AVERAGE(OFFSET($R$3,0,0,'Données projet'!$E$9+1,1))-AVERAGE(OFFSET($H$3,0,0,'Données projet'!$E$9+1,1))</f>
        <v>314.4389771131751</v>
      </c>
      <c r="T52" s="60">
        <f t="shared" si="34"/>
        <v>176.7239677722049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129.39999999999998</v>
      </c>
      <c r="AJ52" s="14">
        <f>AI52*VLOOKUP('Données projet'!$B$10,Paramètres!$A$1:$I$89,3,0)*VLOOKUP('Données projet'!$B$10,Paramètres!$A$1:$I$89,5,0)</f>
        <v>117.08111999999997</v>
      </c>
      <c r="AK52" s="14">
        <f t="shared" si="35"/>
        <v>30.993245877902094</v>
      </c>
      <c r="AL52" s="22">
        <f t="shared" si="4"/>
        <v>257.89618723734606</v>
      </c>
      <c r="AM52" s="60">
        <f t="shared" si="5"/>
        <v>551.22952057067937</v>
      </c>
      <c r="AN52" s="60">
        <f ca="1">AVERAGE(OFFSET($AM$3,0,0,'Données projet'!$E$10+1,1))-AVERAGE(OFFSET($H$3,0,0,'Données projet'!$E$10+1,1))</f>
        <v>210.85498515082651</v>
      </c>
      <c r="AO52" s="60">
        <f t="shared" si="36"/>
        <v>76.413905647258389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26.6</v>
      </c>
      <c r="BD52" s="13">
        <f>IF('Données projet'!$A$88&gt;35,BD51+BC52-BL51,IF(A52&lt;'Données projet'!$A$88,$BA$205^A52,IF(A52='Données projet'!$A$88,'Données projet'!$B$88,BD51+BC52-BL51)))</f>
        <v>749.8</v>
      </c>
      <c r="BE52" s="14">
        <f>BD52*VLOOKUP('Données projet'!$B$11,Paramètres!$A$1:$I$89,3,0)*VLOOKUP('Données projet'!$B$11,Paramètres!$A$1:$I$89,5,0)</f>
        <v>331.41160000000002</v>
      </c>
      <c r="BF52" s="14">
        <f t="shared" si="37"/>
        <v>77.72289512291708</v>
      </c>
      <c r="BG52" s="22">
        <f t="shared" si="7"/>
        <v>712.57591233908045</v>
      </c>
      <c r="BH52" s="60">
        <f t="shared" si="8"/>
        <v>1005.9092456724138</v>
      </c>
      <c r="BI52" s="60">
        <f ca="1">AVERAGE(OFFSET($BH$3,0,0,'Données projet'!$E$11+1,1))-AVERAGE(OFFSET($H$3,0,0,'Données projet'!$E$11+1,1))</f>
        <v>456.68544269509601</v>
      </c>
      <c r="BJ52" s="60">
        <f t="shared" si="38"/>
        <v>417.22363874931852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10.423076923076922</v>
      </c>
      <c r="BY52" s="13">
        <f>IF('Données projet'!$A$114&gt;35,BY51+BX52-CG51,IF(A52&lt;'Données projet'!$A$114,$BV$205^A52,IF(A52='Données projet'!$A$114,'Données projet'!$B$114,BY51+BX52-CG51)))</f>
        <v>257.41538461538471</v>
      </c>
      <c r="BZ52" s="14">
        <f>BY52*VLOOKUP('Données projet'!$B$12,Paramètres!$A$1:$I$89,3,0)*VLOOKUP('Données projet'!$B$12,Paramètres!$A$1:$I$89,5,0)</f>
        <v>143.89520000000005</v>
      </c>
      <c r="CA52" s="14">
        <f t="shared" si="39"/>
        <v>37.187910910663184</v>
      </c>
      <c r="CB52" s="22">
        <f t="shared" si="10"/>
        <v>315.38641816940509</v>
      </c>
      <c r="CC52" s="60">
        <f t="shared" si="11"/>
        <v>608.7197515027384</v>
      </c>
      <c r="CD52" s="60">
        <f ca="1">AVERAGE(OFFSET($CC$3,0,0,'Données projet'!$E$12+1,1))-AVERAGE(OFFSET($H$3,0,0,'Données projet'!$E$12+1,1))</f>
        <v>234.38946271740315</v>
      </c>
      <c r="CE52" s="60">
        <f t="shared" si="40"/>
        <v>123.9494810355684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21.682255552132425</v>
      </c>
      <c r="CM52" s="23">
        <f>EXP(-LN(2)/2)*CM51+(1-EXP(-LN(2)/2))/(LN(2)/2)*CG52*CJ52*VLOOKUP('Données projet'!$B$12,Paramètres!$A$1:$I$89,3,0)*0.475*44/12</f>
        <v>2.5454932482183565</v>
      </c>
      <c r="CN52" s="24">
        <f t="shared" si="12"/>
        <v>24.227748800350781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0" t="e">
        <f t="shared" si="14"/>
        <v>#N/A</v>
      </c>
      <c r="CY52" s="60" t="e">
        <f ca="1">AVERAGE(OFFSET($CX$3,0,0,'Données projet'!$E$13+1,1))-AVERAGE(OFFSET($H$3,0,0,'Données projet'!$E$13+1,1))</f>
        <v>#N/A</v>
      </c>
      <c r="CZ52" s="60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8">
        <f t="shared" si="1"/>
        <v>348.55165185430155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0">
        <f t="shared" si="0"/>
        <v>685.88700323711032</v>
      </c>
      <c r="S53" s="60">
        <f ca="1">AVERAGE(OFFSET($R$3,0,0,'Données projet'!$E$9+1,1))-AVERAGE(OFFSET($H$3,0,0,'Données projet'!$E$9+1,1))</f>
        <v>314.4389771131751</v>
      </c>
      <c r="T53" s="60">
        <f t="shared" si="34"/>
        <v>176.7239677722049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135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134.99999999999997</v>
      </c>
      <c r="AJ53" s="14">
        <f>AI53*VLOOKUP('Données projet'!$B$10,Paramètres!$A$1:$I$89,3,0)*VLOOKUP('Données projet'!$B$10,Paramètres!$A$1:$I$89,5,0)</f>
        <v>122.14799999999998</v>
      </c>
      <c r="AK53" s="14">
        <f t="shared" si="35"/>
        <v>32.175466547071615</v>
      </c>
      <c r="AL53" s="22">
        <f t="shared" si="4"/>
        <v>268.78003756948306</v>
      </c>
      <c r="AM53" s="60">
        <f t="shared" si="5"/>
        <v>562.11337090281631</v>
      </c>
      <c r="AN53" s="60">
        <f ca="1">AVERAGE(OFFSET($AM$3,0,0,'Données projet'!$E$10+1,1))-AVERAGE(OFFSET($H$3,0,0,'Données projet'!$E$10+1,1))</f>
        <v>210.85498515082651</v>
      </c>
      <c r="AO53" s="60">
        <f t="shared" si="36"/>
        <v>76.413905647258389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26.6</v>
      </c>
      <c r="BD53" s="13">
        <f>IF('Données projet'!$A$88&gt;35,BD52+BC53-BL52,IF(A53&lt;'Données projet'!$A$88,$BA$205^A53,IF(A53='Données projet'!$A$88,'Données projet'!$B$88,BD52+BC53-BL52)))</f>
        <v>776.4</v>
      </c>
      <c r="BE53" s="14">
        <f>BD53*VLOOKUP('Données projet'!$B$11,Paramètres!$A$1:$I$89,3,0)*VLOOKUP('Données projet'!$B$11,Paramètres!$A$1:$I$89,5,0)</f>
        <v>343.16880000000003</v>
      </c>
      <c r="BF53" s="14">
        <f t="shared" si="37"/>
        <v>80.15428666837937</v>
      </c>
      <c r="BG53" s="22">
        <f t="shared" si="7"/>
        <v>737.28770928076074</v>
      </c>
      <c r="BH53" s="60">
        <f t="shared" si="8"/>
        <v>1030.621042614094</v>
      </c>
      <c r="BI53" s="60">
        <f ca="1">AVERAGE(OFFSET($BH$3,0,0,'Données projet'!$E$11+1,1))-AVERAGE(OFFSET($H$3,0,0,'Données projet'!$E$11+1,1))</f>
        <v>456.68544269509601</v>
      </c>
      <c r="BJ53" s="60">
        <f t="shared" si="38"/>
        <v>417.22363874931852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10.423076923076922</v>
      </c>
      <c r="BY53" s="13">
        <f>IF('Données projet'!$A$114&gt;35,BY52+BX53-CG52,IF(A53&lt;'Données projet'!$A$114,$BV$205^A53,IF(A53='Données projet'!$A$114,'Données projet'!$B$114,BY52+BX53-CG52)))</f>
        <v>267.83846153846162</v>
      </c>
      <c r="BZ53" s="14">
        <f>BY53*VLOOKUP('Données projet'!$B$12,Paramètres!$A$1:$I$89,3,0)*VLOOKUP('Données projet'!$B$12,Paramètres!$A$1:$I$89,5,0)</f>
        <v>149.72170000000006</v>
      </c>
      <c r="CA53" s="14">
        <f t="shared" si="39"/>
        <v>38.515334113307162</v>
      </c>
      <c r="CB53" s="22">
        <f t="shared" si="10"/>
        <v>327.84616774734343</v>
      </c>
      <c r="CC53" s="60">
        <f t="shared" si="11"/>
        <v>621.1795010806768</v>
      </c>
      <c r="CD53" s="60">
        <f ca="1">AVERAGE(OFFSET($CC$3,0,0,'Données projet'!$E$12+1,1))-AVERAGE(OFFSET($H$3,0,0,'Données projet'!$E$12+1,1))</f>
        <v>234.38946271740315</v>
      </c>
      <c r="CE53" s="60">
        <f t="shared" si="40"/>
        <v>123.9494810355684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21.089353133839101</v>
      </c>
      <c r="CM53" s="23">
        <f>EXP(-LN(2)/2)*CM52+(1-EXP(-LN(2)/2))/(LN(2)/2)*CG53*CJ53*VLOOKUP('Données projet'!$B$12,Paramètres!$A$1:$I$89,3,0)*0.475*44/12</f>
        <v>1.7999355372797716</v>
      </c>
      <c r="CN53" s="24">
        <f t="shared" si="12"/>
        <v>22.889288671118873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0" t="e">
        <f t="shared" si="14"/>
        <v>#N/A</v>
      </c>
      <c r="CY53" s="60" t="e">
        <f ca="1">AVERAGE(OFFSET($CX$3,0,0,'Données projet'!$E$13+1,1))-AVERAGE(OFFSET($H$3,0,0,'Données projet'!$E$13+1,1))</f>
        <v>#N/A</v>
      </c>
      <c r="CZ53" s="60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8">
        <f t="shared" si="1"/>
        <v>349.62471090256616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0">
        <f t="shared" si="0"/>
        <v>620.26096644164511</v>
      </c>
      <c r="S54" s="60">
        <f ca="1">AVERAGE(OFFSET($R$3,0,0,'Données projet'!$E$9+1,1))-AVERAGE(OFFSET($H$3,0,0,'Données projet'!$E$9+1,1))</f>
        <v>314.4389771131751</v>
      </c>
      <c r="T54" s="60">
        <f t="shared" si="34"/>
        <v>176.7239677722049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5.5</v>
      </c>
      <c r="AI54" s="14">
        <f>IF('Données projet'!$A$62&gt;35,AI53+AH54-AQ53,IF(A54&lt;'Données projet'!$A$62,$AF$205^A54,IF(A54='Données projet'!$A$62,'Données projet'!$B$62,AI53+AH54-AQ53)))</f>
        <v>112.49999999999997</v>
      </c>
      <c r="AJ54" s="14">
        <f>AI54*VLOOKUP('Données projet'!$B$10,Paramètres!$A$1:$I$89,3,0)*VLOOKUP('Données projet'!$B$10,Paramètres!$A$1:$I$89,5,0)</f>
        <v>101.78999999999998</v>
      </c>
      <c r="AK54" s="14">
        <f t="shared" si="35"/>
        <v>27.38799903683508</v>
      </c>
      <c r="AL54" s="22">
        <f t="shared" si="4"/>
        <v>224.98501498915437</v>
      </c>
      <c r="AM54" s="60">
        <f t="shared" si="5"/>
        <v>518.31834832248774</v>
      </c>
      <c r="AN54" s="60">
        <f ca="1">AVERAGE(OFFSET($AM$3,0,0,'Données projet'!$E$10+1,1))-AVERAGE(OFFSET($H$3,0,0,'Données projet'!$E$10+1,1))</f>
        <v>210.85498515082651</v>
      </c>
      <c r="AO54" s="60">
        <f t="shared" si="36"/>
        <v>76.413905647258389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>
        <f>VLOOKUP(A54,'Données projet'!$A$87:$I$107,2,0)</f>
        <v>803</v>
      </c>
      <c r="BB54" s="13">
        <f>VLOOKUP(A54,'Données projet'!$A$87:$I$107,9,0)</f>
        <v>26.6</v>
      </c>
      <c r="BC54" s="13">
        <f t="array" ref="BC54">INDEX(BB:BB,MIN(IF(ISNUMBER(BB54:BB250),ROW(BB54:BB250),"")))</f>
        <v>26.6</v>
      </c>
      <c r="BD54" s="13">
        <f>IF('Données projet'!$A$88&gt;35,BD53+BC54-BL53,IF(A54&lt;'Données projet'!$A$88,$BA$205^A54,IF(A54='Données projet'!$A$88,'Données projet'!$B$88,BD53+BC54-BL53)))</f>
        <v>803</v>
      </c>
      <c r="BE54" s="14">
        <f>BD54*VLOOKUP('Données projet'!$B$11,Paramètres!$A$1:$I$89,3,0)*VLOOKUP('Données projet'!$B$11,Paramètres!$A$1:$I$89,5,0)</f>
        <v>354.92600000000004</v>
      </c>
      <c r="BF54" s="14">
        <f t="shared" si="37"/>
        <v>82.575999267734659</v>
      </c>
      <c r="BG54" s="22">
        <f t="shared" si="7"/>
        <v>761.9826487246379</v>
      </c>
      <c r="BH54" s="60">
        <f t="shared" si="8"/>
        <v>1055.3159820579713</v>
      </c>
      <c r="BI54" s="60">
        <f ca="1">AVERAGE(OFFSET($BH$3,0,0,'Données projet'!$E$11+1,1))-AVERAGE(OFFSET($H$3,0,0,'Données projet'!$E$11+1,1))</f>
        <v>456.68544269509601</v>
      </c>
      <c r="BJ54" s="60">
        <f t="shared" si="38"/>
        <v>417.22363874931852</v>
      </c>
      <c r="BK54" s="16">
        <f>IF(ISNA(VLOOKUP(A54,'Données projet'!$A$87:$I$107,3,0)),0,VLOOKUP(A54,'Données projet'!$A$87:$I$107,3,0))</f>
        <v>4</v>
      </c>
      <c r="BL54" s="16">
        <f>IF(ISNA(VLOOKUP(A54,'Données projet'!$A$87:$I$107,4,0)),0,VLOOKUP(A54,'Données projet'!$A$87:$I$107,4,0))</f>
        <v>124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10.423076923076922</v>
      </c>
      <c r="BY54" s="13">
        <f>IF('Données projet'!$A$114&gt;35,BY53+BX54-CG53,IF(A54&lt;'Données projet'!$A$114,$BV$205^A54,IF(A54='Données projet'!$A$114,'Données projet'!$B$114,BY53+BX54-CG53)))</f>
        <v>278.26153846153852</v>
      </c>
      <c r="BZ54" s="14">
        <f>BY54*VLOOKUP('Données projet'!$B$12,Paramètres!$A$1:$I$89,3,0)*VLOOKUP('Données projet'!$B$12,Paramètres!$A$1:$I$89,5,0)</f>
        <v>155.54820000000004</v>
      </c>
      <c r="CA54" s="14">
        <f t="shared" si="39"/>
        <v>39.836756394762013</v>
      </c>
      <c r="CB54" s="22">
        <f t="shared" si="10"/>
        <v>340.29546572087725</v>
      </c>
      <c r="CC54" s="60">
        <f t="shared" si="11"/>
        <v>633.6287990542105</v>
      </c>
      <c r="CD54" s="60">
        <f ca="1">AVERAGE(OFFSET($CC$3,0,0,'Données projet'!$E$12+1,1))-AVERAGE(OFFSET($H$3,0,0,'Données projet'!$E$12+1,1))</f>
        <v>234.38946271740315</v>
      </c>
      <c r="CE54" s="60">
        <f t="shared" si="40"/>
        <v>123.9494810355684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20.51266366335339</v>
      </c>
      <c r="CM54" s="23">
        <f>EXP(-LN(2)/2)*CM53+(1-EXP(-LN(2)/2))/(LN(2)/2)*CG54*CJ54*VLOOKUP('Données projet'!$B$12,Paramètres!$A$1:$I$89,3,0)*0.475*44/12</f>
        <v>1.2727466241091785</v>
      </c>
      <c r="CN54" s="24">
        <f t="shared" si="12"/>
        <v>21.785410287462568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0" t="e">
        <f t="shared" si="14"/>
        <v>#N/A</v>
      </c>
      <c r="CY54" s="60" t="e">
        <f ca="1">AVERAGE(OFFSET($CX$3,0,0,'Données projet'!$E$13+1,1))-AVERAGE(OFFSET($H$3,0,0,'Données projet'!$E$13+1,1))</f>
        <v>#N/A</v>
      </c>
      <c r="CZ54" s="60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8">
        <f t="shared" si="1"/>
        <v>350.69723344960619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0">
        <f t="shared" si="0"/>
        <v>635.72643681712532</v>
      </c>
      <c r="S55" s="60">
        <f ca="1">AVERAGE(OFFSET($R$3,0,0,'Données projet'!$E$9+1,1))-AVERAGE(OFFSET($H$3,0,0,'Données projet'!$E$9+1,1))</f>
        <v>314.4389771131751</v>
      </c>
      <c r="T55" s="60">
        <f t="shared" si="34"/>
        <v>176.7239677722049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5.5</v>
      </c>
      <c r="AI55" s="14">
        <f>IF('Données projet'!$A$62&gt;35,AI54+AH55-AQ54,IF(A55&lt;'Données projet'!$A$62,$AF$205^A55,IF(A55='Données projet'!$A$62,'Données projet'!$B$62,AI54+AH55-AQ54)))</f>
        <v>117.99999999999997</v>
      </c>
      <c r="AJ55" s="14">
        <f>AI55*VLOOKUP('Données projet'!$B$10,Paramètres!$A$1:$I$89,3,0)*VLOOKUP('Données projet'!$B$10,Paramètres!$A$1:$I$89,5,0)</f>
        <v>106.76639999999998</v>
      </c>
      <c r="AK55" s="14">
        <f t="shared" si="35"/>
        <v>28.5678052620942</v>
      </c>
      <c r="AL55" s="22">
        <f t="shared" si="4"/>
        <v>235.707074164814</v>
      </c>
      <c r="AM55" s="60">
        <f t="shared" si="5"/>
        <v>529.04040749814726</v>
      </c>
      <c r="AN55" s="60">
        <f ca="1">AVERAGE(OFFSET($AM$3,0,0,'Données projet'!$E$10+1,1))-AVERAGE(OFFSET($H$3,0,0,'Données projet'!$E$10+1,1))</f>
        <v>210.85498515082651</v>
      </c>
      <c r="AO55" s="60">
        <f t="shared" si="36"/>
        <v>76.413905647258389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23.6</v>
      </c>
      <c r="BD55" s="13">
        <f>IF('Données projet'!$A$88&gt;35,BD54+BC55-BL54,IF(A55&lt;'Données projet'!$A$88,$BA$205^A55,IF(A55='Données projet'!$A$88,'Données projet'!$B$88,BD54+BC55-BL54)))</f>
        <v>702.6</v>
      </c>
      <c r="BE55" s="14">
        <f>BD55*VLOOKUP('Données projet'!$B$11,Paramètres!$A$1:$I$89,3,0)*VLOOKUP('Données projet'!$B$11,Paramètres!$A$1:$I$89,5,0)</f>
        <v>310.54920000000004</v>
      </c>
      <c r="BF55" s="14">
        <f t="shared" si="37"/>
        <v>73.38351317239345</v>
      </c>
      <c r="BG55" s="22">
        <f t="shared" si="7"/>
        <v>668.68280877525194</v>
      </c>
      <c r="BH55" s="60">
        <f t="shared" si="8"/>
        <v>962.0161421085852</v>
      </c>
      <c r="BI55" s="60">
        <f ca="1">AVERAGE(OFFSET($BH$3,0,0,'Données projet'!$E$11+1,1))-AVERAGE(OFFSET($H$3,0,0,'Données projet'!$E$11+1,1))</f>
        <v>456.68544269509601</v>
      </c>
      <c r="BJ55" s="60">
        <f t="shared" si="38"/>
        <v>417.22363874931852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288.68461538461537</v>
      </c>
      <c r="BW55" s="13">
        <f>VLOOKUP(A55,'Données projet'!$A$113:$I$133,9,0)</f>
        <v>10.423076923076922</v>
      </c>
      <c r="BX55" s="13">
        <f t="array" ref="BX55">INDEX(BW:BW,MIN(IF(ISNUMBER(BW55:BW251),ROW(BW55:BW251),"")))</f>
        <v>10.423076923076922</v>
      </c>
      <c r="BY55" s="13">
        <f>IF('Données projet'!$A$114&gt;35,BY54+BX55-CG54,IF(A55&lt;'Données projet'!$A$114,$BV$205^A55,IF(A55='Données projet'!$A$114,'Données projet'!$B$114,BY54+BX55-CG54)))</f>
        <v>288.68461538461543</v>
      </c>
      <c r="BZ55" s="14">
        <f>BY55*VLOOKUP('Données projet'!$B$12,Paramètres!$A$1:$I$89,3,0)*VLOOKUP('Données projet'!$B$12,Paramètres!$A$1:$I$89,5,0)</f>
        <v>161.37470000000002</v>
      </c>
      <c r="CA55" s="14">
        <f t="shared" si="39"/>
        <v>41.152428274116893</v>
      </c>
      <c r="CB55" s="22">
        <f t="shared" si="10"/>
        <v>352.73474841075358</v>
      </c>
      <c r="CC55" s="60">
        <f t="shared" si="11"/>
        <v>646.06808174408684</v>
      </c>
      <c r="CD55" s="60">
        <f ca="1">AVERAGE(OFFSET($CC$3,0,0,'Données projet'!$E$12+1,1))-AVERAGE(OFFSET($H$3,0,0,'Données projet'!$E$12+1,1))</f>
        <v>234.38946271740315</v>
      </c>
      <c r="CE55" s="60">
        <f t="shared" si="40"/>
        <v>123.9494810355684</v>
      </c>
      <c r="CF55" s="16">
        <f>IF(ISNA(VLOOKUP(A55,'Données projet'!$A$113:$I$133,3,0)),0,VLOOKUP(A55,'Données projet'!$A$113:$I$133,3,0))</f>
        <v>3</v>
      </c>
      <c r="CG55" s="16">
        <f>IF(ISNA(VLOOKUP(A55,'Données projet'!$A$113:$I$133,4,0)),0,VLOOKUP(A55,'Données projet'!$A$113:$I$133,4,0))</f>
        <v>50.353846153846149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19.951743796764891</v>
      </c>
      <c r="CM55" s="23">
        <f>EXP(-LN(2)/2)*CM54+(1-EXP(-LN(2)/2))/(LN(2)/2)*CG55*CJ55*VLOOKUP('Données projet'!$B$12,Paramètres!$A$1:$I$89,3,0)*0.475*44/12</f>
        <v>0.89996776863988603</v>
      </c>
      <c r="CN55" s="24">
        <f t="shared" si="12"/>
        <v>20.851711565404777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0" t="e">
        <f t="shared" si="14"/>
        <v>#N/A</v>
      </c>
      <c r="CY55" s="60" t="e">
        <f ca="1">AVERAGE(OFFSET($CX$3,0,0,'Données projet'!$E$13+1,1))-AVERAGE(OFFSET($H$3,0,0,'Données projet'!$E$13+1,1))</f>
        <v>#N/A</v>
      </c>
      <c r="CZ55" s="60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8">
        <f t="shared" si="1"/>
        <v>351.76923100223922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0">
        <f t="shared" si="0"/>
        <v>651.17655593527957</v>
      </c>
      <c r="S56" s="60">
        <f ca="1">AVERAGE(OFFSET($R$3,0,0,'Données projet'!$E$9+1,1))-AVERAGE(OFFSET($H$3,0,0,'Données projet'!$E$9+1,1))</f>
        <v>314.4389771131751</v>
      </c>
      <c r="T56" s="60">
        <f t="shared" si="34"/>
        <v>176.7239677722049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5.5</v>
      </c>
      <c r="AI56" s="14">
        <f>IF('Données projet'!$A$62&gt;35,AI55+AH56-AQ55,IF(A56&lt;'Données projet'!$A$62,$AF$205^A56,IF(A56='Données projet'!$A$62,'Données projet'!$B$62,AI55+AH56-AQ55)))</f>
        <v>123.49999999999997</v>
      </c>
      <c r="AJ56" s="14">
        <f>AI56*VLOOKUP('Données projet'!$B$10,Paramètres!$A$1:$I$89,3,0)*VLOOKUP('Données projet'!$B$10,Paramètres!$A$1:$I$89,5,0)</f>
        <v>111.74279999999997</v>
      </c>
      <c r="AK56" s="14">
        <f t="shared" si="35"/>
        <v>29.741225429709573</v>
      </c>
      <c r="AL56" s="22">
        <f t="shared" si="4"/>
        <v>246.4180109567441</v>
      </c>
      <c r="AM56" s="60">
        <f t="shared" si="5"/>
        <v>539.75134429007744</v>
      </c>
      <c r="AN56" s="60">
        <f ca="1">AVERAGE(OFFSET($AM$3,0,0,'Données projet'!$E$10+1,1))-AVERAGE(OFFSET($H$3,0,0,'Données projet'!$E$10+1,1))</f>
        <v>210.85498515082651</v>
      </c>
      <c r="AO56" s="60">
        <f t="shared" si="36"/>
        <v>76.413905647258389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23.6</v>
      </c>
      <c r="BD56" s="13">
        <f>IF('Données projet'!$A$88&gt;35,BD55+BC56-BL55,IF(A56&lt;'Données projet'!$A$88,$BA$205^A56,IF(A56='Données projet'!$A$88,'Données projet'!$B$88,BD55+BC56-BL55)))</f>
        <v>726.2</v>
      </c>
      <c r="BE56" s="14">
        <f>BD56*VLOOKUP('Données projet'!$B$11,Paramètres!$A$1:$I$89,3,0)*VLOOKUP('Données projet'!$B$11,Paramètres!$A$1:$I$89,5,0)</f>
        <v>320.98040000000009</v>
      </c>
      <c r="BF56" s="14">
        <f t="shared" si="37"/>
        <v>75.557308617119887</v>
      </c>
      <c r="BG56" s="22">
        <f t="shared" si="7"/>
        <v>690.63650917481721</v>
      </c>
      <c r="BH56" s="60">
        <f t="shared" si="8"/>
        <v>983.96984250815058</v>
      </c>
      <c r="BI56" s="60">
        <f ca="1">AVERAGE(OFFSET($BH$3,0,0,'Données projet'!$E$11+1,1))-AVERAGE(OFFSET($H$3,0,0,'Données projet'!$E$11+1,1))</f>
        <v>456.68544269509601</v>
      </c>
      <c r="BJ56" s="60">
        <f t="shared" si="38"/>
        <v>417.22363874931852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9.5646153846153847</v>
      </c>
      <c r="BY56" s="13">
        <f>IF('Données projet'!$A$114&gt;35,BY55+BX56-CG55,IF(A56&lt;'Données projet'!$A$114,$BV$205^A56,IF(A56='Données projet'!$A$114,'Données projet'!$B$114,BY55+BX56-CG55)))</f>
        <v>247.89538461538464</v>
      </c>
      <c r="BZ56" s="14">
        <f>BY56*VLOOKUP('Données projet'!$B$12,Paramètres!$A$1:$I$89,3,0)*VLOOKUP('Données projet'!$B$12,Paramètres!$A$1:$I$89,5,0)</f>
        <v>138.57352000000003</v>
      </c>
      <c r="CA56" s="14">
        <f t="shared" si="39"/>
        <v>35.970024432457706</v>
      </c>
      <c r="CB56" s="22">
        <f t="shared" si="10"/>
        <v>303.99667321986391</v>
      </c>
      <c r="CC56" s="60">
        <f t="shared" si="11"/>
        <v>597.33000655319722</v>
      </c>
      <c r="CD56" s="60">
        <f ca="1">AVERAGE(OFFSET($CC$3,0,0,'Données projet'!$E$12+1,1))-AVERAGE(OFFSET($H$3,0,0,'Données projet'!$E$12+1,1))</f>
        <v>234.38946271740315</v>
      </c>
      <c r="CE56" s="60">
        <f t="shared" si="40"/>
        <v>123.9494810355684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19.406162313425749</v>
      </c>
      <c r="CM56" s="23">
        <f>EXP(-LN(2)/2)*CM55+(1-EXP(-LN(2)/2))/(LN(2)/2)*CG56*CJ56*VLOOKUP('Données projet'!$B$12,Paramètres!$A$1:$I$89,3,0)*0.475*44/12</f>
        <v>0.63637331205458936</v>
      </c>
      <c r="CN56" s="24">
        <f t="shared" si="12"/>
        <v>20.04253562548034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0" t="e">
        <f t="shared" si="14"/>
        <v>#N/A</v>
      </c>
      <c r="CY56" s="60" t="e">
        <f ca="1">AVERAGE(OFFSET($CX$3,0,0,'Données projet'!$E$13+1,1))-AVERAGE(OFFSET($H$3,0,0,'Données projet'!$E$13+1,1))</f>
        <v>#N/A</v>
      </c>
      <c r="CZ56" s="60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8">
        <f t="shared" si="1"/>
        <v>352.84071460821417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0">
        <f t="shared" si="0"/>
        <v>666.61207984061377</v>
      </c>
      <c r="S57" s="60">
        <f ca="1">AVERAGE(OFFSET($R$3,0,0,'Données projet'!$E$9+1,1))-AVERAGE(OFFSET($H$3,0,0,'Données projet'!$E$9+1,1))</f>
        <v>314.4389771131751</v>
      </c>
      <c r="T57" s="60">
        <f t="shared" si="34"/>
        <v>176.7239677722049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5.5</v>
      </c>
      <c r="AI57" s="14">
        <f>IF('Données projet'!$A$62&gt;35,AI56+AH57-AQ56,IF(A57&lt;'Données projet'!$A$62,$AF$205^A57,IF(A57='Données projet'!$A$62,'Données projet'!$B$62,AI56+AH57-AQ56)))</f>
        <v>128.99999999999997</v>
      </c>
      <c r="AJ57" s="14">
        <f>AI57*VLOOKUP('Données projet'!$B$10,Paramètres!$A$1:$I$89,3,0)*VLOOKUP('Données projet'!$B$10,Paramètres!$A$1:$I$89,5,0)</f>
        <v>116.71919999999997</v>
      </c>
      <c r="AK57" s="14">
        <f t="shared" si="35"/>
        <v>30.908576435525887</v>
      </c>
      <c r="AL57" s="22">
        <f t="shared" si="4"/>
        <v>257.11837729187414</v>
      </c>
      <c r="AM57" s="60">
        <f t="shared" si="5"/>
        <v>550.4517106252074</v>
      </c>
      <c r="AN57" s="60">
        <f ca="1">AVERAGE(OFFSET($AM$3,0,0,'Données projet'!$E$10+1,1))-AVERAGE(OFFSET($H$3,0,0,'Données projet'!$E$10+1,1))</f>
        <v>210.85498515082651</v>
      </c>
      <c r="AO57" s="60">
        <f t="shared" si="36"/>
        <v>76.413905647258389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23.6</v>
      </c>
      <c r="BD57" s="13">
        <f>IF('Données projet'!$A$88&gt;35,BD56+BC57-BL56,IF(A57&lt;'Données projet'!$A$88,$BA$205^A57,IF(A57='Données projet'!$A$88,'Données projet'!$B$88,BD56+BC57-BL56)))</f>
        <v>749.80000000000007</v>
      </c>
      <c r="BE57" s="14">
        <f>BD57*VLOOKUP('Données projet'!$B$11,Paramètres!$A$1:$I$89,3,0)*VLOOKUP('Données projet'!$B$11,Paramètres!$A$1:$I$89,5,0)</f>
        <v>331.41160000000008</v>
      </c>
      <c r="BF57" s="14">
        <f t="shared" si="37"/>
        <v>77.72289512291708</v>
      </c>
      <c r="BG57" s="22">
        <f t="shared" si="7"/>
        <v>712.57591233908067</v>
      </c>
      <c r="BH57" s="60">
        <f t="shared" si="8"/>
        <v>1005.909245672414</v>
      </c>
      <c r="BI57" s="60">
        <f ca="1">AVERAGE(OFFSET($BH$3,0,0,'Données projet'!$E$11+1,1))-AVERAGE(OFFSET($H$3,0,0,'Données projet'!$E$11+1,1))</f>
        <v>456.68544269509601</v>
      </c>
      <c r="BJ57" s="60">
        <f t="shared" si="38"/>
        <v>417.22363874931852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9.5646153846153847</v>
      </c>
      <c r="BY57" s="13">
        <f>IF('Données projet'!$A$114&gt;35,BY56+BX57-CG56,IF(A57&lt;'Données projet'!$A$114,$BV$205^A57,IF(A57='Données projet'!$A$114,'Données projet'!$B$114,BY56+BX57-CG56)))</f>
        <v>257.46000000000004</v>
      </c>
      <c r="BZ57" s="14">
        <f>BY57*VLOOKUP('Données projet'!$B$12,Paramètres!$A$1:$I$89,3,0)*VLOOKUP('Données projet'!$B$12,Paramètres!$A$1:$I$89,5,0)</f>
        <v>143.92014000000003</v>
      </c>
      <c r="CA57" s="14">
        <f t="shared" si="39"/>
        <v>37.193606035529477</v>
      </c>
      <c r="CB57" s="22">
        <f t="shared" si="10"/>
        <v>315.43977434521389</v>
      </c>
      <c r="CC57" s="60">
        <f t="shared" si="11"/>
        <v>608.77310767854715</v>
      </c>
      <c r="CD57" s="60">
        <f ca="1">AVERAGE(OFFSET($CC$3,0,0,'Données projet'!$E$12+1,1))-AVERAGE(OFFSET($H$3,0,0,'Données projet'!$E$12+1,1))</f>
        <v>234.38946271740315</v>
      </c>
      <c r="CE57" s="60">
        <f t="shared" si="40"/>
        <v>123.9494810355684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18.875499784439398</v>
      </c>
      <c r="CM57" s="23">
        <f>EXP(-LN(2)/2)*CM56+(1-EXP(-LN(2)/2))/(LN(2)/2)*CG57*CJ57*VLOOKUP('Données projet'!$B$12,Paramètres!$A$1:$I$89,3,0)*0.475*44/12</f>
        <v>0.44998388431994307</v>
      </c>
      <c r="CN57" s="24">
        <f t="shared" si="12"/>
        <v>19.32548366875934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0" t="e">
        <f t="shared" si="14"/>
        <v>#N/A</v>
      </c>
      <c r="CY57" s="60" t="e">
        <f ca="1">AVERAGE(OFFSET($CX$3,0,0,'Données projet'!$E$13+1,1))-AVERAGE(OFFSET($H$3,0,0,'Données projet'!$E$13+1,1))</f>
        <v>#N/A</v>
      </c>
      <c r="CZ57" s="60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8">
        <f t="shared" si="1"/>
        <v>353.91169488268253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0">
        <f t="shared" si="0"/>
        <v>682.03369695342735</v>
      </c>
      <c r="S58" s="60">
        <f ca="1">AVERAGE(OFFSET($R$3,0,0,'Données projet'!$E$9+1,1))-AVERAGE(OFFSET($H$3,0,0,'Données projet'!$E$9+1,1))</f>
        <v>314.4389771131751</v>
      </c>
      <c r="T58" s="60">
        <f t="shared" si="34"/>
        <v>176.7239677722049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5.5</v>
      </c>
      <c r="AI58" s="14">
        <f>IF('Données projet'!$A$62&gt;35,AI57+AH58-AQ57,IF(A58&lt;'Données projet'!$A$62,$AF$205^A58,IF(A58='Données projet'!$A$62,'Données projet'!$B$62,AI57+AH58-AQ57)))</f>
        <v>134.49999999999997</v>
      </c>
      <c r="AJ58" s="14">
        <f>AI58*VLOOKUP('Données projet'!$B$10,Paramètres!$A$1:$I$89,3,0)*VLOOKUP('Données projet'!$B$10,Paramètres!$A$1:$I$89,5,0)</f>
        <v>121.69559999999997</v>
      </c>
      <c r="AK58" s="14">
        <f t="shared" si="35"/>
        <v>32.070146624846785</v>
      </c>
      <c r="AL58" s="22">
        <f t="shared" si="4"/>
        <v>267.8086753716081</v>
      </c>
      <c r="AM58" s="60">
        <f t="shared" si="5"/>
        <v>561.14200870494142</v>
      </c>
      <c r="AN58" s="60">
        <f ca="1">AVERAGE(OFFSET($AM$3,0,0,'Données projet'!$E$10+1,1))-AVERAGE(OFFSET($H$3,0,0,'Données projet'!$E$10+1,1))</f>
        <v>210.85498515082651</v>
      </c>
      <c r="AO58" s="60">
        <f t="shared" si="36"/>
        <v>76.413905647258389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23.6</v>
      </c>
      <c r="BD58" s="13">
        <f>IF('Données projet'!$A$88&gt;35,BD57+BC58-BL57,IF(A58&lt;'Données projet'!$A$88,$BA$205^A58,IF(A58='Données projet'!$A$88,'Données projet'!$B$88,BD57+BC58-BL57)))</f>
        <v>773.40000000000009</v>
      </c>
      <c r="BE58" s="14">
        <f>BD58*VLOOKUP('Données projet'!$B$11,Paramètres!$A$1:$I$89,3,0)*VLOOKUP('Données projet'!$B$11,Paramètres!$A$1:$I$89,5,0)</f>
        <v>341.84280000000012</v>
      </c>
      <c r="BF58" s="14">
        <f t="shared" si="37"/>
        <v>79.880560710446559</v>
      </c>
      <c r="BG58" s="22">
        <f t="shared" si="7"/>
        <v>734.50151990402799</v>
      </c>
      <c r="BH58" s="60">
        <f t="shared" si="8"/>
        <v>1027.8348532373614</v>
      </c>
      <c r="BI58" s="60">
        <f ca="1">AVERAGE(OFFSET($BH$3,0,0,'Données projet'!$E$11+1,1))-AVERAGE(OFFSET($H$3,0,0,'Données projet'!$E$11+1,1))</f>
        <v>456.68544269509601</v>
      </c>
      <c r="BJ58" s="60">
        <f t="shared" si="38"/>
        <v>417.22363874931852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9.5646153846153847</v>
      </c>
      <c r="BY58" s="13">
        <f>IF('Données projet'!$A$114&gt;35,BY57+BX58-CG57,IF(A58&lt;'Données projet'!$A$114,$BV$205^A58,IF(A58='Données projet'!$A$114,'Données projet'!$B$114,BY57+BX58-CG57)))</f>
        <v>267.0246153846154</v>
      </c>
      <c r="BZ58" s="14">
        <f>BY58*VLOOKUP('Données projet'!$B$12,Paramètres!$A$1:$I$89,3,0)*VLOOKUP('Données projet'!$B$12,Paramètres!$A$1:$I$89,5,0)</f>
        <v>149.26676</v>
      </c>
      <c r="CA58" s="14">
        <f t="shared" si="39"/>
        <v>38.411906707102681</v>
      </c>
      <c r="CB58" s="22">
        <f t="shared" si="10"/>
        <v>326.87367784820378</v>
      </c>
      <c r="CC58" s="60">
        <f t="shared" si="11"/>
        <v>620.20701118153715</v>
      </c>
      <c r="CD58" s="60">
        <f ca="1">AVERAGE(OFFSET($CC$3,0,0,'Données projet'!$E$12+1,1))-AVERAGE(OFFSET($H$3,0,0,'Données projet'!$E$12+1,1))</f>
        <v>234.38946271740315</v>
      </c>
      <c r="CE58" s="60">
        <f t="shared" si="40"/>
        <v>123.9494810355684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18.359348250214509</v>
      </c>
      <c r="CM58" s="23">
        <f>EXP(-LN(2)/2)*CM57+(1-EXP(-LN(2)/2))/(LN(2)/2)*CG58*CJ58*VLOOKUP('Données projet'!$B$12,Paramètres!$A$1:$I$89,3,0)*0.475*44/12</f>
        <v>0.31818665602729473</v>
      </c>
      <c r="CN58" s="24">
        <f t="shared" si="12"/>
        <v>18.677534906241803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0" t="e">
        <f t="shared" si="14"/>
        <v>#N/A</v>
      </c>
      <c r="CY58" s="60" t="e">
        <f ca="1">AVERAGE(OFFSET($CX$3,0,0,'Données projet'!$E$13+1,1))-AVERAGE(OFFSET($H$3,0,0,'Données projet'!$E$13+1,1))</f>
        <v>#N/A</v>
      </c>
      <c r="CZ58" s="60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8">
        <f t="shared" si="1"/>
        <v>354.98218203268914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0">
        <f t="shared" si="0"/>
        <v>696.67192586439194</v>
      </c>
      <c r="S59" s="60">
        <f ca="1">AVERAGE(OFFSET($R$3,0,0,'Données projet'!$E$9+1,1))-AVERAGE(OFFSET($H$3,0,0,'Données projet'!$E$9+1,1))</f>
        <v>314.4389771131751</v>
      </c>
      <c r="T59" s="60">
        <f t="shared" si="34"/>
        <v>176.7239677722049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5.5</v>
      </c>
      <c r="AI59" s="14">
        <f>IF('Données projet'!$A$62&gt;35,AI58+AH59-AQ58,IF(A59&lt;'Données projet'!$A$62,$AF$205^A59,IF(A59='Données projet'!$A$62,'Données projet'!$B$62,AI58+AH59-AQ58)))</f>
        <v>139.99999999999997</v>
      </c>
      <c r="AJ59" s="14">
        <f>AI59*VLOOKUP('Données projet'!$B$10,Paramètres!$A$1:$I$89,3,0)*VLOOKUP('Données projet'!$B$10,Paramètres!$A$1:$I$89,5,0)</f>
        <v>126.67199999999997</v>
      </c>
      <c r="AK59" s="14">
        <f t="shared" si="35"/>
        <v>33.226199426361319</v>
      </c>
      <c r="AL59" s="22">
        <f t="shared" si="4"/>
        <v>278.48936400091259</v>
      </c>
      <c r="AM59" s="60">
        <f t="shared" si="5"/>
        <v>571.82269733424596</v>
      </c>
      <c r="AN59" s="60">
        <f ca="1">AVERAGE(OFFSET($AM$3,0,0,'Données projet'!$E$10+1,1))-AVERAGE(OFFSET($H$3,0,0,'Données projet'!$E$10+1,1))</f>
        <v>210.85498515082651</v>
      </c>
      <c r="AO59" s="60">
        <f t="shared" si="36"/>
        <v>76.413905647258389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797</v>
      </c>
      <c r="BB59" s="13">
        <f>VLOOKUP(A59,'Données projet'!$A$87:$I$107,9,0)</f>
        <v>23.6</v>
      </c>
      <c r="BC59" s="13">
        <f t="array" ref="BC59">INDEX(BB:BB,MIN(IF(ISNUMBER(BB59:BB255),ROW(BB59:BB255),"")))</f>
        <v>23.6</v>
      </c>
      <c r="BD59" s="13">
        <f>IF('Données projet'!$A$88&gt;35,BD58+BC59-BL58,IF(A59&lt;'Données projet'!$A$88,$BA$205^A59,IF(A59='Données projet'!$A$88,'Données projet'!$B$88,BD58+BC59-BL58)))</f>
        <v>797.00000000000011</v>
      </c>
      <c r="BE59" s="14">
        <f>BD59*VLOOKUP('Données projet'!$B$11,Paramètres!$A$1:$I$89,3,0)*VLOOKUP('Données projet'!$B$11,Paramètres!$A$1:$I$89,5,0)</f>
        <v>352.27400000000011</v>
      </c>
      <c r="BF59" s="14">
        <f t="shared" si="37"/>
        <v>82.030574823926159</v>
      </c>
      <c r="BG59" s="22">
        <f t="shared" si="7"/>
        <v>756.41380115167158</v>
      </c>
      <c r="BH59" s="60">
        <f t="shared" si="8"/>
        <v>1049.7471344850048</v>
      </c>
      <c r="BI59" s="60">
        <f ca="1">AVERAGE(OFFSET($BH$3,0,0,'Données projet'!$E$11+1,1))-AVERAGE(OFFSET($H$3,0,0,'Données projet'!$E$11+1,1))</f>
        <v>456.68544269509601</v>
      </c>
      <c r="BJ59" s="60">
        <f t="shared" si="38"/>
        <v>417.22363874931852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9.5646153846153847</v>
      </c>
      <c r="BY59" s="13">
        <f>IF('Données projet'!$A$114&gt;35,BY58+BX59-CG58,IF(A59&lt;'Données projet'!$A$114,$BV$205^A59,IF(A59='Données projet'!$A$114,'Données projet'!$B$114,BY58+BX59-CG58)))</f>
        <v>276.58923076923077</v>
      </c>
      <c r="BZ59" s="14">
        <f>BY59*VLOOKUP('Données projet'!$B$12,Paramètres!$A$1:$I$89,3,0)*VLOOKUP('Données projet'!$B$12,Paramètres!$A$1:$I$89,5,0)</f>
        <v>154.61338000000001</v>
      </c>
      <c r="CA59" s="14">
        <f t="shared" si="39"/>
        <v>39.625137276214204</v>
      </c>
      <c r="CB59" s="22">
        <f t="shared" si="10"/>
        <v>338.29875092273977</v>
      </c>
      <c r="CC59" s="60">
        <f t="shared" si="11"/>
        <v>631.63208425607309</v>
      </c>
      <c r="CD59" s="60">
        <f ca="1">AVERAGE(OFFSET($CC$3,0,0,'Données projet'!$E$12+1,1))-AVERAGE(OFFSET($H$3,0,0,'Données projet'!$E$12+1,1))</f>
        <v>234.38946271740315</v>
      </c>
      <c r="CE59" s="60">
        <f t="shared" si="40"/>
        <v>123.9494810355684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17.857310906836229</v>
      </c>
      <c r="CM59" s="23">
        <f>EXP(-LN(2)/2)*CM58+(1-EXP(-LN(2)/2))/(LN(2)/2)*CG59*CJ59*VLOOKUP('Données projet'!$B$12,Paramètres!$A$1:$I$89,3,0)*0.475*44/12</f>
        <v>0.22499194215997156</v>
      </c>
      <c r="CN59" s="24">
        <f t="shared" si="12"/>
        <v>18.0823028489962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0" t="e">
        <f t="shared" si="14"/>
        <v>#N/A</v>
      </c>
      <c r="CY59" s="60" t="e">
        <f ca="1">AVERAGE(OFFSET($CX$3,0,0,'Données projet'!$E$13+1,1))-AVERAGE(OFFSET($H$3,0,0,'Données projet'!$E$13+1,1))</f>
        <v>#N/A</v>
      </c>
      <c r="CZ59" s="60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8">
        <f t="shared" si="1"/>
        <v>356.05218587986496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0">
        <f t="shared" si="0"/>
        <v>711.29866832489597</v>
      </c>
      <c r="S60" s="60">
        <f ca="1">AVERAGE(OFFSET($R$3,0,0,'Données projet'!$E$9+1,1))-AVERAGE(OFFSET($H$3,0,0,'Données projet'!$E$9+1,1))</f>
        <v>314.4389771131751</v>
      </c>
      <c r="T60" s="60">
        <f t="shared" si="34"/>
        <v>176.7239677722049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5.5</v>
      </c>
      <c r="AI60" s="14">
        <f>IF('Données projet'!$A$62&gt;35,AI59+AH60-AQ59,IF(A60&lt;'Données projet'!$A$62,$AF$205^A60,IF(A60='Données projet'!$A$62,'Données projet'!$B$62,AI59+AH60-AQ59)))</f>
        <v>145.49999999999997</v>
      </c>
      <c r="AJ60" s="14">
        <f>AI60*VLOOKUP('Données projet'!$B$10,Paramètres!$A$1:$I$89,3,0)*VLOOKUP('Données projet'!$B$10,Paramètres!$A$1:$I$89,5,0)</f>
        <v>131.64839999999995</v>
      </c>
      <c r="AK60" s="14">
        <f t="shared" si="35"/>
        <v>34.376976398956401</v>
      </c>
      <c r="AL60" s="22">
        <f t="shared" si="4"/>
        <v>289.16086389484894</v>
      </c>
      <c r="AM60" s="60">
        <f t="shared" si="5"/>
        <v>582.4941972281822</v>
      </c>
      <c r="AN60" s="60">
        <f ca="1">AVERAGE(OFFSET($AM$3,0,0,'Données projet'!$E$10+1,1))-AVERAGE(OFFSET($H$3,0,0,'Données projet'!$E$10+1,1))</f>
        <v>210.85498515082651</v>
      </c>
      <c r="AO60" s="60">
        <f t="shared" si="36"/>
        <v>76.413905647258389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20.399999999999999</v>
      </c>
      <c r="BD60" s="13">
        <f>IF('Données projet'!$A$88&gt;35,BD59+BC60-BL59,IF(A60&lt;'Données projet'!$A$88,$BA$205^A60,IF(A60='Données projet'!$A$88,'Données projet'!$B$88,BD59+BC60-BL59)))</f>
        <v>817.40000000000009</v>
      </c>
      <c r="BE60" s="14">
        <f>BD60*VLOOKUP('Données projet'!$B$11,Paramètres!$A$1:$I$89,3,0)*VLOOKUP('Données projet'!$B$11,Paramètres!$A$1:$I$89,5,0)</f>
        <v>361.2908000000001</v>
      </c>
      <c r="BF60" s="14">
        <f t="shared" si="37"/>
        <v>83.883090759156417</v>
      </c>
      <c r="BG60" s="22">
        <f t="shared" si="7"/>
        <v>775.34452640553081</v>
      </c>
      <c r="BH60" s="60">
        <f t="shared" si="8"/>
        <v>1068.6778597388641</v>
      </c>
      <c r="BI60" s="60">
        <f ca="1">AVERAGE(OFFSET($BH$3,0,0,'Données projet'!$E$11+1,1))-AVERAGE(OFFSET($H$3,0,0,'Données projet'!$E$11+1,1))</f>
        <v>456.68544269509601</v>
      </c>
      <c r="BJ60" s="60">
        <f t="shared" si="38"/>
        <v>417.22363874931852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9.5646153846153847</v>
      </c>
      <c r="BY60" s="13">
        <f>IF('Données projet'!$A$114&gt;35,BY59+BX60-CG59,IF(A60&lt;'Données projet'!$A$114,$BV$205^A60,IF(A60='Données projet'!$A$114,'Données projet'!$B$114,BY59+BX60-CG59)))</f>
        <v>286.15384615384613</v>
      </c>
      <c r="BZ60" s="14">
        <f>BY60*VLOOKUP('Données projet'!$B$12,Paramètres!$A$1:$I$89,3,0)*VLOOKUP('Données projet'!$B$12,Paramètres!$A$1:$I$89,5,0)</f>
        <v>159.95999999999998</v>
      </c>
      <c r="CA60" s="14">
        <f t="shared" si="39"/>
        <v>40.833493163758533</v>
      </c>
      <c r="CB60" s="22">
        <f t="shared" si="10"/>
        <v>349.71533392687934</v>
      </c>
      <c r="CC60" s="60">
        <f t="shared" si="11"/>
        <v>643.0486672602126</v>
      </c>
      <c r="CD60" s="60">
        <f ca="1">AVERAGE(OFFSET($CC$3,0,0,'Données projet'!$E$12+1,1))-AVERAGE(OFFSET($H$3,0,0,'Données projet'!$E$12+1,1))</f>
        <v>234.38946271740315</v>
      </c>
      <c r="CE60" s="60">
        <f t="shared" si="40"/>
        <v>123.9494810355684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17.369001801013624</v>
      </c>
      <c r="CM60" s="23">
        <f>EXP(-LN(2)/2)*CM59+(1-EXP(-LN(2)/2))/(LN(2)/2)*CG60*CJ60*VLOOKUP('Données projet'!$B$12,Paramètres!$A$1:$I$89,3,0)*0.475*44/12</f>
        <v>0.15909332801364737</v>
      </c>
      <c r="CN60" s="24">
        <f t="shared" si="12"/>
        <v>17.528095129027271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0" t="e">
        <f t="shared" si="14"/>
        <v>#N/A</v>
      </c>
      <c r="CY60" s="60" t="e">
        <f ca="1">AVERAGE(OFFSET($CX$3,0,0,'Données projet'!$E$13+1,1))-AVERAGE(OFFSET($H$3,0,0,'Données projet'!$E$13+1,1))</f>
        <v>#N/A</v>
      </c>
      <c r="CZ60" s="60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8">
        <f t="shared" si="1"/>
        <v>357.12171588148163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0">
        <f t="shared" si="0"/>
        <v>725.91438285442098</v>
      </c>
      <c r="S61" s="60">
        <f ca="1">AVERAGE(OFFSET($R$3,0,0,'Données projet'!$E$9+1,1))-AVERAGE(OFFSET($H$3,0,0,'Données projet'!$E$9+1,1))</f>
        <v>314.4389771131751</v>
      </c>
      <c r="T61" s="60">
        <f t="shared" si="34"/>
        <v>176.7239677722049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5.5</v>
      </c>
      <c r="AI61" s="14">
        <f>IF('Données projet'!$A$62&gt;35,AI60+AH61-AQ60,IF(A61&lt;'Données projet'!$A$62,$AF$205^A61,IF(A61='Données projet'!$A$62,'Données projet'!$B$62,AI60+AH61-AQ60)))</f>
        <v>150.99999999999997</v>
      </c>
      <c r="AJ61" s="14">
        <f>AI61*VLOOKUP('Données projet'!$B$10,Paramètres!$A$1:$I$89,3,0)*VLOOKUP('Données projet'!$B$10,Paramètres!$A$1:$I$89,5,0)</f>
        <v>136.62479999999999</v>
      </c>
      <c r="AK61" s="14">
        <f t="shared" si="35"/>
        <v>35.522699804888632</v>
      </c>
      <c r="AL61" s="22">
        <f t="shared" si="4"/>
        <v>299.82356216018104</v>
      </c>
      <c r="AM61" s="60">
        <f t="shared" si="5"/>
        <v>593.15689549351441</v>
      </c>
      <c r="AN61" s="60">
        <f ca="1">AVERAGE(OFFSET($AM$3,0,0,'Données projet'!$E$10+1,1))-AVERAGE(OFFSET($H$3,0,0,'Données projet'!$E$10+1,1))</f>
        <v>210.85498515082651</v>
      </c>
      <c r="AO61" s="60">
        <f t="shared" si="36"/>
        <v>76.413905647258389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20.399999999999999</v>
      </c>
      <c r="BD61" s="13">
        <f>IF('Données projet'!$A$88&gt;35,BD60+BC61-BL60,IF(A61&lt;'Données projet'!$A$88,$BA$205^A61,IF(A61='Données projet'!$A$88,'Données projet'!$B$88,BD60+BC61-BL60)))</f>
        <v>837.80000000000007</v>
      </c>
      <c r="BE61" s="14">
        <f>BD61*VLOOKUP('Données projet'!$B$11,Paramètres!$A$1:$I$89,3,0)*VLOOKUP('Données projet'!$B$11,Paramètres!$A$1:$I$89,5,0)</f>
        <v>370.30760000000004</v>
      </c>
      <c r="BF61" s="14">
        <f t="shared" si="37"/>
        <v>85.730232325751587</v>
      </c>
      <c r="BG61" s="22">
        <f t="shared" si="7"/>
        <v>794.26589130068407</v>
      </c>
      <c r="BH61" s="60">
        <f t="shared" si="8"/>
        <v>1087.5992246340174</v>
      </c>
      <c r="BI61" s="60">
        <f ca="1">AVERAGE(OFFSET($BH$3,0,0,'Données projet'!$E$11+1,1))-AVERAGE(OFFSET($H$3,0,0,'Données projet'!$E$11+1,1))</f>
        <v>456.68544269509601</v>
      </c>
      <c r="BJ61" s="60">
        <f t="shared" si="38"/>
        <v>417.22363874931852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9.5646153846153847</v>
      </c>
      <c r="BY61" s="13">
        <f>IF('Données projet'!$A$114&gt;35,BY60+BX61-CG60,IF(A61&lt;'Données projet'!$A$114,$BV$205^A61,IF(A61='Données projet'!$A$114,'Données projet'!$B$114,BY60+BX61-CG60)))</f>
        <v>295.7184615384615</v>
      </c>
      <c r="BZ61" s="14">
        <f>BY61*VLOOKUP('Données projet'!$B$12,Paramètres!$A$1:$I$89,3,0)*VLOOKUP('Données projet'!$B$12,Paramètres!$A$1:$I$89,5,0)</f>
        <v>165.30661999999998</v>
      </c>
      <c r="CA61" s="14">
        <f t="shared" si="39"/>
        <v>42.037155985576597</v>
      </c>
      <c r="CB61" s="22">
        <f t="shared" si="10"/>
        <v>361.12374317487917</v>
      </c>
      <c r="CC61" s="60">
        <f t="shared" si="11"/>
        <v>654.45707650821248</v>
      </c>
      <c r="CD61" s="60">
        <f ca="1">AVERAGE(OFFSET($CC$3,0,0,'Données projet'!$E$12+1,1))-AVERAGE(OFFSET($H$3,0,0,'Données projet'!$E$12+1,1))</f>
        <v>234.38946271740315</v>
      </c>
      <c r="CE61" s="60">
        <f t="shared" si="40"/>
        <v>123.9494810355684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16.8940455333688</v>
      </c>
      <c r="CM61" s="23">
        <f>EXP(-LN(2)/2)*CM60+(1-EXP(-LN(2)/2))/(LN(2)/2)*CG61*CJ61*VLOOKUP('Données projet'!$B$12,Paramètres!$A$1:$I$89,3,0)*0.475*44/12</f>
        <v>0.11249597107998578</v>
      </c>
      <c r="CN61" s="24">
        <f t="shared" si="12"/>
        <v>17.006541504448787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0" t="e">
        <f t="shared" si="14"/>
        <v>#N/A</v>
      </c>
      <c r="CY61" s="60" t="e">
        <f ca="1">AVERAGE(OFFSET($CX$3,0,0,'Données projet'!$E$13+1,1))-AVERAGE(OFFSET($H$3,0,0,'Données projet'!$E$13+1,1))</f>
        <v>#N/A</v>
      </c>
      <c r="CZ61" s="60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8">
        <f t="shared" si="1"/>
        <v>358.19078115001309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0">
        <f t="shared" si="0"/>
        <v>740.51949446577237</v>
      </c>
      <c r="S62" s="60">
        <f ca="1">AVERAGE(OFFSET($R$3,0,0,'Données projet'!$E$9+1,1))-AVERAGE(OFFSET($H$3,0,0,'Données projet'!$E$9+1,1))</f>
        <v>314.4389771131751</v>
      </c>
      <c r="T62" s="60">
        <f t="shared" si="34"/>
        <v>176.7239677722049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5.5</v>
      </c>
      <c r="AI62" s="14">
        <f>IF('Données projet'!$A$62&gt;35,AI61+AH62-AQ61,IF(A62&lt;'Données projet'!$A$62,$AF$205^A62,IF(A62='Données projet'!$A$62,'Données projet'!$B$62,AI61+AH62-AQ61)))</f>
        <v>156.49999999999997</v>
      </c>
      <c r="AJ62" s="14">
        <f>AI62*VLOOKUP('Données projet'!$B$10,Paramètres!$A$1:$I$89,3,0)*VLOOKUP('Données projet'!$B$10,Paramètres!$A$1:$I$89,5,0)</f>
        <v>141.60119999999998</v>
      </c>
      <c r="AK62" s="14">
        <f t="shared" si="35"/>
        <v>36.66357479752002</v>
      </c>
      <c r="AL62" s="22">
        <f t="shared" si="4"/>
        <v>310.47781610568063</v>
      </c>
      <c r="AM62" s="60">
        <f t="shared" si="5"/>
        <v>603.81114943901389</v>
      </c>
      <c r="AN62" s="60">
        <f ca="1">AVERAGE(OFFSET($AM$3,0,0,'Données projet'!$E$10+1,1))-AVERAGE(OFFSET($H$3,0,0,'Données projet'!$E$10+1,1))</f>
        <v>210.85498515082651</v>
      </c>
      <c r="AO62" s="60">
        <f t="shared" si="36"/>
        <v>76.413905647258389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20.399999999999999</v>
      </c>
      <c r="BD62" s="13">
        <f>IF('Données projet'!$A$88&gt;35,BD61+BC62-BL61,IF(A62&lt;'Données projet'!$A$88,$BA$205^A62,IF(A62='Données projet'!$A$88,'Données projet'!$B$88,BD61+BC62-BL61)))</f>
        <v>858.2</v>
      </c>
      <c r="BE62" s="14">
        <f>BD62*VLOOKUP('Données projet'!$B$11,Paramètres!$A$1:$I$89,3,0)*VLOOKUP('Données projet'!$B$11,Paramètres!$A$1:$I$89,5,0)</f>
        <v>379.32440000000003</v>
      </c>
      <c r="BF62" s="14">
        <f t="shared" si="37"/>
        <v>87.572145441615191</v>
      </c>
      <c r="BG62" s="22">
        <f t="shared" si="7"/>
        <v>813.17814997747973</v>
      </c>
      <c r="BH62" s="60">
        <f t="shared" si="8"/>
        <v>1106.511483310813</v>
      </c>
      <c r="BI62" s="60">
        <f ca="1">AVERAGE(OFFSET($BH$3,0,0,'Données projet'!$E$11+1,1))-AVERAGE(OFFSET($H$3,0,0,'Données projet'!$E$11+1,1))</f>
        <v>456.68544269509601</v>
      </c>
      <c r="BJ62" s="60">
        <f t="shared" si="38"/>
        <v>417.22363874931852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9.5646153846153847</v>
      </c>
      <c r="BY62" s="13">
        <f>IF('Données projet'!$A$114&gt;35,BY61+BX62-CG61,IF(A62&lt;'Données projet'!$A$114,$BV$205^A62,IF(A62='Données projet'!$A$114,'Données projet'!$B$114,BY61+BX62-CG61)))</f>
        <v>305.28307692307686</v>
      </c>
      <c r="BZ62" s="14">
        <f>BY62*VLOOKUP('Données projet'!$B$12,Paramètres!$A$1:$I$89,3,0)*VLOOKUP('Données projet'!$B$12,Paramètres!$A$1:$I$89,5,0)</f>
        <v>170.65323999999998</v>
      </c>
      <c r="CA62" s="14">
        <f t="shared" si="39"/>
        <v>43.236294942319404</v>
      </c>
      <c r="CB62" s="22">
        <f t="shared" si="10"/>
        <v>372.52427335787291</v>
      </c>
      <c r="CC62" s="60">
        <f t="shared" si="11"/>
        <v>665.85760669120623</v>
      </c>
      <c r="CD62" s="60">
        <f ca="1">AVERAGE(OFFSET($CC$3,0,0,'Données projet'!$E$12+1,1))-AVERAGE(OFFSET($H$3,0,0,'Données projet'!$E$12+1,1))</f>
        <v>234.38946271740315</v>
      </c>
      <c r="CE62" s="60">
        <f t="shared" si="40"/>
        <v>123.9494810355684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16.432076969839589</v>
      </c>
      <c r="CM62" s="23">
        <f>EXP(-LN(2)/2)*CM61+(1-EXP(-LN(2)/2))/(LN(2)/2)*CG62*CJ62*VLOOKUP('Données projet'!$B$12,Paramètres!$A$1:$I$89,3,0)*0.475*44/12</f>
        <v>7.9546664006823684E-2</v>
      </c>
      <c r="CN62" s="24">
        <f t="shared" si="12"/>
        <v>16.511623633846412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0" t="e">
        <f t="shared" si="14"/>
        <v>#N/A</v>
      </c>
      <c r="CY62" s="60" t="e">
        <f ca="1">AVERAGE(OFFSET($CX$3,0,0,'Données projet'!$E$13+1,1))-AVERAGE(OFFSET($H$3,0,0,'Données projet'!$E$13+1,1))</f>
        <v>#N/A</v>
      </c>
      <c r="CZ62" s="60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8">
        <f t="shared" si="1"/>
        <v>359.25939047133363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0">
        <f t="shared" si="0"/>
        <v>755.11439815081053</v>
      </c>
      <c r="S63" s="60">
        <f ca="1">AVERAGE(OFFSET($R$3,0,0,'Données projet'!$E$9+1,1))-AVERAGE(OFFSET($H$3,0,0,'Données projet'!$E$9+1,1))</f>
        <v>314.4389771131751</v>
      </c>
      <c r="T63" s="60">
        <f t="shared" si="34"/>
        <v>176.7239677722049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162</v>
      </c>
      <c r="AG63" s="13">
        <f>VLOOKUP(A63,'Données projet'!$A$61:$I$81,9,0)</f>
        <v>5.5</v>
      </c>
      <c r="AH63" s="13">
        <f t="array" ref="AH63">INDEX(AG:AG,MIN(IF(ISNUMBER(AG63:AG259),ROW(AG63:AG259),"")))</f>
        <v>5.5</v>
      </c>
      <c r="AI63" s="14">
        <f>IF('Données projet'!$A$62&gt;35,AI62+AH63-AQ62,IF(A63&lt;'Données projet'!$A$62,$AF$205^A63,IF(A63='Données projet'!$A$62,'Données projet'!$B$62,AI62+AH63-AQ62)))</f>
        <v>161.99999999999997</v>
      </c>
      <c r="AJ63" s="14">
        <f>AI63*VLOOKUP('Données projet'!$B$10,Paramètres!$A$1:$I$89,3,0)*VLOOKUP('Données projet'!$B$10,Paramètres!$A$1:$I$89,5,0)</f>
        <v>146.57759999999996</v>
      </c>
      <c r="AK63" s="14">
        <f t="shared" si="35"/>
        <v>37.799791292871213</v>
      </c>
      <c r="AL63" s="22">
        <f t="shared" si="4"/>
        <v>321.12395650175063</v>
      </c>
      <c r="AM63" s="60">
        <f t="shared" si="5"/>
        <v>614.45728983508388</v>
      </c>
      <c r="AN63" s="60">
        <f ca="1">AVERAGE(OFFSET($AM$3,0,0,'Données projet'!$E$10+1,1))-AVERAGE(OFFSET($H$3,0,0,'Données projet'!$E$10+1,1))</f>
        <v>210.85498515082651</v>
      </c>
      <c r="AO63" s="60">
        <f t="shared" si="36"/>
        <v>76.413905647258389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20.399999999999999</v>
      </c>
      <c r="BD63" s="13">
        <f>IF('Données projet'!$A$88&gt;35,BD62+BC63-BL62,IF(A63&lt;'Données projet'!$A$88,$BA$205^A63,IF(A63='Données projet'!$A$88,'Données projet'!$B$88,BD62+BC63-BL62)))</f>
        <v>878.6</v>
      </c>
      <c r="BE63" s="14">
        <f>BD63*VLOOKUP('Données projet'!$B$11,Paramètres!$A$1:$I$89,3,0)*VLOOKUP('Données projet'!$B$11,Paramètres!$A$1:$I$89,5,0)</f>
        <v>388.34120000000007</v>
      </c>
      <c r="BF63" s="14">
        <f t="shared" si="37"/>
        <v>89.408968691839874</v>
      </c>
      <c r="BG63" s="22">
        <f t="shared" si="7"/>
        <v>832.08154380495444</v>
      </c>
      <c r="BH63" s="60">
        <f t="shared" si="8"/>
        <v>1125.4148771382877</v>
      </c>
      <c r="BI63" s="60">
        <f ca="1">AVERAGE(OFFSET($BH$3,0,0,'Données projet'!$E$11+1,1))-AVERAGE(OFFSET($H$3,0,0,'Données projet'!$E$11+1,1))</f>
        <v>456.68544269509601</v>
      </c>
      <c r="BJ63" s="60">
        <f t="shared" si="38"/>
        <v>417.22363874931852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9.5646153846153847</v>
      </c>
      <c r="BY63" s="13">
        <f>IF('Données projet'!$A$114&gt;35,BY62+BX63-CG62,IF(A63&lt;'Données projet'!$A$114,$BV$205^A63,IF(A63='Données projet'!$A$114,'Données projet'!$B$114,BY62+BX63-CG62)))</f>
        <v>314.84769230769223</v>
      </c>
      <c r="BZ63" s="14">
        <f>BY63*VLOOKUP('Données projet'!$B$12,Paramètres!$A$1:$I$89,3,0)*VLOOKUP('Données projet'!$B$12,Paramètres!$A$1:$I$89,5,0)</f>
        <v>175.99985999999998</v>
      </c>
      <c r="CA63" s="14">
        <f t="shared" si="39"/>
        <v>44.43106803023948</v>
      </c>
      <c r="CB63" s="22">
        <f t="shared" si="10"/>
        <v>383.91719965266702</v>
      </c>
      <c r="CC63" s="60">
        <f t="shared" si="11"/>
        <v>677.25053298600028</v>
      </c>
      <c r="CD63" s="60">
        <f ca="1">AVERAGE(OFFSET($CC$3,0,0,'Données projet'!$E$12+1,1))-AVERAGE(OFFSET($H$3,0,0,'Données projet'!$E$12+1,1))</f>
        <v>234.38946271740315</v>
      </c>
      <c r="CE63" s="60">
        <f t="shared" si="40"/>
        <v>123.9494810355684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15.982740960973953</v>
      </c>
      <c r="CM63" s="23">
        <f>EXP(-LN(2)/2)*CM62+(1-EXP(-LN(2)/2))/(LN(2)/2)*CG63*CJ63*VLOOKUP('Données projet'!$B$12,Paramètres!$A$1:$I$89,3,0)*0.475*44/12</f>
        <v>5.6247985539992891E-2</v>
      </c>
      <c r="CN63" s="24">
        <f t="shared" si="12"/>
        <v>16.038988946513946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0" t="e">
        <f t="shared" si="14"/>
        <v>#N/A</v>
      </c>
      <c r="CY63" s="60" t="e">
        <f ca="1">AVERAGE(OFFSET($CX$3,0,0,'Données projet'!$E$13+1,1))-AVERAGE(OFFSET($H$3,0,0,'Données projet'!$E$13+1,1))</f>
        <v>#N/A</v>
      </c>
      <c r="CZ63" s="60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8">
        <f t="shared" si="1"/>
        <v>360.32755232166795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0">
        <f t="shared" si="0"/>
        <v>688.19859268339724</v>
      </c>
      <c r="S64" s="60">
        <f ca="1">AVERAGE(OFFSET($R$3,0,0,'Données projet'!$E$9+1,1))-AVERAGE(OFFSET($H$3,0,0,'Données projet'!$E$9+1,1))</f>
        <v>314.4389771131751</v>
      </c>
      <c r="T64" s="60">
        <f t="shared" si="34"/>
        <v>176.7239677722049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139.19999999999996</v>
      </c>
      <c r="AJ64" s="14">
        <f>AI64*VLOOKUP('Données projet'!$B$10,Paramètres!$A$1:$I$89,3,0)*VLOOKUP('Données projet'!$B$10,Paramètres!$A$1:$I$89,5,0)</f>
        <v>125.94815999999997</v>
      </c>
      <c r="AK64" s="14">
        <f t="shared" si="35"/>
        <v>33.058379686398482</v>
      </c>
      <c r="AL64" s="22">
        <f t="shared" si="4"/>
        <v>276.93638995381065</v>
      </c>
      <c r="AM64" s="60">
        <f t="shared" si="5"/>
        <v>570.26972328714396</v>
      </c>
      <c r="AN64" s="60">
        <f ca="1">AVERAGE(OFFSET($AM$3,0,0,'Données projet'!$E$10+1,1))-AVERAGE(OFFSET($H$3,0,0,'Données projet'!$E$10+1,1))</f>
        <v>210.85498515082651</v>
      </c>
      <c r="AO64" s="60">
        <f t="shared" si="36"/>
        <v>76.413905647258389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>
        <f>VLOOKUP(A64,'Données projet'!$A$87:$I$107,2,0)</f>
        <v>899</v>
      </c>
      <c r="BB64" s="13">
        <f>VLOOKUP(A64,'Données projet'!$A$87:$I$107,9,0)</f>
        <v>20.399999999999999</v>
      </c>
      <c r="BC64" s="13">
        <f t="array" ref="BC64">INDEX(BB:BB,MIN(IF(ISNUMBER(BB64:BB260),ROW(BB64:BB260),"")))</f>
        <v>20.399999999999999</v>
      </c>
      <c r="BD64" s="13">
        <f>IF('Données projet'!$A$88&gt;35,BD63+BC64-BL63,IF(A64&lt;'Données projet'!$A$88,$BA$205^A64,IF(A64='Données projet'!$A$88,'Données projet'!$B$88,BD63+BC64-BL63)))</f>
        <v>899</v>
      </c>
      <c r="BE64" s="14">
        <f>BD64*VLOOKUP('Données projet'!$B$11,Paramètres!$A$1:$I$89,3,0)*VLOOKUP('Données projet'!$B$11,Paramètres!$A$1:$I$89,5,0)</f>
        <v>397.35800000000006</v>
      </c>
      <c r="BF64" s="14">
        <f t="shared" si="37"/>
        <v>91.240833858777407</v>
      </c>
      <c r="BG64" s="22">
        <f t="shared" si="7"/>
        <v>850.9763023040374</v>
      </c>
      <c r="BH64" s="60">
        <f t="shared" si="8"/>
        <v>1144.3096356373708</v>
      </c>
      <c r="BI64" s="60">
        <f ca="1">AVERAGE(OFFSET($BH$3,0,0,'Données projet'!$E$11+1,1))-AVERAGE(OFFSET($H$3,0,0,'Données projet'!$E$11+1,1))</f>
        <v>456.68544269509601</v>
      </c>
      <c r="BJ64" s="60">
        <f t="shared" si="38"/>
        <v>417.22363874931852</v>
      </c>
      <c r="BK64" s="16">
        <f>IF(ISNA(VLOOKUP(A64,'Données projet'!$A$87:$I$107,3,0)),0,VLOOKUP(A64,'Données projet'!$A$87:$I$107,3,0))</f>
        <v>5</v>
      </c>
      <c r="BL64" s="16">
        <f>IF(ISNA(VLOOKUP(A64,'Données projet'!$A$87:$I$107,4,0)),0,VLOOKUP(A64,'Données projet'!$A$87:$I$107,4,0))</f>
        <v>94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9.5646153846153847</v>
      </c>
      <c r="BY64" s="13">
        <f>IF('Données projet'!$A$114&gt;35,BY63+BX64-CG63,IF(A64&lt;'Données projet'!$A$114,$BV$205^A64,IF(A64='Données projet'!$A$114,'Données projet'!$B$114,BY63+BX64-CG63)))</f>
        <v>324.41230769230759</v>
      </c>
      <c r="BZ64" s="14">
        <f>BY64*VLOOKUP('Données projet'!$B$12,Paramètres!$A$1:$I$89,3,0)*VLOOKUP('Données projet'!$B$12,Paramètres!$A$1:$I$89,5,0)</f>
        <v>181.34647999999996</v>
      </c>
      <c r="CA64" s="14">
        <f t="shared" si="39"/>
        <v>45.62162310071988</v>
      </c>
      <c r="CB64" s="22">
        <f t="shared" si="10"/>
        <v>395.30277956708704</v>
      </c>
      <c r="CC64" s="60">
        <f t="shared" si="11"/>
        <v>688.63611290042036</v>
      </c>
      <c r="CD64" s="60">
        <f ca="1">AVERAGE(OFFSET($CC$3,0,0,'Données projet'!$E$12+1,1))-AVERAGE(OFFSET($H$3,0,0,'Données projet'!$E$12+1,1))</f>
        <v>234.38946271740315</v>
      </c>
      <c r="CE64" s="60">
        <f t="shared" si="40"/>
        <v>123.9494810355684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15.545692068900301</v>
      </c>
      <c r="CM64" s="23">
        <f>EXP(-LN(2)/2)*CM63+(1-EXP(-LN(2)/2))/(LN(2)/2)*CG64*CJ64*VLOOKUP('Données projet'!$B$12,Paramètres!$A$1:$I$89,3,0)*0.475*44/12</f>
        <v>3.9773332003411842E-2</v>
      </c>
      <c r="CN64" s="24">
        <f t="shared" si="12"/>
        <v>15.585465400903713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0" t="e">
        <f t="shared" si="14"/>
        <v>#N/A</v>
      </c>
      <c r="CY64" s="60" t="e">
        <f ca="1">AVERAGE(OFFSET($CX$3,0,0,'Données projet'!$E$13+1,1))-AVERAGE(OFFSET($H$3,0,0,'Données projet'!$E$13+1,1))</f>
        <v>#N/A</v>
      </c>
      <c r="CZ64" s="60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8">
        <f t="shared" si="1"/>
        <v>361.39527488339854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0">
        <f t="shared" si="0"/>
        <v>702.06203699024263</v>
      </c>
      <c r="S65" s="60">
        <f ca="1">AVERAGE(OFFSET($R$3,0,0,'Données projet'!$E$9+1,1))-AVERAGE(OFFSET($H$3,0,0,'Données projet'!$E$9+1,1))</f>
        <v>314.4389771131751</v>
      </c>
      <c r="T65" s="60">
        <f t="shared" si="34"/>
        <v>176.7239677722049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144.39999999999995</v>
      </c>
      <c r="AJ65" s="14">
        <f>AI65*VLOOKUP('Données projet'!$B$10,Paramètres!$A$1:$I$89,3,0)*VLOOKUP('Données projet'!$B$10,Paramètres!$A$1:$I$89,5,0)</f>
        <v>130.65311999999994</v>
      </c>
      <c r="AK65" s="14">
        <f t="shared" si="35"/>
        <v>34.147232142951147</v>
      </c>
      <c r="AL65" s="22">
        <f t="shared" si="4"/>
        <v>287.02727998230642</v>
      </c>
      <c r="AM65" s="60">
        <f t="shared" si="5"/>
        <v>580.36061331563974</v>
      </c>
      <c r="AN65" s="60">
        <f ca="1">AVERAGE(OFFSET($AM$3,0,0,'Données projet'!$E$10+1,1))-AVERAGE(OFFSET($H$3,0,0,'Données projet'!$E$10+1,1))</f>
        <v>210.85498515082651</v>
      </c>
      <c r="AO65" s="60">
        <f t="shared" si="36"/>
        <v>76.413905647258389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17</v>
      </c>
      <c r="BD65" s="13">
        <f>IF('Données projet'!$A$88&gt;35,BD64+BC65-BL64,IF(A65&lt;'Données projet'!$A$88,$BA$205^A65,IF(A65='Données projet'!$A$88,'Données projet'!$B$88,BD64+BC65-BL64)))</f>
        <v>822</v>
      </c>
      <c r="BE65" s="14">
        <f>BD65*VLOOKUP('Données projet'!$B$11,Paramètres!$A$1:$I$89,3,0)*VLOOKUP('Données projet'!$B$11,Paramètres!$A$1:$I$89,5,0)</f>
        <v>363.32400000000001</v>
      </c>
      <c r="BF65" s="14">
        <f t="shared" si="37"/>
        <v>84.300067048796109</v>
      </c>
      <c r="BG65" s="22">
        <f t="shared" si="7"/>
        <v>779.61191677665329</v>
      </c>
      <c r="BH65" s="60">
        <f t="shared" si="8"/>
        <v>1072.9452501099865</v>
      </c>
      <c r="BI65" s="60">
        <f ca="1">AVERAGE(OFFSET($BH$3,0,0,'Données projet'!$E$11+1,1))-AVERAGE(OFFSET($H$3,0,0,'Données projet'!$E$11+1,1))</f>
        <v>456.68544269509601</v>
      </c>
      <c r="BJ65" s="60">
        <f t="shared" si="38"/>
        <v>417.22363874931852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>
        <f>VLOOKUP(A65,'Données projet'!$A$113:$I$133,2,0)</f>
        <v>333.97692307692307</v>
      </c>
      <c r="BW65" s="13">
        <f>VLOOKUP(A65,'Données projet'!$A$113:$I$133,9,0)</f>
        <v>9.5646153846153847</v>
      </c>
      <c r="BX65" s="13">
        <f t="array" ref="BX65">INDEX(BW:BW,MIN(IF(ISNUMBER(BW65:BW261),ROW(BW65:BW261),"")))</f>
        <v>9.5646153846153847</v>
      </c>
      <c r="BY65" s="13">
        <f>IF('Données projet'!$A$114&gt;35,BY64+BX65-CG64,IF(A65&lt;'Données projet'!$A$114,$BV$205^A65,IF(A65='Données projet'!$A$114,'Données projet'!$B$114,BY64+BX65-CG64)))</f>
        <v>333.97692307692296</v>
      </c>
      <c r="BZ65" s="14">
        <f>BY65*VLOOKUP('Données projet'!$B$12,Paramètres!$A$1:$I$89,3,0)*VLOOKUP('Données projet'!$B$12,Paramètres!$A$1:$I$89,5,0)</f>
        <v>186.69309999999993</v>
      </c>
      <c r="CA65" s="14">
        <f t="shared" si="39"/>
        <v>46.808098791340576</v>
      </c>
      <c r="CB65" s="22">
        <f t="shared" si="10"/>
        <v>406.68125456158469</v>
      </c>
      <c r="CC65" s="60">
        <f t="shared" si="11"/>
        <v>700.01458789491801</v>
      </c>
      <c r="CD65" s="60">
        <f ca="1">AVERAGE(OFFSET($CC$3,0,0,'Données projet'!$E$12+1,1))-AVERAGE(OFFSET($H$3,0,0,'Données projet'!$E$12+1,1))</f>
        <v>234.38946271740315</v>
      </c>
      <c r="CE65" s="60">
        <f t="shared" si="40"/>
        <v>123.9494810355684</v>
      </c>
      <c r="CF65" s="16">
        <f>IF(ISNA(VLOOKUP(A65,'Données projet'!$A$113:$I$133,3,0)),0,VLOOKUP(A65,'Données projet'!$A$113:$I$133,3,0))</f>
        <v>4</v>
      </c>
      <c r="CG65" s="16">
        <f>IF(ISNA(VLOOKUP(A65,'Données projet'!$A$113:$I$133,4,0)),0,VLOOKUP(A65,'Données projet'!$A$113:$I$133,4,0))</f>
        <v>53.707692307692298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15.120594301763807</v>
      </c>
      <c r="CM65" s="23">
        <f>EXP(-LN(2)/2)*CM64+(1-EXP(-LN(2)/2))/(LN(2)/2)*CG65*CJ65*VLOOKUP('Données projet'!$B$12,Paramètres!$A$1:$I$89,3,0)*0.475*44/12</f>
        <v>2.8123992769996446E-2</v>
      </c>
      <c r="CN65" s="24">
        <f t="shared" si="12"/>
        <v>15.148718294533804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0" t="e">
        <f t="shared" si="14"/>
        <v>#N/A</v>
      </c>
      <c r="CY65" s="60" t="e">
        <f ca="1">AVERAGE(OFFSET($CX$3,0,0,'Données projet'!$E$13+1,1))-AVERAGE(OFFSET($H$3,0,0,'Données projet'!$E$13+1,1))</f>
        <v>#N/A</v>
      </c>
      <c r="CZ65" s="60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8">
        <f t="shared" si="1"/>
        <v>362.46256605982404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0">
        <f t="shared" si="0"/>
        <v>715.91532773426115</v>
      </c>
      <c r="S66" s="60">
        <f ca="1">AVERAGE(OFFSET($R$3,0,0,'Données projet'!$E$9+1,1))-AVERAGE(OFFSET($H$3,0,0,'Données projet'!$E$9+1,1))</f>
        <v>314.4389771131751</v>
      </c>
      <c r="T66" s="60">
        <f t="shared" si="34"/>
        <v>176.7239677722049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149.59999999999994</v>
      </c>
      <c r="AJ66" s="14">
        <f>AI66*VLOOKUP('Données projet'!$B$10,Paramètres!$A$1:$I$89,3,0)*VLOOKUP('Données projet'!$B$10,Paramètres!$A$1:$I$89,5,0)</f>
        <v>135.35807999999994</v>
      </c>
      <c r="AK66" s="14">
        <f t="shared" si="35"/>
        <v>35.231528980112806</v>
      </c>
      <c r="AL66" s="22">
        <f t="shared" si="4"/>
        <v>297.11023564036304</v>
      </c>
      <c r="AM66" s="60">
        <f t="shared" si="5"/>
        <v>590.4435689736963</v>
      </c>
      <c r="AN66" s="60">
        <f ca="1">AVERAGE(OFFSET($AM$3,0,0,'Données projet'!$E$10+1,1))-AVERAGE(OFFSET($H$3,0,0,'Données projet'!$E$10+1,1))</f>
        <v>210.85498515082651</v>
      </c>
      <c r="AO66" s="60">
        <f t="shared" si="36"/>
        <v>76.413905647258389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17</v>
      </c>
      <c r="BD66" s="13">
        <f>IF('Données projet'!$A$88&gt;35,BD65+BC66-BL65,IF(A66&lt;'Données projet'!$A$88,$BA$205^A66,IF(A66='Données projet'!$A$88,'Données projet'!$B$88,BD65+BC66-BL65)))</f>
        <v>839</v>
      </c>
      <c r="BE66" s="14">
        <f>BD66*VLOOKUP('Données projet'!$B$11,Paramètres!$A$1:$I$89,3,0)*VLOOKUP('Données projet'!$B$11,Paramètres!$A$1:$I$89,5,0)</f>
        <v>370.83800000000008</v>
      </c>
      <c r="BF66" s="14">
        <f t="shared" si="37"/>
        <v>85.838723500638949</v>
      </c>
      <c r="BG66" s="22">
        <f t="shared" si="7"/>
        <v>795.37862676361283</v>
      </c>
      <c r="BH66" s="60">
        <f t="shared" si="8"/>
        <v>1088.7119600969461</v>
      </c>
      <c r="BI66" s="60">
        <f ca="1">AVERAGE(OFFSET($BH$3,0,0,'Données projet'!$E$11+1,1))-AVERAGE(OFFSET($H$3,0,0,'Données projet'!$E$11+1,1))</f>
        <v>456.68544269509601</v>
      </c>
      <c r="BJ66" s="60">
        <f t="shared" si="38"/>
        <v>417.22363874931852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8.3707692307692305</v>
      </c>
      <c r="BY66" s="13">
        <f>IF('Données projet'!$A$114&gt;35,BY65+BX66-CG65,IF(A66&lt;'Données projet'!$A$114,$BV$205^A66,IF(A66='Données projet'!$A$114,'Données projet'!$B$114,BY65+BX66-CG65)))</f>
        <v>288.63999999999987</v>
      </c>
      <c r="BZ66" s="14">
        <f>BY66*VLOOKUP('Données projet'!$B$12,Paramètres!$A$1:$I$89,3,0)*VLOOKUP('Données projet'!$B$12,Paramètres!$A$1:$I$89,5,0)</f>
        <v>161.34975999999995</v>
      </c>
      <c r="CA66" s="14">
        <f t="shared" si="39"/>
        <v>41.146808535948935</v>
      </c>
      <c r="CB66" s="22">
        <f t="shared" si="10"/>
        <v>352.68152353344431</v>
      </c>
      <c r="CC66" s="60">
        <f t="shared" si="11"/>
        <v>646.01485686677756</v>
      </c>
      <c r="CD66" s="60">
        <f ca="1">AVERAGE(OFFSET($CC$3,0,0,'Données projet'!$E$12+1,1))-AVERAGE(OFFSET($H$3,0,0,'Données projet'!$E$12+1,1))</f>
        <v>234.38946271740315</v>
      </c>
      <c r="CE66" s="60">
        <f t="shared" si="40"/>
        <v>123.9494810355684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14.707120855424581</v>
      </c>
      <c r="CM66" s="23">
        <f>EXP(-LN(2)/2)*CM65+(1-EXP(-LN(2)/2))/(LN(2)/2)*CG66*CJ66*VLOOKUP('Données projet'!$B$12,Paramètres!$A$1:$I$89,3,0)*0.475*44/12</f>
        <v>1.9886666001705921E-2</v>
      </c>
      <c r="CN66" s="24">
        <f t="shared" si="12"/>
        <v>14.727007521426287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0" t="e">
        <f t="shared" si="14"/>
        <v>#N/A</v>
      </c>
      <c r="CY66" s="60" t="e">
        <f ca="1">AVERAGE(OFFSET($CX$3,0,0,'Données projet'!$E$13+1,1))-AVERAGE(OFFSET($H$3,0,0,'Données projet'!$E$13+1,1))</f>
        <v>#N/A</v>
      </c>
      <c r="CZ66" s="60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8">
        <f t="shared" si="1"/>
        <v>363.52943348895451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0">
        <f t="shared" ref="R67:R130" si="55">Q67+(I67+J67)*44/12</f>
        <v>729.75884463141938</v>
      </c>
      <c r="S67" s="60">
        <f ca="1">AVERAGE(OFFSET($R$3,0,0,'Données projet'!$E$9+1,1))-AVERAGE(OFFSET($H$3,0,0,'Données projet'!$E$9+1,1))</f>
        <v>314.4389771131751</v>
      </c>
      <c r="T67" s="60">
        <f t="shared" si="34"/>
        <v>176.7239677722049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154.79999999999993</v>
      </c>
      <c r="AJ67" s="14">
        <f>AI67*VLOOKUP('Données projet'!$B$10,Paramètres!$A$1:$I$89,3,0)*VLOOKUP('Données projet'!$B$10,Paramètres!$A$1:$I$89,5,0)</f>
        <v>140.06303999999992</v>
      </c>
      <c r="AK67" s="14">
        <f t="shared" si="35"/>
        <v>36.311446695369504</v>
      </c>
      <c r="AL67" s="22">
        <f t="shared" si="4"/>
        <v>307.18556432776842</v>
      </c>
      <c r="AM67" s="60">
        <f t="shared" si="5"/>
        <v>600.51889766110173</v>
      </c>
      <c r="AN67" s="60">
        <f ca="1">AVERAGE(OFFSET($AM$3,0,0,'Données projet'!$E$10+1,1))-AVERAGE(OFFSET($H$3,0,0,'Données projet'!$E$10+1,1))</f>
        <v>210.85498515082651</v>
      </c>
      <c r="AO67" s="60">
        <f t="shared" si="36"/>
        <v>76.413905647258389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17</v>
      </c>
      <c r="BD67" s="13">
        <f>IF('Données projet'!$A$88&gt;35,BD66+BC67-BL66,IF(A67&lt;'Données projet'!$A$88,$BA$205^A67,IF(A67='Données projet'!$A$88,'Données projet'!$B$88,BD66+BC67-BL66)))</f>
        <v>856</v>
      </c>
      <c r="BE67" s="14">
        <f>BD67*VLOOKUP('Données projet'!$B$11,Paramètres!$A$1:$I$89,3,0)*VLOOKUP('Données projet'!$B$11,Paramètres!$A$1:$I$89,5,0)</f>
        <v>378.35200000000003</v>
      </c>
      <c r="BF67" s="14">
        <f t="shared" si="37"/>
        <v>87.373755011241713</v>
      </c>
      <c r="BG67" s="22">
        <f t="shared" si="7"/>
        <v>811.13902331124598</v>
      </c>
      <c r="BH67" s="60">
        <f t="shared" si="8"/>
        <v>1104.4723566445793</v>
      </c>
      <c r="BI67" s="60">
        <f ca="1">AVERAGE(OFFSET($BH$3,0,0,'Données projet'!$E$11+1,1))-AVERAGE(OFFSET($H$3,0,0,'Données projet'!$E$11+1,1))</f>
        <v>456.68544269509601</v>
      </c>
      <c r="BJ67" s="60">
        <f t="shared" si="38"/>
        <v>417.22363874931852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8.3707692307692305</v>
      </c>
      <c r="BY67" s="13">
        <f>IF('Données projet'!$A$114&gt;35,BY66+BX67-CG66,IF(A67&lt;'Données projet'!$A$114,$BV$205^A67,IF(A67='Données projet'!$A$114,'Données projet'!$B$114,BY66+BX67-CG66)))</f>
        <v>297.01076923076909</v>
      </c>
      <c r="BZ67" s="14">
        <f>BY67*VLOOKUP('Données projet'!$B$12,Paramètres!$A$1:$I$89,3,0)*VLOOKUP('Données projet'!$B$12,Paramètres!$A$1:$I$89,5,0)</f>
        <v>166.02901999999992</v>
      </c>
      <c r="CA67" s="14">
        <f t="shared" si="39"/>
        <v>42.199436446500783</v>
      </c>
      <c r="CB67" s="22">
        <f t="shared" si="10"/>
        <v>362.66456164432202</v>
      </c>
      <c r="CC67" s="60">
        <f t="shared" si="11"/>
        <v>655.99789497765528</v>
      </c>
      <c r="CD67" s="60">
        <f ca="1">AVERAGE(OFFSET($CC$3,0,0,'Données projet'!$E$12+1,1))-AVERAGE(OFFSET($H$3,0,0,'Données projet'!$E$12+1,1))</f>
        <v>234.38946271740315</v>
      </c>
      <c r="CE67" s="60">
        <f t="shared" si="40"/>
        <v>123.9494810355684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14.304953862219124</v>
      </c>
      <c r="CM67" s="23">
        <f>EXP(-LN(2)/2)*CM66+(1-EXP(-LN(2)/2))/(LN(2)/2)*CG67*CJ67*VLOOKUP('Données projet'!$B$12,Paramètres!$A$1:$I$89,3,0)*0.475*44/12</f>
        <v>1.4061996384998223E-2</v>
      </c>
      <c r="CN67" s="24">
        <f t="shared" si="12"/>
        <v>14.319015858604121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0" t="e">
        <f t="shared" si="14"/>
        <v>#N/A</v>
      </c>
      <c r="CY67" s="60" t="e">
        <f ca="1">AVERAGE(OFFSET($CX$3,0,0,'Données projet'!$E$13+1,1))-AVERAGE(OFFSET($H$3,0,0,'Données projet'!$E$13+1,1))</f>
        <v>#N/A</v>
      </c>
      <c r="CZ67" s="60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8">
        <f t="shared" ref="H68:H131" si="56">(B68+E68+F68)*44/12+(C68+D68)*0.475*44/12</f>
        <v>364.59588455641932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0">
        <f t="shared" si="55"/>
        <v>743.59294134580057</v>
      </c>
      <c r="S68" s="60">
        <f ca="1">AVERAGE(OFFSET($R$3,0,0,'Données projet'!$E$9+1,1))-AVERAGE(OFFSET($H$3,0,0,'Données projet'!$E$9+1,1))</f>
        <v>314.4389771131751</v>
      </c>
      <c r="T68" s="60">
        <f t="shared" si="34"/>
        <v>176.7239677722049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159.99999999999991</v>
      </c>
      <c r="AJ68" s="14">
        <f>AI68*VLOOKUP('Données projet'!$B$10,Paramètres!$A$1:$I$89,3,0)*VLOOKUP('Données projet'!$B$10,Paramètres!$A$1:$I$89,5,0)</f>
        <v>144.76799999999992</v>
      </c>
      <c r="AK68" s="14">
        <f t="shared" si="35"/>
        <v>37.387149255707826</v>
      </c>
      <c r="AL68" s="22">
        <f t="shared" ref="AL68:AL131" si="58">(AJ68+AK68)*0.475*44/12</f>
        <v>317.2535516203576</v>
      </c>
      <c r="AM68" s="60">
        <f t="shared" ref="AM68:AM131" si="59">AL68+(AD68+AE68)*44/12</f>
        <v>610.58688495369097</v>
      </c>
      <c r="AN68" s="60">
        <f ca="1">AVERAGE(OFFSET($AM$3,0,0,'Données projet'!$E$10+1,1))-AVERAGE(OFFSET($H$3,0,0,'Données projet'!$E$10+1,1))</f>
        <v>210.85498515082651</v>
      </c>
      <c r="AO68" s="60">
        <f t="shared" si="36"/>
        <v>76.413905647258389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17</v>
      </c>
      <c r="BD68" s="13">
        <f>IF('Données projet'!$A$88&gt;35,BD67+BC68-BL67,IF(A68&lt;'Données projet'!$A$88,$BA$205^A68,IF(A68='Données projet'!$A$88,'Données projet'!$B$88,BD67+BC68-BL67)))</f>
        <v>873</v>
      </c>
      <c r="BE68" s="14">
        <f>BD68*VLOOKUP('Données projet'!$B$11,Paramètres!$A$1:$I$89,3,0)*VLOOKUP('Données projet'!$B$11,Paramètres!$A$1:$I$89,5,0)</f>
        <v>385.86599999999999</v>
      </c>
      <c r="BF68" s="14">
        <f t="shared" si="37"/>
        <v>88.905241868799649</v>
      </c>
      <c r="BG68" s="22">
        <f t="shared" ref="BG68:BG131" si="61">(BE68+BF68)*0.475*44/12</f>
        <v>826.89324625482595</v>
      </c>
      <c r="BH68" s="60">
        <f t="shared" ref="BH68:BH131" si="62">BG68+(AY68+AZ68)*44/12</f>
        <v>1120.2265795881592</v>
      </c>
      <c r="BI68" s="60">
        <f ca="1">AVERAGE(OFFSET($BH$3,0,0,'Données projet'!$E$11+1,1))-AVERAGE(OFFSET($H$3,0,0,'Données projet'!$E$11+1,1))</f>
        <v>456.68544269509601</v>
      </c>
      <c r="BJ68" s="60">
        <f t="shared" si="38"/>
        <v>417.22363874931852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8.3707692307692305</v>
      </c>
      <c r="BY68" s="13">
        <f>IF('Données projet'!$A$114&gt;35,BY67+BX68-CG67,IF(A68&lt;'Données projet'!$A$114,$BV$205^A68,IF(A68='Données projet'!$A$114,'Données projet'!$B$114,BY67+BX68-CG67)))</f>
        <v>305.3815384615383</v>
      </c>
      <c r="BZ68" s="14">
        <f>BY68*VLOOKUP('Données projet'!$B$12,Paramètres!$A$1:$I$89,3,0)*VLOOKUP('Données projet'!$B$12,Paramètres!$A$1:$I$89,5,0)</f>
        <v>170.70827999999992</v>
      </c>
      <c r="CA68" s="14">
        <f t="shared" si="39"/>
        <v>43.24861633826675</v>
      </c>
      <c r="CB68" s="22">
        <f t="shared" ref="CB68:CB131" si="64">(BZ68+CA68)*0.475*44/12</f>
        <v>372.64159445581441</v>
      </c>
      <c r="CC68" s="60">
        <f t="shared" ref="CC68:CC131" si="65">CB68+(BT68+BU68)*44/12</f>
        <v>665.97492778914773</v>
      </c>
      <c r="CD68" s="60">
        <f ca="1">AVERAGE(OFFSET($CC$3,0,0,'Données projet'!$E$12+1,1))-AVERAGE(OFFSET($H$3,0,0,'Données projet'!$E$12+1,1))</f>
        <v>234.38946271740315</v>
      </c>
      <c r="CE68" s="60">
        <f t="shared" si="40"/>
        <v>123.9494810355684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13.913784146591913</v>
      </c>
      <c r="CM68" s="23">
        <f>EXP(-LN(2)/2)*CM67+(1-EXP(-LN(2)/2))/(LN(2)/2)*CG68*CJ68*VLOOKUP('Données projet'!$B$12,Paramètres!$A$1:$I$89,3,0)*0.475*44/12</f>
        <v>9.9433330008529604E-3</v>
      </c>
      <c r="CN68" s="24">
        <f t="shared" ref="CN68:CN131" si="66">SUM(CK68:CM68)</f>
        <v>13.923727479592767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0" t="e">
        <f t="shared" ref="CX68:CX131" si="68">CW68+(CO68+CP68)*44/12</f>
        <v>#N/A</v>
      </c>
      <c r="CY68" s="60" t="e">
        <f ca="1">AVERAGE(OFFSET($CX$3,0,0,'Données projet'!$E$13+1,1))-AVERAGE(OFFSET($H$3,0,0,'Données projet'!$E$13+1,1))</f>
        <v>#N/A</v>
      </c>
      <c r="CZ68" s="60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8">
        <f t="shared" si="56"/>
        <v>365.66192640755855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0">
        <f t="shared" si="55"/>
        <v>756.65012524226813</v>
      </c>
      <c r="S69" s="60">
        <f ca="1">AVERAGE(OFFSET($R$3,0,0,'Données projet'!$E$9+1,1))-AVERAGE(OFFSET($H$3,0,0,'Données projet'!$E$9+1,1))</f>
        <v>314.4389771131751</v>
      </c>
      <c r="T69" s="60">
        <f t="shared" ref="T69:T132" si="88">$T$3</f>
        <v>176.7239677722049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165.1999999999999</v>
      </c>
      <c r="AJ69" s="14">
        <f>AI69*VLOOKUP('Données projet'!$B$10,Paramètres!$A$1:$I$89,3,0)*VLOOKUP('Données projet'!$B$10,Paramètres!$A$1:$I$89,5,0)</f>
        <v>149.47295999999989</v>
      </c>
      <c r="AK69" s="14">
        <f t="shared" ref="AK69:AK132" si="89">EXP(-1.0587+0.8836*LN(AJ69)+0.284)</f>
        <v>38.458789365254951</v>
      </c>
      <c r="AL69" s="22">
        <f t="shared" si="58"/>
        <v>327.31446347781883</v>
      </c>
      <c r="AM69" s="60">
        <f t="shared" si="59"/>
        <v>620.64779681115215</v>
      </c>
      <c r="AN69" s="60">
        <f ca="1">AVERAGE(OFFSET($AM$3,0,0,'Données projet'!$E$10+1,1))-AVERAGE(OFFSET($H$3,0,0,'Données projet'!$E$10+1,1))</f>
        <v>210.85498515082651</v>
      </c>
      <c r="AO69" s="60">
        <f t="shared" ref="AO69:AO132" si="90">$AO$3</f>
        <v>76.413905647258389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890</v>
      </c>
      <c r="BB69" s="13">
        <f>VLOOKUP(A69,'Données projet'!$A$87:$I$107,9,0)</f>
        <v>17</v>
      </c>
      <c r="BC69" s="13">
        <f t="array" ref="BC69">INDEX(BB:BB,MIN(IF(ISNUMBER(BB69:BB265),ROW(BB69:BB265),"")))</f>
        <v>17</v>
      </c>
      <c r="BD69" s="13">
        <f>IF('Données projet'!$A$88&gt;35,BD68+BC69-BL68,IF(A69&lt;'Données projet'!$A$88,$BA$205^A69,IF(A69='Données projet'!$A$88,'Données projet'!$B$88,BD68+BC69-BL68)))</f>
        <v>890</v>
      </c>
      <c r="BE69" s="14">
        <f>BD69*VLOOKUP('Données projet'!$B$11,Paramètres!$A$1:$I$89,3,0)*VLOOKUP('Données projet'!$B$11,Paramètres!$A$1:$I$89,5,0)</f>
        <v>393.38000000000005</v>
      </c>
      <c r="BF69" s="14">
        <f t="shared" ref="BF69:BF132" si="91">EXP(-1.0587+0.8836*LN(BE69)+0.284)</f>
        <v>90.433261055725012</v>
      </c>
      <c r="BG69" s="22">
        <f t="shared" si="61"/>
        <v>842.64142967205453</v>
      </c>
      <c r="BH69" s="60">
        <f t="shared" si="62"/>
        <v>1135.9747630053878</v>
      </c>
      <c r="BI69" s="60">
        <f ca="1">AVERAGE(OFFSET($BH$3,0,0,'Données projet'!$E$11+1,1))-AVERAGE(OFFSET($H$3,0,0,'Données projet'!$E$11+1,1))</f>
        <v>456.68544269509601</v>
      </c>
      <c r="BJ69" s="60">
        <f t="shared" ref="BJ69:BJ132" si="92">$BJ$3</f>
        <v>417.22363874931852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8.3707692307692305</v>
      </c>
      <c r="BY69" s="13">
        <f>IF('Données projet'!$A$114&gt;35,BY68+BX69-CG68,IF(A69&lt;'Données projet'!$A$114,$BV$205^A69,IF(A69='Données projet'!$A$114,'Données projet'!$B$114,BY68+BX69-CG68)))</f>
        <v>313.75230769230751</v>
      </c>
      <c r="BZ69" s="14">
        <f>BY69*VLOOKUP('Données projet'!$B$12,Paramètres!$A$1:$I$89,3,0)*VLOOKUP('Données projet'!$B$12,Paramètres!$A$1:$I$89,5,0)</f>
        <v>175.38753999999989</v>
      </c>
      <c r="CA69" s="14">
        <f t="shared" ref="CA69:CA132" si="93">EXP(-1.0587+0.8836*LN(BZ69)+0.284)</f>
        <v>44.294453584297372</v>
      </c>
      <c r="CB69" s="22">
        <f t="shared" si="64"/>
        <v>382.61280549265103</v>
      </c>
      <c r="CC69" s="60">
        <f t="shared" si="65"/>
        <v>675.94613882598435</v>
      </c>
      <c r="CD69" s="60">
        <f ca="1">AVERAGE(OFFSET($CC$3,0,0,'Données projet'!$E$12+1,1))-AVERAGE(OFFSET($H$3,0,0,'Données projet'!$E$12+1,1))</f>
        <v>234.38946271740315</v>
      </c>
      <c r="CE69" s="60">
        <f t="shared" ref="CE69:CE132" si="94">$CE$3</f>
        <v>123.9494810355684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13.53331098740925</v>
      </c>
      <c r="CM69" s="23">
        <f>EXP(-LN(2)/2)*CM68+(1-EXP(-LN(2)/2))/(LN(2)/2)*CG69*CJ69*VLOOKUP('Données projet'!$B$12,Paramètres!$A$1:$I$89,3,0)*0.475*44/12</f>
        <v>7.0309981924991114E-3</v>
      </c>
      <c r="CN69" s="24">
        <f t="shared" si="66"/>
        <v>13.540341985601749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0" t="e">
        <f t="shared" si="68"/>
        <v>#N/A</v>
      </c>
      <c r="CY69" s="60" t="e">
        <f ca="1">AVERAGE(OFFSET($CX$3,0,0,'Données projet'!$E$13+1,1))-AVERAGE(OFFSET($H$3,0,0,'Données projet'!$E$13+1,1))</f>
        <v>#N/A</v>
      </c>
      <c r="CZ69" s="60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8">
        <f t="shared" si="56"/>
        <v>366.72756595876103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0">
        <f t="shared" si="55"/>
        <v>769.69946190259475</v>
      </c>
      <c r="S70" s="60">
        <f ca="1">AVERAGE(OFFSET($R$3,0,0,'Données projet'!$E$9+1,1))-AVERAGE(OFFSET($H$3,0,0,'Données projet'!$E$9+1,1))</f>
        <v>314.4389771131751</v>
      </c>
      <c r="T70" s="60">
        <f t="shared" si="88"/>
        <v>176.7239677722049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170.39999999999989</v>
      </c>
      <c r="AJ70" s="14">
        <f>AI70*VLOOKUP('Données projet'!$B$10,Paramètres!$A$1:$I$89,3,0)*VLOOKUP('Données projet'!$B$10,Paramètres!$A$1:$I$89,5,0)</f>
        <v>154.17791999999992</v>
      </c>
      <c r="AK70" s="14">
        <f t="shared" si="89"/>
        <v>39.526509568829233</v>
      </c>
      <c r="AL70" s="22">
        <f t="shared" si="58"/>
        <v>337.36854816571076</v>
      </c>
      <c r="AM70" s="60">
        <f t="shared" si="59"/>
        <v>630.70188149904402</v>
      </c>
      <c r="AN70" s="60">
        <f ca="1">AVERAGE(OFFSET($AM$3,0,0,'Données projet'!$E$10+1,1))-AVERAGE(OFFSET($H$3,0,0,'Données projet'!$E$10+1,1))</f>
        <v>210.85498515082651</v>
      </c>
      <c r="AO70" s="60">
        <f t="shared" si="90"/>
        <v>76.413905647258389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14</v>
      </c>
      <c r="BD70" s="13">
        <f>IF('Données projet'!$A$88&gt;35,BD69+BC70-BL69,IF(A70&lt;'Données projet'!$A$88,$BA$205^A70,IF(A70='Données projet'!$A$88,'Données projet'!$B$88,BD69+BC70-BL69)))</f>
        <v>904</v>
      </c>
      <c r="BE70" s="14">
        <f>BD70*VLOOKUP('Données projet'!$B$11,Paramètres!$A$1:$I$89,3,0)*VLOOKUP('Données projet'!$B$11,Paramètres!$A$1:$I$89,5,0)</f>
        <v>399.56800000000004</v>
      </c>
      <c r="BF70" s="14">
        <f t="shared" si="91"/>
        <v>91.689078343716645</v>
      </c>
      <c r="BG70" s="22">
        <f t="shared" si="61"/>
        <v>855.60607811530645</v>
      </c>
      <c r="BH70" s="60">
        <f t="shared" si="62"/>
        <v>1148.9394114486397</v>
      </c>
      <c r="BI70" s="60">
        <f ca="1">AVERAGE(OFFSET($BH$3,0,0,'Données projet'!$E$11+1,1))-AVERAGE(OFFSET($H$3,0,0,'Données projet'!$E$11+1,1))</f>
        <v>456.68544269509601</v>
      </c>
      <c r="BJ70" s="60">
        <f t="shared" si="92"/>
        <v>417.22363874931852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8.3707692307692305</v>
      </c>
      <c r="BY70" s="13">
        <f>IF('Données projet'!$A$114&gt;35,BY69+BX70-CG69,IF(A70&lt;'Données projet'!$A$114,$BV$205^A70,IF(A70='Données projet'!$A$114,'Données projet'!$B$114,BY69+BX70-CG69)))</f>
        <v>322.12307692307672</v>
      </c>
      <c r="BZ70" s="14">
        <f>BY70*VLOOKUP('Données projet'!$B$12,Paramètres!$A$1:$I$89,3,0)*VLOOKUP('Données projet'!$B$12,Paramètres!$A$1:$I$89,5,0)</f>
        <v>180.06679999999989</v>
      </c>
      <c r="CA70" s="14">
        <f t="shared" si="93"/>
        <v>45.337047614896939</v>
      </c>
      <c r="CB70" s="22">
        <f t="shared" si="64"/>
        <v>392.57836792927861</v>
      </c>
      <c r="CC70" s="60">
        <f t="shared" si="65"/>
        <v>685.91170126261193</v>
      </c>
      <c r="CD70" s="60">
        <f ca="1">AVERAGE(OFFSET($CC$3,0,0,'Données projet'!$E$12+1,1))-AVERAGE(OFFSET($H$3,0,0,'Données projet'!$E$12+1,1))</f>
        <v>234.38946271740315</v>
      </c>
      <c r="CE70" s="60">
        <f t="shared" si="94"/>
        <v>123.9494810355684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13.163241886772649</v>
      </c>
      <c r="CM70" s="23">
        <f>EXP(-LN(2)/2)*CM69+(1-EXP(-LN(2)/2))/(LN(2)/2)*CG70*CJ70*VLOOKUP('Données projet'!$B$12,Paramètres!$A$1:$I$89,3,0)*0.475*44/12</f>
        <v>4.9716665004264802E-3</v>
      </c>
      <c r="CN70" s="24">
        <f t="shared" si="66"/>
        <v>13.168213553273075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0" t="e">
        <f t="shared" si="68"/>
        <v>#N/A</v>
      </c>
      <c r="CY70" s="60" t="e">
        <f ca="1">AVERAGE(OFFSET($CX$3,0,0,'Données projet'!$E$13+1,1))-AVERAGE(OFFSET($H$3,0,0,'Données projet'!$E$13+1,1))</f>
        <v>#N/A</v>
      </c>
      <c r="CZ70" s="60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8">
        <f t="shared" si="56"/>
        <v>367.7928099081056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0">
        <f t="shared" si="55"/>
        <v>782.74119655001107</v>
      </c>
      <c r="S71" s="60">
        <f ca="1">AVERAGE(OFFSET($R$3,0,0,'Données projet'!$E$9+1,1))-AVERAGE(OFFSET($H$3,0,0,'Données projet'!$E$9+1,1))</f>
        <v>314.4389771131751</v>
      </c>
      <c r="T71" s="60">
        <f t="shared" si="88"/>
        <v>176.7239677722049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175.59999999999988</v>
      </c>
      <c r="AJ71" s="14">
        <f>AI71*VLOOKUP('Données projet'!$B$10,Paramètres!$A$1:$I$89,3,0)*VLOOKUP('Données projet'!$B$10,Paramètres!$A$1:$I$89,5,0)</f>
        <v>158.88287999999989</v>
      </c>
      <c r="AK71" s="14">
        <f t="shared" si="89"/>
        <v>40.590443217000136</v>
      </c>
      <c r="AL71" s="22">
        <f t="shared" si="58"/>
        <v>347.41603793627502</v>
      </c>
      <c r="AM71" s="60">
        <f t="shared" si="59"/>
        <v>640.74937126960833</v>
      </c>
      <c r="AN71" s="60">
        <f ca="1">AVERAGE(OFFSET($AM$3,0,0,'Données projet'!$E$10+1,1))-AVERAGE(OFFSET($H$3,0,0,'Données projet'!$E$10+1,1))</f>
        <v>210.85498515082651</v>
      </c>
      <c r="AO71" s="60">
        <f t="shared" si="90"/>
        <v>76.413905647258389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14</v>
      </c>
      <c r="BD71" s="13">
        <f>IF('Données projet'!$A$88&gt;35,BD70+BC71-BL70,IF(A71&lt;'Données projet'!$A$88,$BA$205^A71,IF(A71='Données projet'!$A$88,'Données projet'!$B$88,BD70+BC71-BL70)))</f>
        <v>918</v>
      </c>
      <c r="BE71" s="14">
        <f>BD71*VLOOKUP('Données projet'!$B$11,Paramètres!$A$1:$I$89,3,0)*VLOOKUP('Données projet'!$B$11,Paramètres!$A$1:$I$89,5,0)</f>
        <v>405.75600000000003</v>
      </c>
      <c r="BF71" s="14">
        <f t="shared" si="91"/>
        <v>92.942633770170687</v>
      </c>
      <c r="BG71" s="22">
        <f t="shared" si="61"/>
        <v>868.56678714971395</v>
      </c>
      <c r="BH71" s="60">
        <f t="shared" si="62"/>
        <v>1161.9001204830472</v>
      </c>
      <c r="BI71" s="60">
        <f ca="1">AVERAGE(OFFSET($BH$3,0,0,'Données projet'!$E$11+1,1))-AVERAGE(OFFSET($H$3,0,0,'Données projet'!$E$11+1,1))</f>
        <v>456.68544269509601</v>
      </c>
      <c r="BJ71" s="60">
        <f t="shared" si="92"/>
        <v>417.22363874931852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8.3707692307692305</v>
      </c>
      <c r="BY71" s="13">
        <f>IF('Données projet'!$A$114&gt;35,BY70+BX71-CG70,IF(A71&lt;'Données projet'!$A$114,$BV$205^A71,IF(A71='Données projet'!$A$114,'Données projet'!$B$114,BY70+BX71-CG70)))</f>
        <v>330.49384615384594</v>
      </c>
      <c r="BZ71" s="14">
        <f>BY71*VLOOKUP('Données projet'!$B$12,Paramètres!$A$1:$I$89,3,0)*VLOOKUP('Données projet'!$B$12,Paramètres!$A$1:$I$89,5,0)</f>
        <v>184.74605999999989</v>
      </c>
      <c r="CA71" s="14">
        <f t="shared" si="93"/>
        <v>46.376492398379618</v>
      </c>
      <c r="CB71" s="22">
        <f t="shared" si="64"/>
        <v>402.53844542717758</v>
      </c>
      <c r="CC71" s="60">
        <f t="shared" si="65"/>
        <v>695.87177876051089</v>
      </c>
      <c r="CD71" s="60">
        <f ca="1">AVERAGE(OFFSET($CC$3,0,0,'Données projet'!$E$12+1,1))-AVERAGE(OFFSET($H$3,0,0,'Données projet'!$E$12+1,1))</f>
        <v>234.38946271740315</v>
      </c>
      <c r="CE71" s="60">
        <f t="shared" si="94"/>
        <v>123.9494810355684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12.803292345154045</v>
      </c>
      <c r="CM71" s="23">
        <f>EXP(-LN(2)/2)*CM70+(1-EXP(-LN(2)/2))/(LN(2)/2)*CG71*CJ71*VLOOKUP('Données projet'!$B$12,Paramètres!$A$1:$I$89,3,0)*0.475*44/12</f>
        <v>3.5154990962495557E-3</v>
      </c>
      <c r="CN71" s="24">
        <f t="shared" si="66"/>
        <v>12.806807844250294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0" t="e">
        <f t="shared" si="68"/>
        <v>#N/A</v>
      </c>
      <c r="CY71" s="60" t="e">
        <f ca="1">AVERAGE(OFFSET($CX$3,0,0,'Données projet'!$E$13+1,1))-AVERAGE(OFFSET($H$3,0,0,'Données projet'!$E$13+1,1))</f>
        <v>#N/A</v>
      </c>
      <c r="CZ71" s="60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8">
        <f t="shared" si="56"/>
        <v>368.85766474535927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0">
        <f t="shared" si="55"/>
        <v>795.77556027438573</v>
      </c>
      <c r="S72" s="60">
        <f ca="1">AVERAGE(OFFSET($R$3,0,0,'Données projet'!$E$9+1,1))-AVERAGE(OFFSET($H$3,0,0,'Données projet'!$E$9+1,1))</f>
        <v>314.4389771131751</v>
      </c>
      <c r="T72" s="60">
        <f t="shared" si="88"/>
        <v>176.7239677722049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180.79999999999987</v>
      </c>
      <c r="AJ72" s="14">
        <f>AI72*VLOOKUP('Données projet'!$B$10,Paramètres!$A$1:$I$89,3,0)*VLOOKUP('Données projet'!$B$10,Paramètres!$A$1:$I$89,5,0)</f>
        <v>163.58783999999989</v>
      </c>
      <c r="AK72" s="14">
        <f t="shared" si="89"/>
        <v>41.650715313623969</v>
      </c>
      <c r="AL72" s="22">
        <f t="shared" si="58"/>
        <v>357.45715050456153</v>
      </c>
      <c r="AM72" s="60">
        <f t="shared" si="59"/>
        <v>650.79048383789484</v>
      </c>
      <c r="AN72" s="60">
        <f ca="1">AVERAGE(OFFSET($AM$3,0,0,'Données projet'!$E$10+1,1))-AVERAGE(OFFSET($H$3,0,0,'Données projet'!$E$10+1,1))</f>
        <v>210.85498515082651</v>
      </c>
      <c r="AO72" s="60">
        <f t="shared" si="90"/>
        <v>76.413905647258389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14</v>
      </c>
      <c r="BD72" s="13">
        <f>IF('Données projet'!$A$88&gt;35,BD71+BC72-BL71,IF(A72&lt;'Données projet'!$A$88,$BA$205^A72,IF(A72='Données projet'!$A$88,'Données projet'!$B$88,BD71+BC72-BL71)))</f>
        <v>932</v>
      </c>
      <c r="BE72" s="14">
        <f>BD72*VLOOKUP('Données projet'!$B$11,Paramètres!$A$1:$I$89,3,0)*VLOOKUP('Données projet'!$B$11,Paramètres!$A$1:$I$89,5,0)</f>
        <v>411.94400000000002</v>
      </c>
      <c r="BF72" s="14">
        <f t="shared" si="91"/>
        <v>94.193965813724745</v>
      </c>
      <c r="BG72" s="22">
        <f t="shared" si="61"/>
        <v>881.52362379223723</v>
      </c>
      <c r="BH72" s="60">
        <f t="shared" si="62"/>
        <v>1174.8569571255705</v>
      </c>
      <c r="BI72" s="60">
        <f ca="1">AVERAGE(OFFSET($BH$3,0,0,'Données projet'!$E$11+1,1))-AVERAGE(OFFSET($H$3,0,0,'Données projet'!$E$11+1,1))</f>
        <v>456.68544269509601</v>
      </c>
      <c r="BJ72" s="60">
        <f t="shared" si="92"/>
        <v>417.22363874931852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8.3707692307692305</v>
      </c>
      <c r="BY72" s="13">
        <f>IF('Données projet'!$A$114&gt;35,BY71+BX72-CG71,IF(A72&lt;'Données projet'!$A$114,$BV$205^A72,IF(A72='Données projet'!$A$114,'Données projet'!$B$114,BY71+BX72-CG71)))</f>
        <v>338.86461538461515</v>
      </c>
      <c r="BZ72" s="14">
        <f>BY72*VLOOKUP('Données projet'!$B$12,Paramètres!$A$1:$I$89,3,0)*VLOOKUP('Données projet'!$B$12,Paramètres!$A$1:$I$89,5,0)</f>
        <v>189.42531999999989</v>
      </c>
      <c r="CA72" s="14">
        <f t="shared" si="93"/>
        <v>47.412876871747933</v>
      </c>
      <c r="CB72" s="22">
        <f t="shared" si="64"/>
        <v>412.49319288496076</v>
      </c>
      <c r="CC72" s="60">
        <f t="shared" si="65"/>
        <v>705.82652621829402</v>
      </c>
      <c r="CD72" s="60">
        <f ca="1">AVERAGE(OFFSET($CC$3,0,0,'Données projet'!$E$12+1,1))-AVERAGE(OFFSET($H$3,0,0,'Données projet'!$E$12+1,1))</f>
        <v>234.38946271740315</v>
      </c>
      <c r="CE72" s="60">
        <f t="shared" si="94"/>
        <v>123.9494810355684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12.453185642679925</v>
      </c>
      <c r="CM72" s="23">
        <f>EXP(-LN(2)/2)*CM71+(1-EXP(-LN(2)/2))/(LN(2)/2)*CG72*CJ72*VLOOKUP('Données projet'!$B$12,Paramètres!$A$1:$I$89,3,0)*0.475*44/12</f>
        <v>2.4858332502132401E-3</v>
      </c>
      <c r="CN72" s="24">
        <f t="shared" si="66"/>
        <v>12.455671475930139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0" t="e">
        <f t="shared" si="68"/>
        <v>#N/A</v>
      </c>
      <c r="CY72" s="60" t="e">
        <f ca="1">AVERAGE(OFFSET($CX$3,0,0,'Données projet'!$E$13+1,1))-AVERAGE(OFFSET($H$3,0,0,'Données projet'!$E$13+1,1))</f>
        <v>#N/A</v>
      </c>
      <c r="CZ72" s="60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8">
        <f t="shared" si="56"/>
        <v>369.92213676137879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0">
        <f t="shared" si="55"/>
        <v>808.80277120001347</v>
      </c>
      <c r="S73" s="60">
        <f ca="1">AVERAGE(OFFSET($R$3,0,0,'Données projet'!$E$9+1,1))-AVERAGE(OFFSET($H$3,0,0,'Données projet'!$E$9+1,1))</f>
        <v>314.4389771131751</v>
      </c>
      <c r="T73" s="60">
        <f t="shared" si="88"/>
        <v>176.7239677722049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186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185.99999999999986</v>
      </c>
      <c r="AJ73" s="14">
        <f>AI73*VLOOKUP('Données projet'!$B$10,Paramètres!$A$1:$I$89,3,0)*VLOOKUP('Données projet'!$B$10,Paramètres!$A$1:$I$89,5,0)</f>
        <v>168.29279999999986</v>
      </c>
      <c r="AK73" s="14">
        <f t="shared" si="89"/>
        <v>42.707443263135069</v>
      </c>
      <c r="AL73" s="22">
        <f t="shared" si="58"/>
        <v>367.49209034995994</v>
      </c>
      <c r="AM73" s="60">
        <f t="shared" si="59"/>
        <v>660.82542368329325</v>
      </c>
      <c r="AN73" s="60">
        <f ca="1">AVERAGE(OFFSET($AM$3,0,0,'Données projet'!$E$10+1,1))-AVERAGE(OFFSET($H$3,0,0,'Données projet'!$E$10+1,1))</f>
        <v>210.85498515082651</v>
      </c>
      <c r="AO73" s="60">
        <f t="shared" si="90"/>
        <v>76.413905647258389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14</v>
      </c>
      <c r="BD73" s="13">
        <f>IF('Données projet'!$A$88&gt;35,BD72+BC73-BL72,IF(A73&lt;'Données projet'!$A$88,$BA$205^A73,IF(A73='Données projet'!$A$88,'Données projet'!$B$88,BD72+BC73-BL72)))</f>
        <v>946</v>
      </c>
      <c r="BE73" s="14">
        <f>BD73*VLOOKUP('Données projet'!$B$11,Paramètres!$A$1:$I$89,3,0)*VLOOKUP('Données projet'!$B$11,Paramètres!$A$1:$I$89,5,0)</f>
        <v>418.13200000000006</v>
      </c>
      <c r="BF73" s="14">
        <f t="shared" si="91"/>
        <v>95.443111730657819</v>
      </c>
      <c r="BG73" s="22">
        <f t="shared" si="61"/>
        <v>894.47665293089585</v>
      </c>
      <c r="BH73" s="60">
        <f t="shared" si="62"/>
        <v>1187.8099862642291</v>
      </c>
      <c r="BI73" s="60">
        <f ca="1">AVERAGE(OFFSET($BH$3,0,0,'Données projet'!$E$11+1,1))-AVERAGE(OFFSET($H$3,0,0,'Données projet'!$E$11+1,1))</f>
        <v>456.68544269509601</v>
      </c>
      <c r="BJ73" s="60">
        <f t="shared" si="92"/>
        <v>417.22363874931852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8.3707692307692305</v>
      </c>
      <c r="BY73" s="13">
        <f>IF('Données projet'!$A$114&gt;35,BY72+BX73-CG72,IF(A73&lt;'Données projet'!$A$114,$BV$205^A73,IF(A73='Données projet'!$A$114,'Données projet'!$B$114,BY72+BX73-CG72)))</f>
        <v>347.23538461538436</v>
      </c>
      <c r="BZ73" s="14">
        <f>BY73*VLOOKUP('Données projet'!$B$12,Paramètres!$A$1:$I$89,3,0)*VLOOKUP('Données projet'!$B$12,Paramètres!$A$1:$I$89,5,0)</f>
        <v>194.10457999999988</v>
      </c>
      <c r="CA73" s="14">
        <f t="shared" si="93"/>
        <v>48.44628532761876</v>
      </c>
      <c r="CB73" s="22">
        <f t="shared" si="64"/>
        <v>422.44275711226913</v>
      </c>
      <c r="CC73" s="60">
        <f t="shared" si="65"/>
        <v>715.77609044560245</v>
      </c>
      <c r="CD73" s="60">
        <f ca="1">AVERAGE(OFFSET($CC$3,0,0,'Données projet'!$E$12+1,1))-AVERAGE(OFFSET($H$3,0,0,'Données projet'!$E$12+1,1))</f>
        <v>234.38946271740315</v>
      </c>
      <c r="CE73" s="60">
        <f t="shared" si="94"/>
        <v>123.9494810355684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12.112652626396271</v>
      </c>
      <c r="CM73" s="23">
        <f>EXP(-LN(2)/2)*CM72+(1-EXP(-LN(2)/2))/(LN(2)/2)*CG73*CJ73*VLOOKUP('Données projet'!$B$12,Paramètres!$A$1:$I$89,3,0)*0.475*44/12</f>
        <v>1.7577495481247778E-3</v>
      </c>
      <c r="CN73" s="24">
        <f t="shared" si="66"/>
        <v>12.114410375944395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0" t="e">
        <f t="shared" si="68"/>
        <v>#N/A</v>
      </c>
      <c r="CY73" s="60" t="e">
        <f ca="1">AVERAGE(OFFSET($CX$3,0,0,'Données projet'!$E$13+1,1))-AVERAGE(OFFSET($H$3,0,0,'Données projet'!$E$13+1,1))</f>
        <v>#N/A</v>
      </c>
      <c r="CZ73" s="60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8">
        <f t="shared" si="56"/>
        <v>370.98623205696038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0">
        <f t="shared" si="55"/>
        <v>740.13528187395309</v>
      </c>
      <c r="S74" s="60">
        <f ca="1">AVERAGE(OFFSET($R$3,0,0,'Données projet'!$E$9+1,1))-AVERAGE(OFFSET($H$3,0,0,'Données projet'!$E$9+1,1))</f>
        <v>314.4389771131751</v>
      </c>
      <c r="T74" s="60">
        <f t="shared" si="88"/>
        <v>176.7239677722049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162.79999999999987</v>
      </c>
      <c r="AJ74" s="14">
        <f>AI74*VLOOKUP('Données projet'!$B$10,Paramètres!$A$1:$I$89,3,0)*VLOOKUP('Données projet'!$B$10,Paramètres!$A$1:$I$89,5,0)</f>
        <v>147.30143999999987</v>
      </c>
      <c r="AK74" s="14">
        <f t="shared" si="89"/>
        <v>37.964681731408312</v>
      </c>
      <c r="AL74" s="22">
        <f t="shared" si="58"/>
        <v>322.6718286822026</v>
      </c>
      <c r="AM74" s="60">
        <f t="shared" si="59"/>
        <v>616.00516201553592</v>
      </c>
      <c r="AN74" s="60">
        <f ca="1">AVERAGE(OFFSET($AM$3,0,0,'Données projet'!$E$10+1,1))-AVERAGE(OFFSET($H$3,0,0,'Données projet'!$E$10+1,1))</f>
        <v>210.85498515082651</v>
      </c>
      <c r="AO74" s="60">
        <f t="shared" si="90"/>
        <v>76.413905647258389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>
        <f>VLOOKUP(A74,'Données projet'!$A$87:$I$107,2,0)</f>
        <v>960</v>
      </c>
      <c r="BB74" s="13">
        <f>VLOOKUP(A74,'Données projet'!$A$87:$I$107,9,0)</f>
        <v>14</v>
      </c>
      <c r="BC74" s="13">
        <f t="array" ref="BC74">INDEX(BB:BB,MIN(IF(ISNUMBER(BB74:BB270),ROW(BB74:BB270),"")))</f>
        <v>14</v>
      </c>
      <c r="BD74" s="13">
        <f>IF('Données projet'!$A$88&gt;35,BD73+BC74-BL73,IF(A74&lt;'Données projet'!$A$88,$BA$205^A74,IF(A74='Données projet'!$A$88,'Données projet'!$B$88,BD73+BC74-BL73)))</f>
        <v>960</v>
      </c>
      <c r="BE74" s="14">
        <f>BD74*VLOOKUP('Données projet'!$B$11,Paramètres!$A$1:$I$89,3,0)*VLOOKUP('Données projet'!$B$11,Paramètres!$A$1:$I$89,5,0)</f>
        <v>424.32000000000005</v>
      </c>
      <c r="BF74" s="14">
        <f t="shared" si="91"/>
        <v>96.69010761122442</v>
      </c>
      <c r="BG74" s="22">
        <f t="shared" si="61"/>
        <v>907.42593742288261</v>
      </c>
      <c r="BH74" s="60">
        <f t="shared" si="62"/>
        <v>1200.759270756216</v>
      </c>
      <c r="BI74" s="60">
        <f ca="1">AVERAGE(OFFSET($BH$3,0,0,'Données projet'!$E$11+1,1))-AVERAGE(OFFSET($H$3,0,0,'Données projet'!$E$11+1,1))</f>
        <v>456.68544269509601</v>
      </c>
      <c r="BJ74" s="60">
        <f t="shared" si="92"/>
        <v>417.22363874931852</v>
      </c>
      <c r="BK74" s="16">
        <f>IF(ISNA(VLOOKUP(A74,'Données projet'!$A$87:$I$107,3,0)),0,VLOOKUP(A74,'Données projet'!$A$87:$I$107,3,0))</f>
        <v>6</v>
      </c>
      <c r="BL74" s="16">
        <f>IF(ISNA(VLOOKUP(A74,'Données projet'!$A$87:$I$107,4,0)),0,VLOOKUP(A74,'Données projet'!$A$87:$I$107,4,0))</f>
        <v>73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8.3707692307692305</v>
      </c>
      <c r="BY74" s="13">
        <f>IF('Données projet'!$A$114&gt;35,BY73+BX74-CG73,IF(A74&lt;'Données projet'!$A$114,$BV$205^A74,IF(A74='Données projet'!$A$114,'Données projet'!$B$114,BY73+BX74-CG73)))</f>
        <v>355.60615384615357</v>
      </c>
      <c r="BZ74" s="14">
        <f>BY74*VLOOKUP('Données projet'!$B$12,Paramètres!$A$1:$I$89,3,0)*VLOOKUP('Données projet'!$B$12,Paramètres!$A$1:$I$89,5,0)</f>
        <v>198.78383999999986</v>
      </c>
      <c r="CA74" s="14">
        <f t="shared" si="93"/>
        <v>49.476797762787427</v>
      </c>
      <c r="CB74" s="22">
        <f t="shared" si="64"/>
        <v>432.38727743685445</v>
      </c>
      <c r="CC74" s="60">
        <f t="shared" si="65"/>
        <v>725.7206107701877</v>
      </c>
      <c r="CD74" s="60">
        <f ca="1">AVERAGE(OFFSET($CC$3,0,0,'Données projet'!$E$12+1,1))-AVERAGE(OFFSET($H$3,0,0,'Données projet'!$E$12+1,1))</f>
        <v>234.38946271740315</v>
      </c>
      <c r="CE74" s="60">
        <f t="shared" si="94"/>
        <v>123.9494810355684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11.781431503350747</v>
      </c>
      <c r="CM74" s="23">
        <f>EXP(-LN(2)/2)*CM73+(1-EXP(-LN(2)/2))/(LN(2)/2)*CG74*CJ74*VLOOKUP('Données projet'!$B$12,Paramètres!$A$1:$I$89,3,0)*0.475*44/12</f>
        <v>1.2429166251066201E-3</v>
      </c>
      <c r="CN74" s="24">
        <f t="shared" si="66"/>
        <v>11.782674419975853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0" t="e">
        <f t="shared" si="68"/>
        <v>#N/A</v>
      </c>
      <c r="CY74" s="60" t="e">
        <f ca="1">AVERAGE(OFFSET($CX$3,0,0,'Données projet'!$E$13+1,1))-AVERAGE(OFFSET($H$3,0,0,'Données projet'!$E$13+1,1))</f>
        <v>#N/A</v>
      </c>
      <c r="CZ74" s="60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8">
        <f t="shared" si="56"/>
        <v>372.04995655117574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0">
        <f t="shared" si="55"/>
        <v>752.04261652954642</v>
      </c>
      <c r="S75" s="60">
        <f ca="1">AVERAGE(OFFSET($R$3,0,0,'Données projet'!$E$9+1,1))-AVERAGE(OFFSET($H$3,0,0,'Données projet'!$E$9+1,1))</f>
        <v>314.4389771131751</v>
      </c>
      <c r="T75" s="60">
        <f t="shared" si="88"/>
        <v>176.7239677722049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167.59999999999988</v>
      </c>
      <c r="AJ75" s="14">
        <f>AI75*VLOOKUP('Données projet'!$B$10,Paramètres!$A$1:$I$89,3,0)*VLOOKUP('Données projet'!$B$10,Paramètres!$A$1:$I$89,5,0)</f>
        <v>151.6444799999999</v>
      </c>
      <c r="AK75" s="14">
        <f t="shared" si="89"/>
        <v>38.952062117783541</v>
      </c>
      <c r="AL75" s="22">
        <f t="shared" si="58"/>
        <v>331.95564418847277</v>
      </c>
      <c r="AM75" s="60">
        <f t="shared" si="59"/>
        <v>625.28897752180615</v>
      </c>
      <c r="AN75" s="60">
        <f ca="1">AVERAGE(OFFSET($AM$3,0,0,'Données projet'!$E$10+1,1))-AVERAGE(OFFSET($H$3,0,0,'Données projet'!$E$10+1,1))</f>
        <v>210.85498515082651</v>
      </c>
      <c r="AO75" s="60">
        <f t="shared" si="90"/>
        <v>76.413905647258389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11.6</v>
      </c>
      <c r="BD75" s="13">
        <f>IF('Données projet'!$A$88&gt;35,BD74+BC75-BL74,IF(A75&lt;'Données projet'!$A$88,$BA$205^A75,IF(A75='Données projet'!$A$88,'Données projet'!$B$88,BD74+BC75-BL74)))</f>
        <v>898.6</v>
      </c>
      <c r="BE75" s="14">
        <f>BD75*VLOOKUP('Données projet'!$B$11,Paramètres!$A$1:$I$89,3,0)*VLOOKUP('Données projet'!$B$11,Paramètres!$A$1:$I$89,5,0)</f>
        <v>397.1812000000001</v>
      </c>
      <c r="BF75" s="14">
        <f t="shared" si="91"/>
        <v>91.204961783652095</v>
      </c>
      <c r="BG75" s="22">
        <f t="shared" si="61"/>
        <v>850.60589843986088</v>
      </c>
      <c r="BH75" s="60">
        <f t="shared" si="62"/>
        <v>1143.9392317731943</v>
      </c>
      <c r="BI75" s="60">
        <f ca="1">AVERAGE(OFFSET($BH$3,0,0,'Données projet'!$E$11+1,1))-AVERAGE(OFFSET($H$3,0,0,'Données projet'!$E$11+1,1))</f>
        <v>456.68544269509601</v>
      </c>
      <c r="BJ75" s="60">
        <f t="shared" si="92"/>
        <v>417.22363874931852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>
        <f>VLOOKUP(A75,'Données projet'!$A$113:$I$133,2,0)</f>
        <v>363.97692307692307</v>
      </c>
      <c r="BW75" s="13">
        <f>VLOOKUP(A75,'Données projet'!$A$113:$I$133,9,0)</f>
        <v>8.3707692307692305</v>
      </c>
      <c r="BX75" s="13">
        <f t="array" ref="BX75">INDEX(BW:BW,MIN(IF(ISNUMBER(BW75:BW271),ROW(BW75:BW271),"")))</f>
        <v>8.3707692307692305</v>
      </c>
      <c r="BY75" s="13">
        <f>IF('Données projet'!$A$114&gt;35,BY74+BX75-CG74,IF(A75&lt;'Données projet'!$A$114,$BV$205^A75,IF(A75='Données projet'!$A$114,'Données projet'!$B$114,BY74+BX75-CG74)))</f>
        <v>363.97692307692279</v>
      </c>
      <c r="BZ75" s="14">
        <f>BY75*VLOOKUP('Données projet'!$B$12,Paramètres!$A$1:$I$89,3,0)*VLOOKUP('Données projet'!$B$12,Paramètres!$A$1:$I$89,5,0)</f>
        <v>203.46309999999986</v>
      </c>
      <c r="CA75" s="14">
        <f t="shared" si="93"/>
        <v>50.504490193047729</v>
      </c>
      <c r="CB75" s="22">
        <f t="shared" si="64"/>
        <v>442.3268862528912</v>
      </c>
      <c r="CC75" s="60">
        <f t="shared" si="65"/>
        <v>735.66021958622446</v>
      </c>
      <c r="CD75" s="60">
        <f ca="1">AVERAGE(OFFSET($CC$3,0,0,'Données projet'!$E$12+1,1))-AVERAGE(OFFSET($H$3,0,0,'Données projet'!$E$12+1,1))</f>
        <v>234.38946271740315</v>
      </c>
      <c r="CE75" s="60">
        <f t="shared" si="94"/>
        <v>123.9494810355684</v>
      </c>
      <c r="CF75" s="16">
        <f>IF(ISNA(VLOOKUP(A75,'Données projet'!$A$113:$I$133,3,0)),0,VLOOKUP(A75,'Données projet'!$A$113:$I$133,3,0))</f>
        <v>5</v>
      </c>
      <c r="CG75" s="16">
        <f>IF(ISNA(VLOOKUP(A75,'Données projet'!$A$113:$I$133,4,0)),0,VLOOKUP(A75,'Données projet'!$A$113:$I$133,4,0))</f>
        <v>51.930769230769236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11.459267639333065</v>
      </c>
      <c r="CM75" s="23">
        <f>EXP(-LN(2)/2)*CM74+(1-EXP(-LN(2)/2))/(LN(2)/2)*CG75*CJ75*VLOOKUP('Données projet'!$B$12,Paramètres!$A$1:$I$89,3,0)*0.475*44/12</f>
        <v>8.7887477406238892E-4</v>
      </c>
      <c r="CN75" s="24">
        <f t="shared" si="66"/>
        <v>11.460146514107128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0" t="e">
        <f t="shared" si="68"/>
        <v>#N/A</v>
      </c>
      <c r="CY75" s="60" t="e">
        <f ca="1">AVERAGE(OFFSET($CX$3,0,0,'Données projet'!$E$13+1,1))-AVERAGE(OFFSET($H$3,0,0,'Données projet'!$E$13+1,1))</f>
        <v>#N/A</v>
      </c>
      <c r="CZ75" s="60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8">
        <f t="shared" si="56"/>
        <v>373.11331598923283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0">
        <f t="shared" si="55"/>
        <v>763.94335289202195</v>
      </c>
      <c r="S76" s="60">
        <f ca="1">AVERAGE(OFFSET($R$3,0,0,'Données projet'!$E$9+1,1))-AVERAGE(OFFSET($H$3,0,0,'Données projet'!$E$9+1,1))</f>
        <v>314.4389771131751</v>
      </c>
      <c r="T76" s="60">
        <f t="shared" si="88"/>
        <v>176.7239677722049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172.39999999999989</v>
      </c>
      <c r="AJ76" s="14">
        <f>AI76*VLOOKUP('Données projet'!$B$10,Paramètres!$A$1:$I$89,3,0)*VLOOKUP('Données projet'!$B$10,Paramètres!$A$1:$I$89,5,0)</f>
        <v>155.9875199999999</v>
      </c>
      <c r="AK76" s="14">
        <f t="shared" si="89"/>
        <v>39.936155927663087</v>
      </c>
      <c r="AL76" s="22">
        <f t="shared" si="58"/>
        <v>341.23373557401305</v>
      </c>
      <c r="AM76" s="60">
        <f t="shared" si="59"/>
        <v>634.56706890734631</v>
      </c>
      <c r="AN76" s="60">
        <f ca="1">AVERAGE(OFFSET($AM$3,0,0,'Données projet'!$E$10+1,1))-AVERAGE(OFFSET($H$3,0,0,'Données projet'!$E$10+1,1))</f>
        <v>210.85498515082651</v>
      </c>
      <c r="AO76" s="60">
        <f t="shared" si="90"/>
        <v>76.413905647258389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11.6</v>
      </c>
      <c r="BD76" s="13">
        <f>IF('Données projet'!$A$88&gt;35,BD75+BC76-BL75,IF(A76&lt;'Données projet'!$A$88,$BA$205^A76,IF(A76='Données projet'!$A$88,'Données projet'!$B$88,BD75+BC76-BL75)))</f>
        <v>910.2</v>
      </c>
      <c r="BE76" s="14">
        <f>BD76*VLOOKUP('Données projet'!$B$11,Paramètres!$A$1:$I$89,3,0)*VLOOKUP('Données projet'!$B$11,Paramètres!$A$1:$I$89,5,0)</f>
        <v>402.30840000000006</v>
      </c>
      <c r="BF76" s="14">
        <f t="shared" si="91"/>
        <v>92.244501046137444</v>
      </c>
      <c r="BG76" s="22">
        <f t="shared" si="61"/>
        <v>861.346302655356</v>
      </c>
      <c r="BH76" s="60">
        <f t="shared" si="62"/>
        <v>1154.6796359886894</v>
      </c>
      <c r="BI76" s="60">
        <f ca="1">AVERAGE(OFFSET($BH$3,0,0,'Données projet'!$E$11+1,1))-AVERAGE(OFFSET($H$3,0,0,'Données projet'!$E$11+1,1))</f>
        <v>456.68544269509601</v>
      </c>
      <c r="BJ76" s="60">
        <f t="shared" si="92"/>
        <v>417.22363874931852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7.0923076923076893</v>
      </c>
      <c r="BY76" s="13">
        <f>IF('Données projet'!$A$114&gt;35,BY75+BX76-CG75,IF(A76&lt;'Données projet'!$A$114,$BV$205^A76,IF(A76='Données projet'!$A$114,'Données projet'!$B$114,BY75+BX76-CG75)))</f>
        <v>319.13846153846129</v>
      </c>
      <c r="BZ76" s="14">
        <f>BY76*VLOOKUP('Données projet'!$B$12,Paramètres!$A$1:$I$89,3,0)*VLOOKUP('Données projet'!$B$12,Paramètres!$A$1:$I$89,5,0)</f>
        <v>178.39839999999984</v>
      </c>
      <c r="CA76" s="14">
        <f t="shared" si="93"/>
        <v>44.965674536500913</v>
      </c>
      <c r="CB76" s="22">
        <f t="shared" si="64"/>
        <v>389.02576315107217</v>
      </c>
      <c r="CC76" s="60">
        <f t="shared" si="65"/>
        <v>682.35909648440543</v>
      </c>
      <c r="CD76" s="60">
        <f ca="1">AVERAGE(OFFSET($CC$3,0,0,'Données projet'!$E$12+1,1))-AVERAGE(OFFSET($H$3,0,0,'Données projet'!$E$12+1,1))</f>
        <v>234.38946271740315</v>
      </c>
      <c r="CE76" s="60">
        <f t="shared" si="94"/>
        <v>123.9494810355684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11.145913363118808</v>
      </c>
      <c r="CM76" s="23">
        <f>EXP(-LN(2)/2)*CM75+(1-EXP(-LN(2)/2))/(LN(2)/2)*CG76*CJ76*VLOOKUP('Données projet'!$B$12,Paramètres!$A$1:$I$89,3,0)*0.475*44/12</f>
        <v>6.2145831255331003E-4</v>
      </c>
      <c r="CN76" s="24">
        <f t="shared" si="66"/>
        <v>11.146534821431361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0" t="e">
        <f t="shared" si="68"/>
        <v>#N/A</v>
      </c>
      <c r="CY76" s="60" t="e">
        <f ca="1">AVERAGE(OFFSET($CX$3,0,0,'Données projet'!$E$13+1,1))-AVERAGE(OFFSET($H$3,0,0,'Données projet'!$E$13+1,1))</f>
        <v>#N/A</v>
      </c>
      <c r="CZ76" s="60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8">
        <f t="shared" si="56"/>
        <v>374.17631594989302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0">
        <f t="shared" si="55"/>
        <v>775.83768133226158</v>
      </c>
      <c r="S77" s="60">
        <f ca="1">AVERAGE(OFFSET($R$3,0,0,'Données projet'!$E$9+1,1))-AVERAGE(OFFSET($H$3,0,0,'Données projet'!$E$9+1,1))</f>
        <v>314.4389771131751</v>
      </c>
      <c r="T77" s="60">
        <f t="shared" si="88"/>
        <v>176.7239677722049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177.1999999999999</v>
      </c>
      <c r="AJ77" s="14">
        <f>AI77*VLOOKUP('Données projet'!$B$10,Paramètres!$A$1:$I$89,3,0)*VLOOKUP('Données projet'!$B$10,Paramètres!$A$1:$I$89,5,0)</f>
        <v>160.33055999999991</v>
      </c>
      <c r="AK77" s="14">
        <f t="shared" si="89"/>
        <v>40.917065179252795</v>
      </c>
      <c r="AL77" s="22">
        <f t="shared" si="58"/>
        <v>350.50628052053179</v>
      </c>
      <c r="AM77" s="60">
        <f t="shared" si="59"/>
        <v>643.8396138538651</v>
      </c>
      <c r="AN77" s="60">
        <f ca="1">AVERAGE(OFFSET($AM$3,0,0,'Données projet'!$E$10+1,1))-AVERAGE(OFFSET($H$3,0,0,'Données projet'!$E$10+1,1))</f>
        <v>210.85498515082651</v>
      </c>
      <c r="AO77" s="60">
        <f t="shared" si="90"/>
        <v>76.413905647258389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11.6</v>
      </c>
      <c r="BD77" s="13">
        <f>IF('Données projet'!$A$88&gt;35,BD76+BC77-BL76,IF(A77&lt;'Données projet'!$A$88,$BA$205^A77,IF(A77='Données projet'!$A$88,'Données projet'!$B$88,BD76+BC77-BL76)))</f>
        <v>921.80000000000007</v>
      </c>
      <c r="BE77" s="14">
        <f>BD77*VLOOKUP('Données projet'!$B$11,Paramètres!$A$1:$I$89,3,0)*VLOOKUP('Données projet'!$B$11,Paramètres!$A$1:$I$89,5,0)</f>
        <v>407.43560000000008</v>
      </c>
      <c r="BF77" s="14">
        <f t="shared" si="91"/>
        <v>93.282499298898799</v>
      </c>
      <c r="BG77" s="22">
        <f t="shared" si="61"/>
        <v>872.08402294558221</v>
      </c>
      <c r="BH77" s="60">
        <f t="shared" si="62"/>
        <v>1165.4173562789156</v>
      </c>
      <c r="BI77" s="60">
        <f ca="1">AVERAGE(OFFSET($BH$3,0,0,'Données projet'!$E$11+1,1))-AVERAGE(OFFSET($H$3,0,0,'Données projet'!$E$11+1,1))</f>
        <v>456.68544269509601</v>
      </c>
      <c r="BJ77" s="60">
        <f t="shared" si="92"/>
        <v>417.22363874931852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7.0923076923076893</v>
      </c>
      <c r="BY77" s="13">
        <f>IF('Données projet'!$A$114&gt;35,BY76+BX77-CG76,IF(A77&lt;'Données projet'!$A$114,$BV$205^A77,IF(A77='Données projet'!$A$114,'Données projet'!$B$114,BY76+BX77-CG76)))</f>
        <v>326.230769230769</v>
      </c>
      <c r="BZ77" s="14">
        <f>BY77*VLOOKUP('Données projet'!$B$12,Paramètres!$A$1:$I$89,3,0)*VLOOKUP('Données projet'!$B$12,Paramètres!$A$1:$I$89,5,0)</f>
        <v>182.36299999999989</v>
      </c>
      <c r="CA77" s="14">
        <f t="shared" si="93"/>
        <v>45.8475104072512</v>
      </c>
      <c r="CB77" s="22">
        <f t="shared" si="64"/>
        <v>397.46663895929561</v>
      </c>
      <c r="CC77" s="60">
        <f t="shared" si="65"/>
        <v>690.79997229262892</v>
      </c>
      <c r="CD77" s="60">
        <f ca="1">AVERAGE(OFFSET($CC$3,0,0,'Données projet'!$E$12+1,1))-AVERAGE(OFFSET($H$3,0,0,'Données projet'!$E$12+1,1))</f>
        <v>234.38946271740315</v>
      </c>
      <c r="CE77" s="60">
        <f t="shared" si="94"/>
        <v>123.9494810355684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10.841127776066214</v>
      </c>
      <c r="CM77" s="23">
        <f>EXP(-LN(2)/2)*CM76+(1-EXP(-LN(2)/2))/(LN(2)/2)*CG77*CJ77*VLOOKUP('Données projet'!$B$12,Paramètres!$A$1:$I$89,3,0)*0.475*44/12</f>
        <v>4.3943738703119446E-4</v>
      </c>
      <c r="CN77" s="24">
        <f t="shared" si="66"/>
        <v>10.841567213453246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0" t="e">
        <f t="shared" si="68"/>
        <v>#N/A</v>
      </c>
      <c r="CY77" s="60" t="e">
        <f ca="1">AVERAGE(OFFSET($CX$3,0,0,'Données projet'!$E$13+1,1))-AVERAGE(OFFSET($H$3,0,0,'Données projet'!$E$13+1,1))</f>
        <v>#N/A</v>
      </c>
      <c r="CZ77" s="60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8">
        <f t="shared" si="56"/>
        <v>375.238961852476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0">
        <f t="shared" si="55"/>
        <v>787.72578207012918</v>
      </c>
      <c r="S78" s="60">
        <f ca="1">AVERAGE(OFFSET($R$3,0,0,'Données projet'!$E$9+1,1))-AVERAGE(OFFSET($H$3,0,0,'Données projet'!$E$9+1,1))</f>
        <v>314.4389771131751</v>
      </c>
      <c r="T78" s="60">
        <f t="shared" si="88"/>
        <v>176.7239677722049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181.99999999999991</v>
      </c>
      <c r="AJ78" s="14">
        <f>AI78*VLOOKUP('Données projet'!$B$10,Paramètres!$A$1:$I$89,3,0)*VLOOKUP('Données projet'!$B$10,Paramètres!$A$1:$I$89,5,0)</f>
        <v>164.67359999999991</v>
      </c>
      <c r="AK78" s="14">
        <f t="shared" si="89"/>
        <v>41.894886049196984</v>
      </c>
      <c r="AL78" s="22">
        <f t="shared" si="58"/>
        <v>359.77344653568457</v>
      </c>
      <c r="AM78" s="60">
        <f t="shared" si="59"/>
        <v>653.10677986901783</v>
      </c>
      <c r="AN78" s="60">
        <f ca="1">AVERAGE(OFFSET($AM$3,0,0,'Données projet'!$E$10+1,1))-AVERAGE(OFFSET($H$3,0,0,'Données projet'!$E$10+1,1))</f>
        <v>210.85498515082651</v>
      </c>
      <c r="AO78" s="60">
        <f t="shared" si="90"/>
        <v>76.413905647258389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11.6</v>
      </c>
      <c r="BD78" s="13">
        <f>IF('Données projet'!$A$88&gt;35,BD77+BC78-BL77,IF(A78&lt;'Données projet'!$A$88,$BA$205^A78,IF(A78='Données projet'!$A$88,'Données projet'!$B$88,BD77+BC78-BL77)))</f>
        <v>933.40000000000009</v>
      </c>
      <c r="BE78" s="14">
        <f>BD78*VLOOKUP('Données projet'!$B$11,Paramètres!$A$1:$I$89,3,0)*VLOOKUP('Données projet'!$B$11,Paramètres!$A$1:$I$89,5,0)</f>
        <v>412.5628000000001</v>
      </c>
      <c r="BF78" s="14">
        <f t="shared" si="91"/>
        <v>94.318978176667613</v>
      </c>
      <c r="BG78" s="22">
        <f t="shared" si="61"/>
        <v>882.8190969910296</v>
      </c>
      <c r="BH78" s="60">
        <f t="shared" si="62"/>
        <v>1176.152430324363</v>
      </c>
      <c r="BI78" s="60">
        <f ca="1">AVERAGE(OFFSET($BH$3,0,0,'Données projet'!$E$11+1,1))-AVERAGE(OFFSET($H$3,0,0,'Données projet'!$E$11+1,1))</f>
        <v>456.68544269509601</v>
      </c>
      <c r="BJ78" s="60">
        <f t="shared" si="92"/>
        <v>417.22363874931852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7.0923076923076893</v>
      </c>
      <c r="BY78" s="13">
        <f>IF('Données projet'!$A$114&gt;35,BY77+BX78-CG77,IF(A78&lt;'Données projet'!$A$114,$BV$205^A78,IF(A78='Données projet'!$A$114,'Données projet'!$B$114,BY77+BX78-CG77)))</f>
        <v>333.32307692307671</v>
      </c>
      <c r="BZ78" s="14">
        <f>BY78*VLOOKUP('Données projet'!$B$12,Paramètres!$A$1:$I$89,3,0)*VLOOKUP('Données projet'!$B$12,Paramètres!$A$1:$I$89,5,0)</f>
        <v>186.3275999999999</v>
      </c>
      <c r="CA78" s="14">
        <f t="shared" si="93"/>
        <v>46.727117380157758</v>
      </c>
      <c r="CB78" s="22">
        <f t="shared" si="64"/>
        <v>405.90363277044122</v>
      </c>
      <c r="CC78" s="60">
        <f t="shared" si="65"/>
        <v>699.23696610377453</v>
      </c>
      <c r="CD78" s="60">
        <f ca="1">AVERAGE(OFFSET($CC$3,0,0,'Données projet'!$E$12+1,1))-AVERAGE(OFFSET($H$3,0,0,'Données projet'!$E$12+1,1))</f>
        <v>234.38946271740315</v>
      </c>
      <c r="CE78" s="60">
        <f t="shared" si="94"/>
        <v>123.9494810355684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10.544676566919552</v>
      </c>
      <c r="CM78" s="23">
        <f>EXP(-LN(2)/2)*CM77+(1-EXP(-LN(2)/2))/(LN(2)/2)*CG78*CJ78*VLOOKUP('Données projet'!$B$12,Paramètres!$A$1:$I$89,3,0)*0.475*44/12</f>
        <v>3.1072915627665501E-4</v>
      </c>
      <c r="CN78" s="24">
        <f t="shared" si="66"/>
        <v>10.54498729607583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0" t="e">
        <f t="shared" si="68"/>
        <v>#N/A</v>
      </c>
      <c r="CY78" s="60" t="e">
        <f ca="1">AVERAGE(OFFSET($CX$3,0,0,'Données projet'!$E$13+1,1))-AVERAGE(OFFSET($H$3,0,0,'Données projet'!$E$13+1,1))</f>
        <v>#N/A</v>
      </c>
      <c r="CZ78" s="60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8">
        <f t="shared" si="56"/>
        <v>376.30125896348062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0">
        <f t="shared" si="55"/>
        <v>799.22462707153909</v>
      </c>
      <c r="S79" s="60">
        <f ca="1">AVERAGE(OFFSET($R$3,0,0,'Données projet'!$E$9+1,1))-AVERAGE(OFFSET($H$3,0,0,'Données projet'!$E$9+1,1))</f>
        <v>314.4389771131751</v>
      </c>
      <c r="T79" s="60">
        <f t="shared" si="88"/>
        <v>176.7239677722049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4.8</v>
      </c>
      <c r="AI79" s="14">
        <f>IF('Données projet'!$A$62&gt;35,AI78+AH79-AQ78,IF(A79&lt;'Données projet'!$A$62,$AF$205^A79,IF(A79='Données projet'!$A$62,'Données projet'!$B$62,AI78+AH79-AQ78)))</f>
        <v>186.79999999999993</v>
      </c>
      <c r="AJ79" s="14">
        <f>AI79*VLOOKUP('Données projet'!$B$10,Paramètres!$A$1:$I$89,3,0)*VLOOKUP('Données projet'!$B$10,Paramètres!$A$1:$I$89,5,0)</f>
        <v>169.01663999999994</v>
      </c>
      <c r="AK79" s="14">
        <f t="shared" si="89"/>
        <v>42.869709352189666</v>
      </c>
      <c r="AL79" s="22">
        <f t="shared" si="58"/>
        <v>369.03539178839679</v>
      </c>
      <c r="AM79" s="60">
        <f t="shared" si="59"/>
        <v>662.36872512173011</v>
      </c>
      <c r="AN79" s="60">
        <f ca="1">AVERAGE(OFFSET($AM$3,0,0,'Données projet'!$E$10+1,1))-AVERAGE(OFFSET($H$3,0,0,'Données projet'!$E$10+1,1))</f>
        <v>210.85498515082651</v>
      </c>
      <c r="AO79" s="60">
        <f t="shared" si="90"/>
        <v>76.413905647258389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>
        <f>VLOOKUP(A79,'Données projet'!$A$87:$I$107,2,0)</f>
        <v>945</v>
      </c>
      <c r="BB79" s="13">
        <f>VLOOKUP(A79,'Données projet'!$A$87:$I$107,9,0)</f>
        <v>11.6</v>
      </c>
      <c r="BC79" s="13">
        <f t="array" ref="BC79">INDEX(BB:BB,MIN(IF(ISNUMBER(BB79:BB275),ROW(BB79:BB275),"")))</f>
        <v>11.6</v>
      </c>
      <c r="BD79" s="13">
        <f>IF('Données projet'!$A$88&gt;35,BD78+BC79-BL78,IF(A79&lt;'Données projet'!$A$88,$BA$205^A79,IF(A79='Données projet'!$A$88,'Données projet'!$B$88,BD78+BC79-BL78)))</f>
        <v>945.00000000000011</v>
      </c>
      <c r="BE79" s="14">
        <f>BD79*VLOOKUP('Données projet'!$B$11,Paramètres!$A$1:$I$89,3,0)*VLOOKUP('Données projet'!$B$11,Paramètres!$A$1:$I$89,5,0)</f>
        <v>417.69000000000011</v>
      </c>
      <c r="BF79" s="14">
        <f t="shared" si="91"/>
        <v>95.353958745507953</v>
      </c>
      <c r="BG79" s="22">
        <f t="shared" si="61"/>
        <v>893.55156148175968</v>
      </c>
      <c r="BH79" s="60">
        <f t="shared" si="62"/>
        <v>1186.884894815093</v>
      </c>
      <c r="BI79" s="60">
        <f ca="1">AVERAGE(OFFSET($BH$3,0,0,'Données projet'!$E$11+1,1))-AVERAGE(OFFSET($H$3,0,0,'Données projet'!$E$11+1,1))</f>
        <v>456.68544269509601</v>
      </c>
      <c r="BJ79" s="60">
        <f t="shared" si="92"/>
        <v>417.22363874931852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7.0923076923076893</v>
      </c>
      <c r="BY79" s="13">
        <f>IF('Données projet'!$A$114&gt;35,BY78+BX79-CG78,IF(A79&lt;'Données projet'!$A$114,$BV$205^A79,IF(A79='Données projet'!$A$114,'Données projet'!$B$114,BY78+BX79-CG78)))</f>
        <v>340.41538461538443</v>
      </c>
      <c r="BZ79" s="14">
        <f>BY79*VLOOKUP('Données projet'!$B$12,Paramètres!$A$1:$I$89,3,0)*VLOOKUP('Données projet'!$B$12,Paramètres!$A$1:$I$89,5,0)</f>
        <v>190.29219999999989</v>
      </c>
      <c r="CA79" s="14">
        <f t="shared" si="93"/>
        <v>47.604548343648965</v>
      </c>
      <c r="CB79" s="22">
        <f t="shared" si="64"/>
        <v>414.33683669852172</v>
      </c>
      <c r="CC79" s="60">
        <f t="shared" si="65"/>
        <v>707.67017003185504</v>
      </c>
      <c r="CD79" s="60">
        <f ca="1">AVERAGE(OFFSET($CC$3,0,0,'Données projet'!$E$12+1,1))-AVERAGE(OFFSET($H$3,0,0,'Données projet'!$E$12+1,1))</f>
        <v>234.38946271740315</v>
      </c>
      <c r="CE79" s="60">
        <f t="shared" si="94"/>
        <v>123.9494810355684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10.256331831676697</v>
      </c>
      <c r="CM79" s="23">
        <f>EXP(-LN(2)/2)*CM78+(1-EXP(-LN(2)/2))/(LN(2)/2)*CG79*CJ79*VLOOKUP('Données projet'!$B$12,Paramètres!$A$1:$I$89,3,0)*0.475*44/12</f>
        <v>2.1971869351559723E-4</v>
      </c>
      <c r="CN79" s="24">
        <f t="shared" si="66"/>
        <v>10.256551550370212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0" t="e">
        <f t="shared" si="68"/>
        <v>#N/A</v>
      </c>
      <c r="CY79" s="60" t="e">
        <f ca="1">AVERAGE(OFFSET($CX$3,0,0,'Données projet'!$E$13+1,1))-AVERAGE(OFFSET($H$3,0,0,'Données projet'!$E$13+1,1))</f>
        <v>#N/A</v>
      </c>
      <c r="CZ79" s="60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8">
        <f t="shared" si="56"/>
        <v>377.36321240284718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0">
        <f t="shared" si="55"/>
        <v>810.71794681982283</v>
      </c>
      <c r="S80" s="60">
        <f ca="1">AVERAGE(OFFSET($R$3,0,0,'Données projet'!$E$9+1,1))-AVERAGE(OFFSET($H$3,0,0,'Données projet'!$E$9+1,1))</f>
        <v>314.4389771131751</v>
      </c>
      <c r="T80" s="60">
        <f t="shared" si="88"/>
        <v>176.7239677722049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4.8</v>
      </c>
      <c r="AI80" s="14">
        <f>IF('Données projet'!$A$62&gt;35,AI79+AH80-AQ79,IF(A80&lt;'Données projet'!$A$62,$AF$205^A80,IF(A80='Données projet'!$A$62,'Données projet'!$B$62,AI79+AH80-AQ79)))</f>
        <v>191.59999999999994</v>
      </c>
      <c r="AJ80" s="14">
        <f>AI80*VLOOKUP('Données projet'!$B$10,Paramètres!$A$1:$I$89,3,0)*VLOOKUP('Données projet'!$B$10,Paramètres!$A$1:$I$89,5,0)</f>
        <v>173.35967999999994</v>
      </c>
      <c r="AK80" s="14">
        <f t="shared" si="89"/>
        <v>43.841620969901918</v>
      </c>
      <c r="AL80" s="22">
        <f t="shared" si="58"/>
        <v>378.29226585591238</v>
      </c>
      <c r="AM80" s="60">
        <f t="shared" si="59"/>
        <v>671.62559918924569</v>
      </c>
      <c r="AN80" s="60">
        <f ca="1">AVERAGE(OFFSET($AM$3,0,0,'Données projet'!$E$10+1,1))-AVERAGE(OFFSET($H$3,0,0,'Données projet'!$E$10+1,1))</f>
        <v>210.85498515082651</v>
      </c>
      <c r="AO80" s="60">
        <f t="shared" si="90"/>
        <v>76.413905647258389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7.4</v>
      </c>
      <c r="BD80" s="13">
        <f>IF('Données projet'!$A$88&gt;35,BD79+BC80-BL79,IF(A80&lt;'Données projet'!$A$88,$BA$205^A80,IF(A80='Données projet'!$A$88,'Données projet'!$B$88,BD79+BC80-BL79)))</f>
        <v>952.40000000000009</v>
      </c>
      <c r="BE80" s="14">
        <f>BD80*VLOOKUP('Données projet'!$B$11,Paramètres!$A$1:$I$89,3,0)*VLOOKUP('Données projet'!$B$11,Paramètres!$A$1:$I$89,5,0)</f>
        <v>420.96080000000006</v>
      </c>
      <c r="BF80" s="14">
        <f t="shared" si="91"/>
        <v>96.01343163706423</v>
      </c>
      <c r="BG80" s="22">
        <f t="shared" si="61"/>
        <v>900.39678676788708</v>
      </c>
      <c r="BH80" s="60">
        <f t="shared" si="62"/>
        <v>1193.7301201012203</v>
      </c>
      <c r="BI80" s="60">
        <f ca="1">AVERAGE(OFFSET($BH$3,0,0,'Données projet'!$E$11+1,1))-AVERAGE(OFFSET($H$3,0,0,'Données projet'!$E$11+1,1))</f>
        <v>456.68544269509601</v>
      </c>
      <c r="BJ80" s="60">
        <f t="shared" si="92"/>
        <v>417.22363874931852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7.0923076923076893</v>
      </c>
      <c r="BY80" s="13">
        <f>IF('Données projet'!$A$114&gt;35,BY79+BX80-CG79,IF(A80&lt;'Données projet'!$A$114,$BV$205^A80,IF(A80='Données projet'!$A$114,'Données projet'!$B$114,BY79+BX80-CG79)))</f>
        <v>347.50769230769214</v>
      </c>
      <c r="BZ80" s="14">
        <f>BY80*VLOOKUP('Données projet'!$B$12,Paramètres!$A$1:$I$89,3,0)*VLOOKUP('Données projet'!$B$12,Paramètres!$A$1:$I$89,5,0)</f>
        <v>194.25679999999991</v>
      </c>
      <c r="CA80" s="14">
        <f t="shared" si="93"/>
        <v>48.479853856428278</v>
      </c>
      <c r="CB80" s="22">
        <f t="shared" si="64"/>
        <v>422.76633879994569</v>
      </c>
      <c r="CC80" s="60">
        <f t="shared" si="65"/>
        <v>716.099672133279</v>
      </c>
      <c r="CD80" s="60">
        <f ca="1">AVERAGE(OFFSET($CC$3,0,0,'Données projet'!$E$12+1,1))-AVERAGE(OFFSET($H$3,0,0,'Données projet'!$E$12+1,1))</f>
        <v>234.38946271740315</v>
      </c>
      <c r="CE80" s="60">
        <f t="shared" si="94"/>
        <v>123.9494810355684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9.9758718983824473</v>
      </c>
      <c r="CM80" s="23">
        <f>EXP(-LN(2)/2)*CM79+(1-EXP(-LN(2)/2))/(LN(2)/2)*CG80*CJ80*VLOOKUP('Données projet'!$B$12,Paramètres!$A$1:$I$89,3,0)*0.475*44/12</f>
        <v>1.5536457813832751E-4</v>
      </c>
      <c r="CN80" s="24">
        <f t="shared" si="66"/>
        <v>9.9760272629605851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0" t="e">
        <f t="shared" si="68"/>
        <v>#N/A</v>
      </c>
      <c r="CY80" s="60" t="e">
        <f ca="1">AVERAGE(OFFSET($CX$3,0,0,'Données projet'!$E$13+1,1))-AVERAGE(OFFSET($H$3,0,0,'Données projet'!$E$13+1,1))</f>
        <v>#N/A</v>
      </c>
      <c r="CZ80" s="60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8">
        <f t="shared" si="56"/>
        <v>378.42482714988546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0">
        <f t="shared" si="55"/>
        <v>822.20588134481159</v>
      </c>
      <c r="S81" s="60">
        <f ca="1">AVERAGE(OFFSET($R$3,0,0,'Données projet'!$E$9+1,1))-AVERAGE(OFFSET($H$3,0,0,'Données projet'!$E$9+1,1))</f>
        <v>314.4389771131751</v>
      </c>
      <c r="T81" s="60">
        <f t="shared" si="88"/>
        <v>176.7239677722049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4.8</v>
      </c>
      <c r="AI81" s="14">
        <f>IF('Données projet'!$A$62&gt;35,AI80+AH81-AQ80,IF(A81&lt;'Données projet'!$A$62,$AF$205^A81,IF(A81='Données projet'!$A$62,'Données projet'!$B$62,AI80+AH81-AQ80)))</f>
        <v>196.39999999999995</v>
      </c>
      <c r="AJ81" s="14">
        <f>AI81*VLOOKUP('Données projet'!$B$10,Paramètres!$A$1:$I$89,3,0)*VLOOKUP('Données projet'!$B$10,Paramètres!$A$1:$I$89,5,0)</f>
        <v>177.70271999999994</v>
      </c>
      <c r="AK81" s="14">
        <f t="shared" si="89"/>
        <v>44.810702235717677</v>
      </c>
      <c r="AL81" s="22">
        <f t="shared" si="58"/>
        <v>387.54421039387483</v>
      </c>
      <c r="AM81" s="60">
        <f t="shared" si="59"/>
        <v>680.87754372720815</v>
      </c>
      <c r="AN81" s="60">
        <f ca="1">AVERAGE(OFFSET($AM$3,0,0,'Données projet'!$E$10+1,1))-AVERAGE(OFFSET($H$3,0,0,'Données projet'!$E$10+1,1))</f>
        <v>210.85498515082651</v>
      </c>
      <c r="AO81" s="60">
        <f t="shared" si="90"/>
        <v>76.413905647258389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7.4</v>
      </c>
      <c r="BD81" s="13">
        <f>IF('Données projet'!$A$88&gt;35,BD80+BC81-BL80,IF(A81&lt;'Données projet'!$A$88,$BA$205^A81,IF(A81='Données projet'!$A$88,'Données projet'!$B$88,BD80+BC81-BL80)))</f>
        <v>959.80000000000007</v>
      </c>
      <c r="BE81" s="14">
        <f>BD81*VLOOKUP('Données projet'!$B$11,Paramètres!$A$1:$I$89,3,0)*VLOOKUP('Données projet'!$B$11,Paramètres!$A$1:$I$89,5,0)</f>
        <v>424.23160000000007</v>
      </c>
      <c r="BF81" s="14">
        <f t="shared" si="91"/>
        <v>96.672308358084919</v>
      </c>
      <c r="BG81" s="22">
        <f t="shared" si="61"/>
        <v>907.24097372366475</v>
      </c>
      <c r="BH81" s="60">
        <f t="shared" si="62"/>
        <v>1200.5743070569981</v>
      </c>
      <c r="BI81" s="60">
        <f ca="1">AVERAGE(OFFSET($BH$3,0,0,'Données projet'!$E$11+1,1))-AVERAGE(OFFSET($H$3,0,0,'Données projet'!$E$11+1,1))</f>
        <v>456.68544269509601</v>
      </c>
      <c r="BJ81" s="60">
        <f t="shared" si="92"/>
        <v>417.22363874931852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7.0923076923076893</v>
      </c>
      <c r="BY81" s="13">
        <f>IF('Données projet'!$A$114&gt;35,BY80+BX81-CG80,IF(A81&lt;'Données projet'!$A$114,$BV$205^A81,IF(A81='Données projet'!$A$114,'Données projet'!$B$114,BY80+BX81-CG80)))</f>
        <v>354.59999999999985</v>
      </c>
      <c r="BZ81" s="14">
        <f>BY81*VLOOKUP('Données projet'!$B$12,Paramètres!$A$1:$I$89,3,0)*VLOOKUP('Données projet'!$B$12,Paramètres!$A$1:$I$89,5,0)</f>
        <v>198.2213999999999</v>
      </c>
      <c r="CA81" s="14">
        <f t="shared" si="93"/>
        <v>49.353082295516799</v>
      </c>
      <c r="CB81" s="22">
        <f t="shared" si="64"/>
        <v>431.19222333135826</v>
      </c>
      <c r="CC81" s="60">
        <f t="shared" si="65"/>
        <v>724.52555666469152</v>
      </c>
      <c r="CD81" s="60">
        <f ca="1">AVERAGE(OFFSET($CC$3,0,0,'Données projet'!$E$12+1,1))-AVERAGE(OFFSET($H$3,0,0,'Données projet'!$E$12+1,1))</f>
        <v>234.38946271740315</v>
      </c>
      <c r="CE81" s="60">
        <f t="shared" si="94"/>
        <v>123.9494810355684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9.7030811567128765</v>
      </c>
      <c r="CM81" s="23">
        <f>EXP(-LN(2)/2)*CM80+(1-EXP(-LN(2)/2))/(LN(2)/2)*CG81*CJ81*VLOOKUP('Données projet'!$B$12,Paramètres!$A$1:$I$89,3,0)*0.475*44/12</f>
        <v>1.0985934675779862E-4</v>
      </c>
      <c r="CN81" s="24">
        <f t="shared" si="66"/>
        <v>9.703191016059634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0" t="e">
        <f t="shared" si="68"/>
        <v>#N/A</v>
      </c>
      <c r="CY81" s="60" t="e">
        <f ca="1">AVERAGE(OFFSET($CX$3,0,0,'Données projet'!$E$13+1,1))-AVERAGE(OFFSET($H$3,0,0,'Données projet'!$E$13+1,1))</f>
        <v>#N/A</v>
      </c>
      <c r="CZ81" s="60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8">
        <f t="shared" si="56"/>
        <v>379.48610804888961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0">
        <f t="shared" si="55"/>
        <v>833.68856409746058</v>
      </c>
      <c r="S82" s="60">
        <f ca="1">AVERAGE(OFFSET($R$3,0,0,'Données projet'!$E$9+1,1))-AVERAGE(OFFSET($H$3,0,0,'Données projet'!$E$9+1,1))</f>
        <v>314.4389771131751</v>
      </c>
      <c r="T82" s="60">
        <f t="shared" si="88"/>
        <v>176.7239677722049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4.8</v>
      </c>
      <c r="AI82" s="14">
        <f>IF('Données projet'!$A$62&gt;35,AI81+AH82-AQ81,IF(A82&lt;'Données projet'!$A$62,$AF$205^A82,IF(A82='Données projet'!$A$62,'Données projet'!$B$62,AI81+AH82-AQ81)))</f>
        <v>201.19999999999996</v>
      </c>
      <c r="AJ82" s="14">
        <f>AI82*VLOOKUP('Données projet'!$B$10,Paramètres!$A$1:$I$89,3,0)*VLOOKUP('Données projet'!$B$10,Paramètres!$A$1:$I$89,5,0)</f>
        <v>182.04575999999994</v>
      </c>
      <c r="AK82" s="14">
        <f t="shared" si="89"/>
        <v>45.777030280798314</v>
      </c>
      <c r="AL82" s="22">
        <f t="shared" si="58"/>
        <v>396.79135973905687</v>
      </c>
      <c r="AM82" s="60">
        <f t="shared" si="59"/>
        <v>690.12469307239019</v>
      </c>
      <c r="AN82" s="60">
        <f ca="1">AVERAGE(OFFSET($AM$3,0,0,'Données projet'!$E$10+1,1))-AVERAGE(OFFSET($H$3,0,0,'Données projet'!$E$10+1,1))</f>
        <v>210.85498515082651</v>
      </c>
      <c r="AO82" s="60">
        <f t="shared" si="90"/>
        <v>76.413905647258389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7.4</v>
      </c>
      <c r="BD82" s="13">
        <f>IF('Données projet'!$A$88&gt;35,BD81+BC82-BL81,IF(A82&lt;'Données projet'!$A$88,$BA$205^A82,IF(A82='Données projet'!$A$88,'Données projet'!$B$88,BD81+BC82-BL81)))</f>
        <v>967.2</v>
      </c>
      <c r="BE82" s="14">
        <f>BD82*VLOOKUP('Données projet'!$B$11,Paramètres!$A$1:$I$89,3,0)*VLOOKUP('Données projet'!$B$11,Paramètres!$A$1:$I$89,5,0)</f>
        <v>427.50240000000002</v>
      </c>
      <c r="BF82" s="14">
        <f t="shared" si="91"/>
        <v>97.330594037834587</v>
      </c>
      <c r="BG82" s="22">
        <f t="shared" si="61"/>
        <v>914.084131282562</v>
      </c>
      <c r="BH82" s="60">
        <f t="shared" si="62"/>
        <v>1207.4174646158954</v>
      </c>
      <c r="BI82" s="60">
        <f ca="1">AVERAGE(OFFSET($BH$3,0,0,'Données projet'!$E$11+1,1))-AVERAGE(OFFSET($H$3,0,0,'Données projet'!$E$11+1,1))</f>
        <v>456.68544269509601</v>
      </c>
      <c r="BJ82" s="60">
        <f t="shared" si="92"/>
        <v>417.22363874931852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7.0923076923076893</v>
      </c>
      <c r="BY82" s="13">
        <f>IF('Données projet'!$A$114&gt;35,BY81+BX82-CG81,IF(A82&lt;'Données projet'!$A$114,$BV$205^A82,IF(A82='Données projet'!$A$114,'Données projet'!$B$114,BY81+BX82-CG81)))</f>
        <v>361.69230769230757</v>
      </c>
      <c r="BZ82" s="14">
        <f>BY82*VLOOKUP('Données projet'!$B$12,Paramètres!$A$1:$I$89,3,0)*VLOOKUP('Données projet'!$B$12,Paramètres!$A$1:$I$89,5,0)</f>
        <v>202.18599999999995</v>
      </c>
      <c r="CA82" s="14">
        <f t="shared" si="93"/>
        <v>50.224279992116678</v>
      </c>
      <c r="CB82" s="22">
        <f t="shared" si="64"/>
        <v>439.61457098626971</v>
      </c>
      <c r="CC82" s="60">
        <f t="shared" si="65"/>
        <v>732.94790431960303</v>
      </c>
      <c r="CD82" s="60">
        <f ca="1">AVERAGE(OFFSET($CC$3,0,0,'Données projet'!$E$12+1,1))-AVERAGE(OFFSET($H$3,0,0,'Données projet'!$E$12+1,1))</f>
        <v>234.38946271740315</v>
      </c>
      <c r="CE82" s="60">
        <f t="shared" si="94"/>
        <v>123.9494810355684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9.437749892219701</v>
      </c>
      <c r="CM82" s="23">
        <f>EXP(-LN(2)/2)*CM81+(1-EXP(-LN(2)/2))/(LN(2)/2)*CG82*CJ82*VLOOKUP('Données projet'!$B$12,Paramètres!$A$1:$I$89,3,0)*0.475*44/12</f>
        <v>7.7682289069163753E-5</v>
      </c>
      <c r="CN82" s="24">
        <f t="shared" si="66"/>
        <v>9.4378275745087699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0" t="e">
        <f t="shared" si="68"/>
        <v>#N/A</v>
      </c>
      <c r="CY82" s="60" t="e">
        <f ca="1">AVERAGE(OFFSET($CX$3,0,0,'Données projet'!$E$13+1,1))-AVERAGE(OFFSET($H$3,0,0,'Données projet'!$E$13+1,1))</f>
        <v>#N/A</v>
      </c>
      <c r="CZ82" s="60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8">
        <f t="shared" si="56"/>
        <v>380.54705981446097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0">
        <f t="shared" si="55"/>
        <v>845.16612239513029</v>
      </c>
      <c r="S83" s="60">
        <f ca="1">AVERAGE(OFFSET($R$3,0,0,'Données projet'!$E$9+1,1))-AVERAGE(OFFSET($H$3,0,0,'Données projet'!$E$9+1,1))</f>
        <v>314.4389771131751</v>
      </c>
      <c r="T83" s="60">
        <f t="shared" si="88"/>
        <v>176.7239677722049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206</v>
      </c>
      <c r="AG83" s="13">
        <f>VLOOKUP(A83,'Données projet'!$A$61:$I$81,9,0)</f>
        <v>4.8</v>
      </c>
      <c r="AH83" s="13">
        <f t="array" ref="AH83">INDEX(AG:AG,MIN(IF(ISNUMBER(AG83:AG279),ROW(AG83:AG279),"")))</f>
        <v>4.8</v>
      </c>
      <c r="AI83" s="14">
        <f>IF('Données projet'!$A$62&gt;35,AI82+AH83-AQ82,IF(A83&lt;'Données projet'!$A$62,$AF$205^A83,IF(A83='Données projet'!$A$62,'Données projet'!$B$62,AI82+AH83-AQ82)))</f>
        <v>205.99999999999997</v>
      </c>
      <c r="AJ83" s="14">
        <f>AI83*VLOOKUP('Données projet'!$B$10,Paramètres!$A$1:$I$89,3,0)*VLOOKUP('Données projet'!$B$10,Paramètres!$A$1:$I$89,5,0)</f>
        <v>186.38879999999997</v>
      </c>
      <c r="AK83" s="14">
        <f t="shared" si="89"/>
        <v>46.740678346193498</v>
      </c>
      <c r="AL83" s="22">
        <f t="shared" si="58"/>
        <v>406.0338414529536</v>
      </c>
      <c r="AM83" s="60">
        <f t="shared" si="59"/>
        <v>699.36717478628691</v>
      </c>
      <c r="AN83" s="60">
        <f ca="1">AVERAGE(OFFSET($AM$3,0,0,'Données projet'!$E$10+1,1))-AVERAGE(OFFSET($H$3,0,0,'Données projet'!$E$10+1,1))</f>
        <v>210.85498515082651</v>
      </c>
      <c r="AO83" s="60">
        <f t="shared" si="90"/>
        <v>76.413905647258389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7.4</v>
      </c>
      <c r="BD83" s="13">
        <f>IF('Données projet'!$A$88&gt;35,BD82+BC83-BL82,IF(A83&lt;'Données projet'!$A$88,$BA$205^A83,IF(A83='Données projet'!$A$88,'Données projet'!$B$88,BD82+BC83-BL82)))</f>
        <v>974.6</v>
      </c>
      <c r="BE83" s="14">
        <f>BD83*VLOOKUP('Données projet'!$B$11,Paramètres!$A$1:$I$89,3,0)*VLOOKUP('Données projet'!$B$11,Paramètres!$A$1:$I$89,5,0)</f>
        <v>430.77320000000003</v>
      </c>
      <c r="BF83" s="14">
        <f t="shared" si="91"/>
        <v>97.988293722556548</v>
      </c>
      <c r="BG83" s="22">
        <f t="shared" si="61"/>
        <v>920.92626823345256</v>
      </c>
      <c r="BH83" s="60">
        <f t="shared" si="62"/>
        <v>1214.2596015667859</v>
      </c>
      <c r="BI83" s="60">
        <f ca="1">AVERAGE(OFFSET($BH$3,0,0,'Données projet'!$E$11+1,1))-AVERAGE(OFFSET($H$3,0,0,'Données projet'!$E$11+1,1))</f>
        <v>456.68544269509601</v>
      </c>
      <c r="BJ83" s="60">
        <f t="shared" si="92"/>
        <v>417.22363874931852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7.0923076923076893</v>
      </c>
      <c r="BY83" s="13">
        <f>IF('Données projet'!$A$114&gt;35,BY82+BX83-CG82,IF(A83&lt;'Données projet'!$A$114,$BV$205^A83,IF(A83='Données projet'!$A$114,'Données projet'!$B$114,BY82+BX83-CG82)))</f>
        <v>368.78461538461528</v>
      </c>
      <c r="BZ83" s="14">
        <f>BY83*VLOOKUP('Données projet'!$B$12,Paramètres!$A$1:$I$89,3,0)*VLOOKUP('Données projet'!$B$12,Paramètres!$A$1:$I$89,5,0)</f>
        <v>206.15059999999994</v>
      </c>
      <c r="CA83" s="14">
        <f t="shared" si="93"/>
        <v>51.093491356518122</v>
      </c>
      <c r="CB83" s="22">
        <f t="shared" si="64"/>
        <v>448.03345911260226</v>
      </c>
      <c r="CC83" s="60">
        <f t="shared" si="65"/>
        <v>741.36679244593552</v>
      </c>
      <c r="CD83" s="60">
        <f ca="1">AVERAGE(OFFSET($CC$3,0,0,'Données projet'!$E$12+1,1))-AVERAGE(OFFSET($H$3,0,0,'Données projet'!$E$12+1,1))</f>
        <v>234.38946271740315</v>
      </c>
      <c r="CE83" s="60">
        <f t="shared" si="94"/>
        <v>123.9494810355684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9.1796741251072564</v>
      </c>
      <c r="CM83" s="23">
        <f>EXP(-LN(2)/2)*CM82+(1-EXP(-LN(2)/2))/(LN(2)/2)*CG83*CJ83*VLOOKUP('Données projet'!$B$12,Paramètres!$A$1:$I$89,3,0)*0.475*44/12</f>
        <v>5.4929673378899308E-5</v>
      </c>
      <c r="CN83" s="24">
        <f t="shared" si="66"/>
        <v>9.1797290547806352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0" t="e">
        <f t="shared" si="68"/>
        <v>#N/A</v>
      </c>
      <c r="CY83" s="60" t="e">
        <f ca="1">AVERAGE(OFFSET($CX$3,0,0,'Données projet'!$E$13+1,1))-AVERAGE(OFFSET($H$3,0,0,'Données projet'!$E$13+1,1))</f>
        <v>#N/A</v>
      </c>
      <c r="CZ83" s="60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8">
        <f t="shared" si="56"/>
        <v>381.60768703655714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0">
        <f t="shared" si="55"/>
        <v>775.45409146701161</v>
      </c>
      <c r="S84" s="60">
        <f ca="1">AVERAGE(OFFSET($R$3,0,0,'Données projet'!$E$9+1,1))-AVERAGE(OFFSET($H$3,0,0,'Données projet'!$E$9+1,1))</f>
        <v>314.4389771131751</v>
      </c>
      <c r="T84" s="60">
        <f t="shared" si="88"/>
        <v>176.7239677722049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4.3</v>
      </c>
      <c r="AI84" s="14">
        <f>IF('Données projet'!$A$62&gt;35,AI83+AH84-AQ83,IF(A84&lt;'Données projet'!$A$62,$AF$205^A84,IF(A84='Données projet'!$A$62,'Données projet'!$B$62,AI83+AH84-AQ83)))</f>
        <v>182.29999999999998</v>
      </c>
      <c r="AJ84" s="14">
        <f>AI84*VLOOKUP('Données projet'!$B$10,Paramètres!$A$1:$I$89,3,0)*VLOOKUP('Données projet'!$B$10,Paramètres!$A$1:$I$89,5,0)</f>
        <v>164.94503999999998</v>
      </c>
      <c r="AK84" s="14">
        <f t="shared" si="89"/>
        <v>41.955899409919233</v>
      </c>
      <c r="AL84" s="22">
        <f t="shared" si="58"/>
        <v>360.35246947227597</v>
      </c>
      <c r="AM84" s="60">
        <f t="shared" si="59"/>
        <v>653.68580280560923</v>
      </c>
      <c r="AN84" s="60">
        <f ca="1">AVERAGE(OFFSET($AM$3,0,0,'Données projet'!$E$10+1,1))-AVERAGE(OFFSET($H$3,0,0,'Données projet'!$E$10+1,1))</f>
        <v>210.85498515082651</v>
      </c>
      <c r="AO84" s="60">
        <f t="shared" si="90"/>
        <v>76.413905647258389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>
        <f>VLOOKUP(A84,'Données projet'!$A$87:$I$107,2,0)</f>
        <v>982</v>
      </c>
      <c r="BB84" s="13">
        <f>VLOOKUP(A84,'Données projet'!$A$87:$I$107,9,0)</f>
        <v>7.4</v>
      </c>
      <c r="BC84" s="13">
        <f t="array" ref="BC84">INDEX(BB:BB,MIN(IF(ISNUMBER(BB84:BB280),ROW(BB84:BB280),"")))</f>
        <v>7.4</v>
      </c>
      <c r="BD84" s="13">
        <f>IF('Données projet'!$A$88&gt;35,BD83+BC84-BL83,IF(A84&lt;'Données projet'!$A$88,$BA$205^A84,IF(A84='Données projet'!$A$88,'Données projet'!$B$88,BD83+BC84-BL83)))</f>
        <v>982</v>
      </c>
      <c r="BE84" s="14">
        <f>BD84*VLOOKUP('Données projet'!$B$11,Paramètres!$A$1:$I$89,3,0)*VLOOKUP('Données projet'!$B$11,Paramètres!$A$1:$I$89,5,0)</f>
        <v>434.0440000000001</v>
      </c>
      <c r="BF84" s="14">
        <f t="shared" si="91"/>
        <v>98.645412377437069</v>
      </c>
      <c r="BG84" s="22">
        <f t="shared" si="61"/>
        <v>927.76739322403637</v>
      </c>
      <c r="BH84" s="60">
        <f t="shared" si="62"/>
        <v>1221.1007265573696</v>
      </c>
      <c r="BI84" s="60">
        <f ca="1">AVERAGE(OFFSET($BH$3,0,0,'Données projet'!$E$11+1,1))-AVERAGE(OFFSET($H$3,0,0,'Données projet'!$E$11+1,1))</f>
        <v>456.68544269509601</v>
      </c>
      <c r="BJ84" s="60">
        <f t="shared" si="92"/>
        <v>417.22363874931852</v>
      </c>
      <c r="BK84" s="16">
        <f>IF(ISNA(VLOOKUP(A84,'Données projet'!$A$87:$I$107,3,0)),0,VLOOKUP(A84,'Données projet'!$A$87:$I$107,3,0))</f>
        <v>7</v>
      </c>
      <c r="BL84" s="16">
        <f>IF(ISNA(VLOOKUP(A84,'Données projet'!$A$87:$I$107,4,0)),0,VLOOKUP(A84,'Données projet'!$A$87:$I$107,4,0))</f>
        <v>982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7.0923076923076893</v>
      </c>
      <c r="BY84" s="13">
        <f>IF('Données projet'!$A$114&gt;35,BY83+BX84-CG83,IF(A84&lt;'Données projet'!$A$114,$BV$205^A84,IF(A84='Données projet'!$A$114,'Données projet'!$B$114,BY83+BX84-CG83)))</f>
        <v>375.87692307692299</v>
      </c>
      <c r="BZ84" s="14">
        <f>BY84*VLOOKUP('Données projet'!$B$12,Paramètres!$A$1:$I$89,3,0)*VLOOKUP('Données projet'!$B$12,Paramètres!$A$1:$I$89,5,0)</f>
        <v>210.11519999999996</v>
      </c>
      <c r="CA84" s="14">
        <f t="shared" si="93"/>
        <v>51.960758993124898</v>
      </c>
      <c r="CB84" s="22">
        <f t="shared" si="64"/>
        <v>456.4489619130257</v>
      </c>
      <c r="CC84" s="60">
        <f t="shared" si="65"/>
        <v>749.78229524635901</v>
      </c>
      <c r="CD84" s="60">
        <f ca="1">AVERAGE(OFFSET($CC$3,0,0,'Données projet'!$E$12+1,1))-AVERAGE(OFFSET($H$3,0,0,'Données projet'!$E$12+1,1))</f>
        <v>234.38946271740315</v>
      </c>
      <c r="CE84" s="60">
        <f t="shared" si="94"/>
        <v>123.9494810355684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8.9286554534181164</v>
      </c>
      <c r="CM84" s="23">
        <f>EXP(-LN(2)/2)*CM83+(1-EXP(-LN(2)/2))/(LN(2)/2)*CG84*CJ84*VLOOKUP('Données projet'!$B$12,Paramètres!$A$1:$I$89,3,0)*0.475*44/12</f>
        <v>3.8841144534581877E-5</v>
      </c>
      <c r="CN84" s="24">
        <f t="shared" si="66"/>
        <v>8.9286942945626517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0" t="e">
        <f t="shared" si="68"/>
        <v>#N/A</v>
      </c>
      <c r="CY84" s="60" t="e">
        <f ca="1">AVERAGE(OFFSET($CX$3,0,0,'Données projet'!$E$13+1,1))-AVERAGE(OFFSET($H$3,0,0,'Données projet'!$E$13+1,1))</f>
        <v>#N/A</v>
      </c>
      <c r="CZ84" s="60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8">
        <f t="shared" si="56"/>
        <v>382.66799418528461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0">
        <f t="shared" si="55"/>
        <v>786.19217745579931</v>
      </c>
      <c r="S85" s="60">
        <f ca="1">AVERAGE(OFFSET($R$3,0,0,'Données projet'!$E$9+1,1))-AVERAGE(OFFSET($H$3,0,0,'Données projet'!$E$9+1,1))</f>
        <v>314.4389771131751</v>
      </c>
      <c r="T85" s="60">
        <f t="shared" si="88"/>
        <v>176.7239677722049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4.3</v>
      </c>
      <c r="AI85" s="14">
        <f>IF('Données projet'!$A$62&gt;35,AI84+AH85-AQ84,IF(A85&lt;'Données projet'!$A$62,$AF$205^A85,IF(A85='Données projet'!$A$62,'Données projet'!$B$62,AI84+AH85-AQ84)))</f>
        <v>186.6</v>
      </c>
      <c r="AJ85" s="14">
        <f>AI85*VLOOKUP('Données projet'!$B$10,Paramètres!$A$1:$I$89,3,0)*VLOOKUP('Données projet'!$B$10,Paramètres!$A$1:$I$89,5,0)</f>
        <v>168.83568</v>
      </c>
      <c r="AK85" s="14">
        <f t="shared" si="89"/>
        <v>42.829150426593394</v>
      </c>
      <c r="AL85" s="22">
        <f t="shared" si="58"/>
        <v>368.6495796596501</v>
      </c>
      <c r="AM85" s="60">
        <f t="shared" si="59"/>
        <v>661.98291299298342</v>
      </c>
      <c r="AN85" s="60">
        <f ca="1">AVERAGE(OFFSET($AM$3,0,0,'Données projet'!$E$10+1,1))-AVERAGE(OFFSET($H$3,0,0,'Données projet'!$E$10+1,1))</f>
        <v>210.85498515082651</v>
      </c>
      <c r="AO85" s="60">
        <f t="shared" si="90"/>
        <v>76.413905647258389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456.68544269509601</v>
      </c>
      <c r="BJ85" s="60">
        <f t="shared" si="92"/>
        <v>417.22363874931852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7.0923076923076893</v>
      </c>
      <c r="BY85" s="13">
        <f>IF('Données projet'!$A$114&gt;35,BY84+BX85-CG84,IF(A85&lt;'Données projet'!$A$114,$BV$205^A85,IF(A85='Données projet'!$A$114,'Données projet'!$B$114,BY84+BX85-CG84)))</f>
        <v>382.96923076923071</v>
      </c>
      <c r="BZ85" s="14">
        <f>BY85*VLOOKUP('Données projet'!$B$12,Paramètres!$A$1:$I$89,3,0)*VLOOKUP('Données projet'!$B$12,Paramètres!$A$1:$I$89,5,0)</f>
        <v>214.07979999999995</v>
      </c>
      <c r="CA85" s="14">
        <f t="shared" si="93"/>
        <v>52.826123806553717</v>
      </c>
      <c r="CB85" s="22">
        <f t="shared" si="64"/>
        <v>464.86115062974767</v>
      </c>
      <c r="CC85" s="60">
        <f t="shared" si="65"/>
        <v>758.19448396308098</v>
      </c>
      <c r="CD85" s="60">
        <f ca="1">AVERAGE(OFFSET($CC$3,0,0,'Données projet'!$E$12+1,1))-AVERAGE(OFFSET($H$3,0,0,'Données projet'!$E$12+1,1))</f>
        <v>234.38946271740315</v>
      </c>
      <c r="CE85" s="60">
        <f t="shared" si="94"/>
        <v>123.9494810355684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8.6845009005068139</v>
      </c>
      <c r="CM85" s="23">
        <f>EXP(-LN(2)/2)*CM84+(1-EXP(-LN(2)/2))/(LN(2)/2)*CG85*CJ85*VLOOKUP('Données projet'!$B$12,Paramètres!$A$1:$I$89,3,0)*0.475*44/12</f>
        <v>2.7464836689449654E-5</v>
      </c>
      <c r="CN85" s="24">
        <f t="shared" si="66"/>
        <v>8.6845283653435033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0" t="e">
        <f t="shared" si="68"/>
        <v>#N/A</v>
      </c>
      <c r="CY85" s="60" t="e">
        <f ca="1">AVERAGE(OFFSET($CX$3,0,0,'Données projet'!$E$13+1,1))-AVERAGE(OFFSET($H$3,0,0,'Données projet'!$E$13+1,1))</f>
        <v>#N/A</v>
      </c>
      <c r="CZ85" s="60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8">
        <f t="shared" si="56"/>
        <v>383.7279856154509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0">
        <f t="shared" si="55"/>
        <v>796.92530469359974</v>
      </c>
      <c r="S86" s="60">
        <f ca="1">AVERAGE(OFFSET($R$3,0,0,'Données projet'!$E$9+1,1))-AVERAGE(OFFSET($H$3,0,0,'Données projet'!$E$9+1,1))</f>
        <v>314.4389771131751</v>
      </c>
      <c r="T86" s="60">
        <f t="shared" si="88"/>
        <v>176.7239677722049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4.3</v>
      </c>
      <c r="AI86" s="14">
        <f>IF('Données projet'!$A$62&gt;35,AI85+AH86-AQ85,IF(A86&lt;'Données projet'!$A$62,$AF$205^A86,IF(A86='Données projet'!$A$62,'Données projet'!$B$62,AI85+AH86-AQ85)))</f>
        <v>190.9</v>
      </c>
      <c r="AJ86" s="14">
        <f>AI86*VLOOKUP('Données projet'!$B$10,Paramètres!$A$1:$I$89,3,0)*VLOOKUP('Données projet'!$B$10,Paramètres!$A$1:$I$89,5,0)</f>
        <v>172.72631999999999</v>
      </c>
      <c r="AK86" s="14">
        <f t="shared" si="89"/>
        <v>43.700062028669137</v>
      </c>
      <c r="AL86" s="22">
        <f t="shared" si="58"/>
        <v>376.94261536659877</v>
      </c>
      <c r="AM86" s="60">
        <f t="shared" si="59"/>
        <v>670.27594869993209</v>
      </c>
      <c r="AN86" s="60">
        <f ca="1">AVERAGE(OFFSET($AM$3,0,0,'Données projet'!$E$10+1,1))-AVERAGE(OFFSET($H$3,0,0,'Données projet'!$E$10+1,1))</f>
        <v>210.85498515082651</v>
      </c>
      <c r="AO86" s="60">
        <f t="shared" si="90"/>
        <v>76.413905647258389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456.68544269509601</v>
      </c>
      <c r="BJ86" s="60">
        <f t="shared" si="92"/>
        <v>417.22363874931852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7.0923076923076893</v>
      </c>
      <c r="BY86" s="13">
        <f>IF('Données projet'!$A$114&gt;35,BY85+BX86-CG85,IF(A86&lt;'Données projet'!$A$114,$BV$205^A86,IF(A86='Données projet'!$A$114,'Données projet'!$B$114,BY85+BX86-CG85)))</f>
        <v>390.06153846153842</v>
      </c>
      <c r="BZ86" s="14">
        <f>BY86*VLOOKUP('Données projet'!$B$12,Paramètres!$A$1:$I$89,3,0)*VLOOKUP('Données projet'!$B$12,Paramètres!$A$1:$I$89,5,0)</f>
        <v>218.04439999999997</v>
      </c>
      <c r="CA86" s="14">
        <f t="shared" si="93"/>
        <v>53.689625099651543</v>
      </c>
      <c r="CB86" s="22">
        <f t="shared" si="64"/>
        <v>473.27009371522632</v>
      </c>
      <c r="CC86" s="60">
        <f t="shared" si="65"/>
        <v>766.60342704855964</v>
      </c>
      <c r="CD86" s="60">
        <f ca="1">AVERAGE(OFFSET($CC$3,0,0,'Données projet'!$E$12+1,1))-AVERAGE(OFFSET($H$3,0,0,'Données projet'!$E$12+1,1))</f>
        <v>234.38946271740315</v>
      </c>
      <c r="CE86" s="60">
        <f t="shared" si="94"/>
        <v>123.9494810355684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8.4470227666844018</v>
      </c>
      <c r="CM86" s="23">
        <f>EXP(-LN(2)/2)*CM85+(1-EXP(-LN(2)/2))/(LN(2)/2)*CG86*CJ86*VLOOKUP('Données projet'!$B$12,Paramètres!$A$1:$I$89,3,0)*0.475*44/12</f>
        <v>1.9420572267290938E-5</v>
      </c>
      <c r="CN86" s="24">
        <f t="shared" si="66"/>
        <v>8.4470421872566686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0" t="e">
        <f t="shared" si="68"/>
        <v>#N/A</v>
      </c>
      <c r="CY86" s="60" t="e">
        <f ca="1">AVERAGE(OFFSET($CX$3,0,0,'Données projet'!$E$13+1,1))-AVERAGE(OFFSET($H$3,0,0,'Données projet'!$E$13+1,1))</f>
        <v>#N/A</v>
      </c>
      <c r="CZ86" s="60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8">
        <f t="shared" si="56"/>
        <v>384.78766557089091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0">
        <f t="shared" si="55"/>
        <v>807.65359376827541</v>
      </c>
      <c r="S87" s="60">
        <f ca="1">AVERAGE(OFFSET($R$3,0,0,'Données projet'!$E$9+1,1))-AVERAGE(OFFSET($H$3,0,0,'Données projet'!$E$9+1,1))</f>
        <v>314.4389771131751</v>
      </c>
      <c r="T87" s="60">
        <f t="shared" si="88"/>
        <v>176.7239677722049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4.3</v>
      </c>
      <c r="AI87" s="14">
        <f>IF('Données projet'!$A$62&gt;35,AI86+AH87-AQ86,IF(A87&lt;'Données projet'!$A$62,$AF$205^A87,IF(A87='Données projet'!$A$62,'Données projet'!$B$62,AI86+AH87-AQ86)))</f>
        <v>195.20000000000002</v>
      </c>
      <c r="AJ87" s="14">
        <f>AI87*VLOOKUP('Données projet'!$B$10,Paramètres!$A$1:$I$89,3,0)*VLOOKUP('Données projet'!$B$10,Paramètres!$A$1:$I$89,5,0)</f>
        <v>176.61696000000001</v>
      </c>
      <c r="AK87" s="14">
        <f t="shared" si="89"/>
        <v>44.56869297787356</v>
      </c>
      <c r="AL87" s="22">
        <f t="shared" si="58"/>
        <v>385.23167893646314</v>
      </c>
      <c r="AM87" s="60">
        <f t="shared" si="59"/>
        <v>678.5650122697964</v>
      </c>
      <c r="AN87" s="60">
        <f ca="1">AVERAGE(OFFSET($AM$3,0,0,'Données projet'!$E$10+1,1))-AVERAGE(OFFSET($H$3,0,0,'Données projet'!$E$10+1,1))</f>
        <v>210.85498515082651</v>
      </c>
      <c r="AO87" s="60">
        <f t="shared" si="90"/>
        <v>76.413905647258389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456.68544269509601</v>
      </c>
      <c r="BJ87" s="60">
        <f t="shared" si="92"/>
        <v>417.22363874931852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>
        <f>VLOOKUP(A87,'Données projet'!$A$113:$I$133,2,0)</f>
        <v>397.15384615384613</v>
      </c>
      <c r="BW87" s="13">
        <f>VLOOKUP(A87,'Données projet'!$A$113:$I$133,9,0)</f>
        <v>7.0923076923076893</v>
      </c>
      <c r="BX87" s="13">
        <f t="array" ref="BX87">INDEX(BW:BW,MIN(IF(ISNUMBER(BW87:BW283),ROW(BW87:BW283),"")))</f>
        <v>7.0923076923076893</v>
      </c>
      <c r="BY87" s="13">
        <f>IF('Données projet'!$A$114&gt;35,BY86+BX87-CG86,IF(A87&lt;'Données projet'!$A$114,$BV$205^A87,IF(A87='Données projet'!$A$114,'Données projet'!$B$114,BY86+BX87-CG86)))</f>
        <v>397.15384615384613</v>
      </c>
      <c r="BZ87" s="14">
        <f>BY87*VLOOKUP('Données projet'!$B$12,Paramètres!$A$1:$I$89,3,0)*VLOOKUP('Données projet'!$B$12,Paramètres!$A$1:$I$89,5,0)</f>
        <v>222.00900000000001</v>
      </c>
      <c r="CA87" s="14">
        <f t="shared" si="93"/>
        <v>54.551300664182143</v>
      </c>
      <c r="CB87" s="22">
        <f t="shared" si="64"/>
        <v>481.67585699011721</v>
      </c>
      <c r="CC87" s="60">
        <f t="shared" si="65"/>
        <v>775.00919032345053</v>
      </c>
      <c r="CD87" s="60">
        <f ca="1">AVERAGE(OFFSET($CC$3,0,0,'Données projet'!$E$12+1,1))-AVERAGE(OFFSET($H$3,0,0,'Données projet'!$E$12+1,1))</f>
        <v>234.38946271740315</v>
      </c>
      <c r="CE87" s="60">
        <f t="shared" si="94"/>
        <v>123.9494810355684</v>
      </c>
      <c r="CF87" s="16">
        <f>IF(ISNA(VLOOKUP(A87,'Données projet'!$A$113:$I$133,3,0)),0,VLOOKUP(A87,'Données projet'!$A$113:$I$133,3,0))</f>
        <v>6</v>
      </c>
      <c r="CG87" s="16">
        <f>IF(ISNA(VLOOKUP(A87,'Données projet'!$A$113:$I$133,4,0)),0,VLOOKUP(A87,'Données projet'!$A$113:$I$133,4,0))</f>
        <v>56.592307692307685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8.216038484919796</v>
      </c>
      <c r="CM87" s="23">
        <f>EXP(-LN(2)/2)*CM86+(1-EXP(-LN(2)/2))/(LN(2)/2)*CG87*CJ87*VLOOKUP('Données projet'!$B$12,Paramètres!$A$1:$I$89,3,0)*0.475*44/12</f>
        <v>1.3732418344724827E-5</v>
      </c>
      <c r="CN87" s="24">
        <f t="shared" si="66"/>
        <v>8.2160522173381416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0" t="e">
        <f t="shared" si="68"/>
        <v>#N/A</v>
      </c>
      <c r="CY87" s="60" t="e">
        <f ca="1">AVERAGE(OFFSET($CX$3,0,0,'Données projet'!$E$13+1,1))-AVERAGE(OFFSET($H$3,0,0,'Données projet'!$E$13+1,1))</f>
        <v>#N/A</v>
      </c>
      <c r="CZ87" s="60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8">
        <f t="shared" si="56"/>
        <v>385.84703818858173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0">
        <f t="shared" si="55"/>
        <v>818.37715982660688</v>
      </c>
      <c r="S88" s="60">
        <f ca="1">AVERAGE(OFFSET($R$3,0,0,'Données projet'!$E$9+1,1))-AVERAGE(OFFSET($H$3,0,0,'Données projet'!$E$9+1,1))</f>
        <v>314.4389771131751</v>
      </c>
      <c r="T88" s="60">
        <f t="shared" si="88"/>
        <v>176.7239677722049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4.3</v>
      </c>
      <c r="AI88" s="14">
        <f>IF('Données projet'!$A$62&gt;35,AI87+AH88-AQ87,IF(A88&lt;'Données projet'!$A$62,$AF$205^A88,IF(A88='Données projet'!$A$62,'Données projet'!$B$62,AI87+AH88-AQ87)))</f>
        <v>199.50000000000003</v>
      </c>
      <c r="AJ88" s="14">
        <f>AI88*VLOOKUP('Données projet'!$B$10,Paramètres!$A$1:$I$89,3,0)*VLOOKUP('Données projet'!$B$10,Paramètres!$A$1:$I$89,5,0)</f>
        <v>180.50760000000002</v>
      </c>
      <c r="AK88" s="14">
        <f t="shared" si="89"/>
        <v>45.435099299216873</v>
      </c>
      <c r="AL88" s="22">
        <f t="shared" si="58"/>
        <v>393.51686794613602</v>
      </c>
      <c r="AM88" s="60">
        <f t="shared" si="59"/>
        <v>686.85020127946927</v>
      </c>
      <c r="AN88" s="60">
        <f ca="1">AVERAGE(OFFSET($AM$3,0,0,'Données projet'!$E$10+1,1))-AVERAGE(OFFSET($H$3,0,0,'Données projet'!$E$10+1,1))</f>
        <v>210.85498515082651</v>
      </c>
      <c r="AO88" s="60">
        <f t="shared" si="90"/>
        <v>76.413905647258389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456.68544269509601</v>
      </c>
      <c r="BJ88" s="60">
        <f t="shared" si="92"/>
        <v>417.22363874931852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5.6987179487179462</v>
      </c>
      <c r="BY88" s="13">
        <f>IF('Données projet'!$A$114&gt;35,BY87+BX88-CG87,IF(A88&lt;'Données projet'!$A$114,$BV$205^A88,IF(A88='Données projet'!$A$114,'Données projet'!$B$114,BY87+BX88-CG87)))</f>
        <v>346.26025641025637</v>
      </c>
      <c r="BZ88" s="14">
        <f>BY88*VLOOKUP('Données projet'!$B$12,Paramètres!$A$1:$I$89,3,0)*VLOOKUP('Données projet'!$B$12,Paramètres!$A$1:$I$89,5,0)</f>
        <v>193.5594833333333</v>
      </c>
      <c r="CA88" s="14">
        <f t="shared" si="93"/>
        <v>48.326051967828313</v>
      </c>
      <c r="CB88" s="22">
        <f t="shared" si="64"/>
        <v>421.28397398285648</v>
      </c>
      <c r="CC88" s="60">
        <f t="shared" si="65"/>
        <v>714.61730731618979</v>
      </c>
      <c r="CD88" s="60">
        <f ca="1">AVERAGE(OFFSET($CC$3,0,0,'Données projet'!$E$12+1,1))-AVERAGE(OFFSET($H$3,0,0,'Données projet'!$E$12+1,1))</f>
        <v>234.38946271740315</v>
      </c>
      <c r="CE88" s="60">
        <f t="shared" si="94"/>
        <v>123.9494810355684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7.9913704804869781</v>
      </c>
      <c r="CM88" s="23">
        <f>EXP(-LN(2)/2)*CM87+(1-EXP(-LN(2)/2))/(LN(2)/2)*CG88*CJ88*VLOOKUP('Données projet'!$B$12,Paramètres!$A$1:$I$89,3,0)*0.475*44/12</f>
        <v>9.7102861336454692E-6</v>
      </c>
      <c r="CN88" s="24">
        <f t="shared" si="66"/>
        <v>7.9913801907731115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0" t="e">
        <f t="shared" si="68"/>
        <v>#N/A</v>
      </c>
      <c r="CY88" s="60" t="e">
        <f ca="1">AVERAGE(OFFSET($CX$3,0,0,'Données projet'!$E$13+1,1))-AVERAGE(OFFSET($H$3,0,0,'Données projet'!$E$13+1,1))</f>
        <v>#N/A</v>
      </c>
      <c r="CZ88" s="60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8">
        <f t="shared" si="56"/>
        <v>386.90610750255792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0">
        <f t="shared" si="55"/>
        <v>829.09611292828231</v>
      </c>
      <c r="S89" s="60">
        <f ca="1">AVERAGE(OFFSET($R$3,0,0,'Données projet'!$E$9+1,1))-AVERAGE(OFFSET($H$3,0,0,'Données projet'!$E$9+1,1))</f>
        <v>314.4389771131751</v>
      </c>
      <c r="T89" s="60">
        <f t="shared" si="88"/>
        <v>176.7239677722049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4.3</v>
      </c>
      <c r="AI89" s="14">
        <f>IF('Données projet'!$A$62&gt;35,AI88+AH89-AQ88,IF(A89&lt;'Données projet'!$A$62,$AF$205^A89,IF(A89='Données projet'!$A$62,'Données projet'!$B$62,AI88+AH89-AQ88)))</f>
        <v>203.80000000000004</v>
      </c>
      <c r="AJ89" s="14">
        <f>AI89*VLOOKUP('Données projet'!$B$10,Paramètres!$A$1:$I$89,3,0)*VLOOKUP('Données projet'!$B$10,Paramètres!$A$1:$I$89,5,0)</f>
        <v>184.39824000000004</v>
      </c>
      <c r="AK89" s="14">
        <f t="shared" si="89"/>
        <v>46.299334464645916</v>
      </c>
      <c r="AL89" s="22">
        <f t="shared" si="58"/>
        <v>401.79827552592502</v>
      </c>
      <c r="AM89" s="60">
        <f t="shared" si="59"/>
        <v>695.13160885925834</v>
      </c>
      <c r="AN89" s="60">
        <f ca="1">AVERAGE(OFFSET($AM$3,0,0,'Données projet'!$E$10+1,1))-AVERAGE(OFFSET($H$3,0,0,'Données projet'!$E$10+1,1))</f>
        <v>210.85498515082651</v>
      </c>
      <c r="AO89" s="60">
        <f t="shared" si="90"/>
        <v>76.413905647258389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456.68544269509601</v>
      </c>
      <c r="BJ89" s="60">
        <f t="shared" si="92"/>
        <v>417.22363874931852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5.6987179487179462</v>
      </c>
      <c r="BY89" s="13">
        <f>IF('Données projet'!$A$114&gt;35,BY88+BX89-CG88,IF(A89&lt;'Données projet'!$A$114,$BV$205^A89,IF(A89='Données projet'!$A$114,'Données projet'!$B$114,BY88+BX89-CG88)))</f>
        <v>351.95897435897433</v>
      </c>
      <c r="BZ89" s="14">
        <f>BY89*VLOOKUP('Données projet'!$B$12,Paramètres!$A$1:$I$89,3,0)*VLOOKUP('Données projet'!$B$12,Paramètres!$A$1:$I$89,5,0)</f>
        <v>196.74506666666667</v>
      </c>
      <c r="CA89" s="14">
        <f t="shared" si="93"/>
        <v>49.028150200741912</v>
      </c>
      <c r="CB89" s="22">
        <f t="shared" si="64"/>
        <v>428.05501937740331</v>
      </c>
      <c r="CC89" s="60">
        <f t="shared" si="65"/>
        <v>721.38835271073663</v>
      </c>
      <c r="CD89" s="60">
        <f ca="1">AVERAGE(OFFSET($CC$3,0,0,'Données projet'!$E$12+1,1))-AVERAGE(OFFSET($H$3,0,0,'Données projet'!$E$12+1,1))</f>
        <v>234.38946271740315</v>
      </c>
      <c r="CE89" s="60">
        <f t="shared" si="94"/>
        <v>123.9494810355684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7.7728460344501524</v>
      </c>
      <c r="CM89" s="23">
        <f>EXP(-LN(2)/2)*CM88+(1-EXP(-LN(2)/2))/(LN(2)/2)*CG89*CJ89*VLOOKUP('Données projet'!$B$12,Paramètres!$A$1:$I$89,3,0)*0.475*44/12</f>
        <v>6.8662091723624135E-6</v>
      </c>
      <c r="CN89" s="24">
        <f t="shared" si="66"/>
        <v>7.7728529006593252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0" t="e">
        <f t="shared" si="68"/>
        <v>#N/A</v>
      </c>
      <c r="CY89" s="60" t="e">
        <f ca="1">AVERAGE(OFFSET($CX$3,0,0,'Données projet'!$E$13+1,1))-AVERAGE(OFFSET($H$3,0,0,'Données projet'!$E$13+1,1))</f>
        <v>#N/A</v>
      </c>
      <c r="CZ89" s="60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8">
        <f t="shared" si="56"/>
        <v>387.96487744763988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0">
        <f t="shared" si="55"/>
        <v>839.81055837008694</v>
      </c>
      <c r="S90" s="60">
        <f ca="1">AVERAGE(OFFSET($R$3,0,0,'Données projet'!$E$9+1,1))-AVERAGE(OFFSET($H$3,0,0,'Données projet'!$E$9+1,1))</f>
        <v>314.4389771131751</v>
      </c>
      <c r="T90" s="60">
        <f t="shared" si="88"/>
        <v>176.7239677722049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4.3</v>
      </c>
      <c r="AI90" s="14">
        <f>IF('Données projet'!$A$62&gt;35,AI89+AH90-AQ89,IF(A90&lt;'Données projet'!$A$62,$AF$205^A90,IF(A90='Données projet'!$A$62,'Données projet'!$B$62,AI89+AH90-AQ89)))</f>
        <v>208.10000000000005</v>
      </c>
      <c r="AJ90" s="14">
        <f>AI90*VLOOKUP('Données projet'!$B$10,Paramètres!$A$1:$I$89,3,0)*VLOOKUP('Données projet'!$B$10,Paramètres!$A$1:$I$89,5,0)</f>
        <v>188.28888000000003</v>
      </c>
      <c r="AK90" s="14">
        <f t="shared" si="89"/>
        <v>47.161449560760389</v>
      </c>
      <c r="AL90" s="22">
        <f t="shared" si="58"/>
        <v>410.07599065165772</v>
      </c>
      <c r="AM90" s="60">
        <f t="shared" si="59"/>
        <v>703.40932398499103</v>
      </c>
      <c r="AN90" s="60">
        <f ca="1">AVERAGE(OFFSET($AM$3,0,0,'Données projet'!$E$10+1,1))-AVERAGE(OFFSET($H$3,0,0,'Données projet'!$E$10+1,1))</f>
        <v>210.85498515082651</v>
      </c>
      <c r="AO90" s="60">
        <f t="shared" si="90"/>
        <v>76.413905647258389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456.68544269509601</v>
      </c>
      <c r="BJ90" s="60">
        <f t="shared" si="92"/>
        <v>417.22363874931852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5.6987179487179462</v>
      </c>
      <c r="BY90" s="13">
        <f>IF('Données projet'!$A$114&gt;35,BY89+BX90-CG89,IF(A90&lt;'Données projet'!$A$114,$BV$205^A90,IF(A90='Données projet'!$A$114,'Données projet'!$B$114,BY89+BX90-CG89)))</f>
        <v>357.65769230769229</v>
      </c>
      <c r="BZ90" s="14">
        <f>BY90*VLOOKUP('Données projet'!$B$12,Paramètres!$A$1:$I$89,3,0)*VLOOKUP('Données projet'!$B$12,Paramètres!$A$1:$I$89,5,0)</f>
        <v>199.93065000000001</v>
      </c>
      <c r="CA90" s="14">
        <f t="shared" si="93"/>
        <v>49.72892638678227</v>
      </c>
      <c r="CB90" s="22">
        <f t="shared" si="64"/>
        <v>434.8237622069791</v>
      </c>
      <c r="CC90" s="60">
        <f t="shared" si="65"/>
        <v>728.15709554031241</v>
      </c>
      <c r="CD90" s="60">
        <f ca="1">AVERAGE(OFFSET($CC$3,0,0,'Données projet'!$E$12+1,1))-AVERAGE(OFFSET($H$3,0,0,'Données projet'!$E$12+1,1))</f>
        <v>234.38946271740315</v>
      </c>
      <c r="CE90" s="60">
        <f t="shared" si="94"/>
        <v>123.9494810355684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7.5602971508819055</v>
      </c>
      <c r="CM90" s="23">
        <f>EXP(-LN(2)/2)*CM89+(1-EXP(-LN(2)/2))/(LN(2)/2)*CG90*CJ90*VLOOKUP('Données projet'!$B$12,Paramètres!$A$1:$I$89,3,0)*0.475*44/12</f>
        <v>4.8551430668227346E-6</v>
      </c>
      <c r="CN90" s="24">
        <f t="shared" si="66"/>
        <v>7.5603020060249726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0" t="e">
        <f t="shared" si="68"/>
        <v>#N/A</v>
      </c>
      <c r="CY90" s="60" t="e">
        <f ca="1">AVERAGE(OFFSET($CX$3,0,0,'Données projet'!$E$13+1,1))-AVERAGE(OFFSET($H$3,0,0,'Données projet'!$E$13+1,1))</f>
        <v>#N/A</v>
      </c>
      <c r="CZ90" s="60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8">
        <f t="shared" si="56"/>
        <v>389.02335186298552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0">
        <f t="shared" si="55"/>
        <v>850.52059698334892</v>
      </c>
      <c r="S91" s="60">
        <f ca="1">AVERAGE(OFFSET($R$3,0,0,'Données projet'!$E$9+1,1))-AVERAGE(OFFSET($H$3,0,0,'Données projet'!$E$9+1,1))</f>
        <v>314.4389771131751</v>
      </c>
      <c r="T91" s="60">
        <f t="shared" si="88"/>
        <v>176.7239677722049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4.3</v>
      </c>
      <c r="AI91" s="14">
        <f>IF('Données projet'!$A$62&gt;35,AI90+AH91-AQ90,IF(A91&lt;'Données projet'!$A$62,$AF$205^A91,IF(A91='Données projet'!$A$62,'Données projet'!$B$62,AI90+AH91-AQ90)))</f>
        <v>212.40000000000006</v>
      </c>
      <c r="AJ91" s="14">
        <f>AI91*VLOOKUP('Données projet'!$B$10,Paramètres!$A$1:$I$89,3,0)*VLOOKUP('Données projet'!$B$10,Paramètres!$A$1:$I$89,5,0)</f>
        <v>192.17952000000005</v>
      </c>
      <c r="AK91" s="14">
        <f t="shared" si="89"/>
        <v>48.021493442275357</v>
      </c>
      <c r="AL91" s="22">
        <f t="shared" si="58"/>
        <v>418.35009841196302</v>
      </c>
      <c r="AM91" s="60">
        <f t="shared" si="59"/>
        <v>711.68343174529628</v>
      </c>
      <c r="AN91" s="60">
        <f ca="1">AVERAGE(OFFSET($AM$3,0,0,'Données projet'!$E$10+1,1))-AVERAGE(OFFSET($H$3,0,0,'Données projet'!$E$10+1,1))</f>
        <v>210.85498515082651</v>
      </c>
      <c r="AO91" s="60">
        <f t="shared" si="90"/>
        <v>76.413905647258389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456.68544269509601</v>
      </c>
      <c r="BJ91" s="60">
        <f t="shared" si="92"/>
        <v>417.22363874931852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5.6987179487179462</v>
      </c>
      <c r="BY91" s="13">
        <f>IF('Données projet'!$A$114&gt;35,BY90+BX91-CG90,IF(A91&lt;'Données projet'!$A$114,$BV$205^A91,IF(A91='Données projet'!$A$114,'Données projet'!$B$114,BY90+BX91-CG90)))</f>
        <v>363.35641025641024</v>
      </c>
      <c r="BZ91" s="14">
        <f>BY91*VLOOKUP('Données projet'!$B$12,Paramètres!$A$1:$I$89,3,0)*VLOOKUP('Données projet'!$B$12,Paramètres!$A$1:$I$89,5,0)</f>
        <v>203.11623333333333</v>
      </c>
      <c r="CA91" s="14">
        <f t="shared" si="93"/>
        <v>50.428404022852121</v>
      </c>
      <c r="CB91" s="22">
        <f t="shared" si="64"/>
        <v>441.59024339535631</v>
      </c>
      <c r="CC91" s="60">
        <f t="shared" si="65"/>
        <v>734.92357672868957</v>
      </c>
      <c r="CD91" s="60">
        <f ca="1">AVERAGE(OFFSET($CC$3,0,0,'Données projet'!$E$12+1,1))-AVERAGE(OFFSET($H$3,0,0,'Données projet'!$E$12+1,1))</f>
        <v>234.38946271740315</v>
      </c>
      <c r="CE91" s="60">
        <f t="shared" si="94"/>
        <v>123.9494810355684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7.3535604277122921</v>
      </c>
      <c r="CM91" s="23">
        <f>EXP(-LN(2)/2)*CM90+(1-EXP(-LN(2)/2))/(LN(2)/2)*CG91*CJ91*VLOOKUP('Données projet'!$B$12,Paramètres!$A$1:$I$89,3,0)*0.475*44/12</f>
        <v>3.4331045861812067E-6</v>
      </c>
      <c r="CN91" s="24">
        <f t="shared" si="66"/>
        <v>7.3535638608168785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0" t="e">
        <f t="shared" si="68"/>
        <v>#N/A</v>
      </c>
      <c r="CY91" s="60" t="e">
        <f ca="1">AVERAGE(OFFSET($CX$3,0,0,'Données projet'!$E$13+1,1))-AVERAGE(OFFSET($H$3,0,0,'Données projet'!$E$13+1,1))</f>
        <v>#N/A</v>
      </c>
      <c r="CZ91" s="60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8">
        <f t="shared" si="56"/>
        <v>390.08153449547615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0">
        <f t="shared" si="55"/>
        <v>861.22632540732775</v>
      </c>
      <c r="S92" s="60">
        <f ca="1">AVERAGE(OFFSET($R$3,0,0,'Données projet'!$E$9+1,1))-AVERAGE(OFFSET($H$3,0,0,'Données projet'!$E$9+1,1))</f>
        <v>314.4389771131751</v>
      </c>
      <c r="T92" s="60">
        <f t="shared" si="88"/>
        <v>176.7239677722049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4.3</v>
      </c>
      <c r="AI92" s="14">
        <f>IF('Données projet'!$A$62&gt;35,AI91+AH92-AQ91,IF(A92&lt;'Données projet'!$A$62,$AF$205^A92,IF(A92='Données projet'!$A$62,'Données projet'!$B$62,AI91+AH92-AQ91)))</f>
        <v>216.70000000000007</v>
      </c>
      <c r="AJ92" s="14">
        <f>AI92*VLOOKUP('Données projet'!$B$10,Paramètres!$A$1:$I$89,3,0)*VLOOKUP('Données projet'!$B$10,Paramètres!$A$1:$I$89,5,0)</f>
        <v>196.07016000000007</v>
      </c>
      <c r="AK92" s="14">
        <f t="shared" si="89"/>
        <v>48.879512872705831</v>
      </c>
      <c r="AL92" s="22">
        <f t="shared" si="58"/>
        <v>426.62068025329609</v>
      </c>
      <c r="AM92" s="60">
        <f t="shared" si="59"/>
        <v>719.95401358662934</v>
      </c>
      <c r="AN92" s="60">
        <f ca="1">AVERAGE(OFFSET($AM$3,0,0,'Données projet'!$E$10+1,1))-AVERAGE(OFFSET($H$3,0,0,'Données projet'!$E$10+1,1))</f>
        <v>210.85498515082651</v>
      </c>
      <c r="AO92" s="60">
        <f t="shared" si="90"/>
        <v>76.413905647258389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456.68544269509601</v>
      </c>
      <c r="BJ92" s="60">
        <f t="shared" si="92"/>
        <v>417.22363874931852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5.6987179487179462</v>
      </c>
      <c r="BY92" s="13">
        <f>IF('Données projet'!$A$114&gt;35,BY91+BX92-CG91,IF(A92&lt;'Données projet'!$A$114,$BV$205^A92,IF(A92='Données projet'!$A$114,'Données projet'!$B$114,BY91+BX92-CG91)))</f>
        <v>369.0551282051282</v>
      </c>
      <c r="BZ92" s="14">
        <f>BY92*VLOOKUP('Données projet'!$B$12,Paramètres!$A$1:$I$89,3,0)*VLOOKUP('Données projet'!$B$12,Paramètres!$A$1:$I$89,5,0)</f>
        <v>206.30181666666667</v>
      </c>
      <c r="CA92" s="14">
        <f t="shared" si="93"/>
        <v>51.126605826545813</v>
      </c>
      <c r="CB92" s="22">
        <f t="shared" si="64"/>
        <v>448.35450250901164</v>
      </c>
      <c r="CC92" s="60">
        <f t="shared" si="65"/>
        <v>741.68783584234495</v>
      </c>
      <c r="CD92" s="60">
        <f ca="1">AVERAGE(OFFSET($CC$3,0,0,'Données projet'!$E$12+1,1))-AVERAGE(OFFSET($H$3,0,0,'Données projet'!$E$12+1,1))</f>
        <v>234.38946271740315</v>
      </c>
      <c r="CE92" s="60">
        <f t="shared" si="94"/>
        <v>123.9494810355684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7.1524769311095637</v>
      </c>
      <c r="CM92" s="23">
        <f>EXP(-LN(2)/2)*CM91+(1-EXP(-LN(2)/2))/(LN(2)/2)*CG92*CJ92*VLOOKUP('Données projet'!$B$12,Paramètres!$A$1:$I$89,3,0)*0.475*44/12</f>
        <v>2.4275715334113673E-6</v>
      </c>
      <c r="CN92" s="24">
        <f t="shared" si="66"/>
        <v>7.1524793586810969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0" t="e">
        <f t="shared" si="68"/>
        <v>#N/A</v>
      </c>
      <c r="CY92" s="60" t="e">
        <f ca="1">AVERAGE(OFFSET($CX$3,0,0,'Données projet'!$E$13+1,1))-AVERAGE(OFFSET($H$3,0,0,'Données projet'!$E$13+1,1))</f>
        <v>#N/A</v>
      </c>
      <c r="CZ92" s="60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8">
        <f t="shared" si="56"/>
        <v>391.13942900294575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0">
        <f t="shared" si="55"/>
        <v>871.92783634092143</v>
      </c>
      <c r="S93" s="60">
        <f ca="1">AVERAGE(OFFSET($R$3,0,0,'Données projet'!$E$9+1,1))-AVERAGE(OFFSET($H$3,0,0,'Données projet'!$E$9+1,1))</f>
        <v>314.4389771131751</v>
      </c>
      <c r="T93" s="60">
        <f t="shared" si="88"/>
        <v>176.7239677722049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221</v>
      </c>
      <c r="AG93" s="13">
        <f>VLOOKUP(A93,'Données projet'!$A$61:$I$81,9,0)</f>
        <v>4.3</v>
      </c>
      <c r="AH93" s="13">
        <f t="array" ref="AH93">INDEX(AG:AG,MIN(IF(ISNUMBER(AG93:AG289),ROW(AG93:AG289),"")))</f>
        <v>4.3</v>
      </c>
      <c r="AI93" s="14">
        <f>IF('Données projet'!$A$62&gt;35,AI92+AH93-AQ92,IF(A93&lt;'Données projet'!$A$62,$AF$205^A93,IF(A93='Données projet'!$A$62,'Données projet'!$B$62,AI92+AH93-AQ92)))</f>
        <v>221.00000000000009</v>
      </c>
      <c r="AJ93" s="14">
        <f>AI93*VLOOKUP('Données projet'!$B$10,Paramètres!$A$1:$I$89,3,0)*VLOOKUP('Données projet'!$B$10,Paramètres!$A$1:$I$89,5,0)</f>
        <v>199.96080000000006</v>
      </c>
      <c r="AK93" s="14">
        <f t="shared" si="89"/>
        <v>49.735552653569265</v>
      </c>
      <c r="AL93" s="22">
        <f t="shared" si="58"/>
        <v>434.88781420496662</v>
      </c>
      <c r="AM93" s="60">
        <f t="shared" si="59"/>
        <v>728.22114753829987</v>
      </c>
      <c r="AN93" s="60">
        <f ca="1">AVERAGE(OFFSET($AM$3,0,0,'Données projet'!$E$10+1,1))-AVERAGE(OFFSET($H$3,0,0,'Données projet'!$E$10+1,1))</f>
        <v>210.85498515082651</v>
      </c>
      <c r="AO93" s="60">
        <f t="shared" si="90"/>
        <v>76.413905647258389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456.68544269509601</v>
      </c>
      <c r="BJ93" s="60">
        <f t="shared" si="92"/>
        <v>417.22363874931852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5.6987179487179462</v>
      </c>
      <c r="BY93" s="13">
        <f>IF('Données projet'!$A$114&gt;35,BY92+BX93-CG92,IF(A93&lt;'Données projet'!$A$114,$BV$205^A93,IF(A93='Données projet'!$A$114,'Données projet'!$B$114,BY92+BX93-CG92)))</f>
        <v>374.75384615384615</v>
      </c>
      <c r="BZ93" s="14">
        <f>BY93*VLOOKUP('Données projet'!$B$12,Paramètres!$A$1:$I$89,3,0)*VLOOKUP('Données projet'!$B$12,Paramètres!$A$1:$I$89,5,0)</f>
        <v>209.48740000000001</v>
      </c>
      <c r="CA93" s="14">
        <f t="shared" si="93"/>
        <v>51.823553773622486</v>
      </c>
      <c r="CB93" s="22">
        <f t="shared" si="64"/>
        <v>455.11657782239246</v>
      </c>
      <c r="CC93" s="60">
        <f t="shared" si="65"/>
        <v>748.44991115572577</v>
      </c>
      <c r="CD93" s="60">
        <f ca="1">AVERAGE(OFFSET($CC$3,0,0,'Données projet'!$E$12+1,1))-AVERAGE(OFFSET($H$3,0,0,'Données projet'!$E$12+1,1))</f>
        <v>234.38946271740315</v>
      </c>
      <c r="CE93" s="60">
        <f t="shared" si="94"/>
        <v>123.9494810355684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6.9568920732959585</v>
      </c>
      <c r="CM93" s="23">
        <f>EXP(-LN(2)/2)*CM92+(1-EXP(-LN(2)/2))/(LN(2)/2)*CG93*CJ93*VLOOKUP('Données projet'!$B$12,Paramètres!$A$1:$I$89,3,0)*0.475*44/12</f>
        <v>1.7165522930906034E-6</v>
      </c>
      <c r="CN93" s="24">
        <f t="shared" si="66"/>
        <v>6.9568937898482517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0" t="e">
        <f t="shared" si="68"/>
        <v>#N/A</v>
      </c>
      <c r="CY93" s="60" t="e">
        <f ca="1">AVERAGE(OFFSET($CX$3,0,0,'Données projet'!$E$13+1,1))-AVERAGE(OFFSET($H$3,0,0,'Données projet'!$E$13+1,1))</f>
        <v>#N/A</v>
      </c>
      <c r="CZ93" s="60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8">
        <f t="shared" si="56"/>
        <v>392.19703895726269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0">
        <f t="shared" si="55"/>
        <v>800.94897376928998</v>
      </c>
      <c r="S94" s="60">
        <f ca="1">AVERAGE(OFFSET($R$3,0,0,'Données projet'!$E$9+1,1))-AVERAGE(OFFSET($H$3,0,0,'Données projet'!$E$9+1,1))</f>
        <v>314.4389771131751</v>
      </c>
      <c r="T94" s="60">
        <f t="shared" si="88"/>
        <v>176.7239677722049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3.7</v>
      </c>
      <c r="AI94" s="14">
        <f>IF('Données projet'!$A$62&gt;35,AI93+AH94-AQ93,IF(A94&lt;'Données projet'!$A$62,$AF$205^A94,IF(A94='Données projet'!$A$62,'Données projet'!$B$62,AI93+AH94-AQ93)))</f>
        <v>196.70000000000007</v>
      </c>
      <c r="AJ94" s="14">
        <f>AI94*VLOOKUP('Données projet'!$B$10,Paramètres!$A$1:$I$89,3,0)*VLOOKUP('Données projet'!$B$10,Paramètres!$A$1:$I$89,5,0)</f>
        <v>177.97416000000007</v>
      </c>
      <c r="AK94" s="14">
        <f t="shared" si="89"/>
        <v>44.871177620414102</v>
      </c>
      <c r="AL94" s="22">
        <f t="shared" si="58"/>
        <v>388.12229635555462</v>
      </c>
      <c r="AM94" s="60">
        <f t="shared" si="59"/>
        <v>681.45562968888794</v>
      </c>
      <c r="AN94" s="60">
        <f ca="1">AVERAGE(OFFSET($AM$3,0,0,'Données projet'!$E$10+1,1))-AVERAGE(OFFSET($H$3,0,0,'Données projet'!$E$10+1,1))</f>
        <v>210.85498515082651</v>
      </c>
      <c r="AO94" s="60">
        <f t="shared" si="90"/>
        <v>76.413905647258389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456.68544269509601</v>
      </c>
      <c r="BJ94" s="60">
        <f t="shared" si="92"/>
        <v>417.22363874931852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5.6987179487179462</v>
      </c>
      <c r="BY94" s="13">
        <f>IF('Données projet'!$A$114&gt;35,BY93+BX94-CG93,IF(A94&lt;'Données projet'!$A$114,$BV$205^A94,IF(A94='Données projet'!$A$114,'Données projet'!$B$114,BY93+BX94-CG93)))</f>
        <v>380.45256410256411</v>
      </c>
      <c r="BZ94" s="14">
        <f>BY94*VLOOKUP('Données projet'!$B$12,Paramètres!$A$1:$I$89,3,0)*VLOOKUP('Données projet'!$B$12,Paramètres!$A$1:$I$89,5,0)</f>
        <v>212.67298333333332</v>
      </c>
      <c r="CA94" s="14">
        <f t="shared" si="93"/>
        <v>52.519269133136078</v>
      </c>
      <c r="CB94" s="22">
        <f t="shared" si="64"/>
        <v>461.87650637910087</v>
      </c>
      <c r="CC94" s="60">
        <f t="shared" si="65"/>
        <v>755.20983971243413</v>
      </c>
      <c r="CD94" s="60">
        <f ca="1">AVERAGE(OFFSET($CC$3,0,0,'Données projet'!$E$12+1,1))-AVERAGE(OFFSET($H$3,0,0,'Données projet'!$E$12+1,1))</f>
        <v>234.38946271740315</v>
      </c>
      <c r="CE94" s="60">
        <f t="shared" si="94"/>
        <v>123.9494810355684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6.7666554937046266</v>
      </c>
      <c r="CM94" s="23">
        <f>EXP(-LN(2)/2)*CM93+(1-EXP(-LN(2)/2))/(LN(2)/2)*CG94*CJ94*VLOOKUP('Données projet'!$B$12,Paramètres!$A$1:$I$89,3,0)*0.475*44/12</f>
        <v>1.2137857667056836E-6</v>
      </c>
      <c r="CN94" s="24">
        <f t="shared" si="66"/>
        <v>6.7666567074903936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0" t="e">
        <f t="shared" si="68"/>
        <v>#N/A</v>
      </c>
      <c r="CY94" s="60" t="e">
        <f ca="1">AVERAGE(OFFSET($CX$3,0,0,'Données projet'!$E$13+1,1))-AVERAGE(OFFSET($H$3,0,0,'Données projet'!$E$13+1,1))</f>
        <v>#N/A</v>
      </c>
      <c r="CZ94" s="60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8">
        <f t="shared" si="56"/>
        <v>393.25436784727196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0">
        <f t="shared" si="55"/>
        <v>810.33492368208931</v>
      </c>
      <c r="S95" s="60">
        <f ca="1">AVERAGE(OFFSET($R$3,0,0,'Données projet'!$E$9+1,1))-AVERAGE(OFFSET($H$3,0,0,'Données projet'!$E$9+1,1))</f>
        <v>314.4389771131751</v>
      </c>
      <c r="T95" s="60">
        <f t="shared" si="88"/>
        <v>176.7239677722049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3.7</v>
      </c>
      <c r="AI95" s="14">
        <f>IF('Données projet'!$A$62&gt;35,AI94+AH95-AQ94,IF(A95&lt;'Données projet'!$A$62,$AF$205^A95,IF(A95='Données projet'!$A$62,'Données projet'!$B$62,AI94+AH95-AQ94)))</f>
        <v>200.40000000000006</v>
      </c>
      <c r="AJ95" s="14">
        <f>AI95*VLOOKUP('Données projet'!$B$10,Paramètres!$A$1:$I$89,3,0)*VLOOKUP('Données projet'!$B$10,Paramètres!$A$1:$I$89,5,0)</f>
        <v>181.32192000000006</v>
      </c>
      <c r="AK95" s="14">
        <f t="shared" si="89"/>
        <v>45.616163648177974</v>
      </c>
      <c r="AL95" s="22">
        <f t="shared" si="58"/>
        <v>395.25049568724336</v>
      </c>
      <c r="AM95" s="60">
        <f t="shared" si="59"/>
        <v>688.58382902057667</v>
      </c>
      <c r="AN95" s="60">
        <f ca="1">AVERAGE(OFFSET($AM$3,0,0,'Données projet'!$E$10+1,1))-AVERAGE(OFFSET($H$3,0,0,'Données projet'!$E$10+1,1))</f>
        <v>210.85498515082651</v>
      </c>
      <c r="AO95" s="60">
        <f t="shared" si="90"/>
        <v>76.413905647258389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456.68544269509601</v>
      </c>
      <c r="BJ95" s="60">
        <f t="shared" si="92"/>
        <v>417.22363874931852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5.6987179487179462</v>
      </c>
      <c r="BY95" s="13">
        <f>IF('Données projet'!$A$114&gt;35,BY94+BX95-CG94,IF(A95&lt;'Données projet'!$A$114,$BV$205^A95,IF(A95='Données projet'!$A$114,'Données projet'!$B$114,BY94+BX95-CG94)))</f>
        <v>386.15128205128207</v>
      </c>
      <c r="BZ95" s="14">
        <f>BY95*VLOOKUP('Données projet'!$B$12,Paramètres!$A$1:$I$89,3,0)*VLOOKUP('Données projet'!$B$12,Paramètres!$A$1:$I$89,5,0)</f>
        <v>215.85856666666666</v>
      </c>
      <c r="CA95" s="14">
        <f t="shared" si="93"/>
        <v>53.213772500400118</v>
      </c>
      <c r="CB95" s="22">
        <f t="shared" si="64"/>
        <v>468.63432404930791</v>
      </c>
      <c r="CC95" s="60">
        <f t="shared" si="65"/>
        <v>761.96765738264116</v>
      </c>
      <c r="CD95" s="60">
        <f ca="1">AVERAGE(OFFSET($CC$3,0,0,'Données projet'!$E$12+1,1))-AVERAGE(OFFSET($H$3,0,0,'Données projet'!$E$12+1,1))</f>
        <v>234.38946271740315</v>
      </c>
      <c r="CE95" s="60">
        <f t="shared" si="94"/>
        <v>123.9494810355684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6.5816209433863264</v>
      </c>
      <c r="CM95" s="23">
        <f>EXP(-LN(2)/2)*CM94+(1-EXP(-LN(2)/2))/(LN(2)/2)*CG95*CJ95*VLOOKUP('Données projet'!$B$12,Paramètres!$A$1:$I$89,3,0)*0.475*44/12</f>
        <v>8.5827614654530168E-7</v>
      </c>
      <c r="CN95" s="24">
        <f t="shared" si="66"/>
        <v>6.5816218016624726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0" t="e">
        <f t="shared" si="68"/>
        <v>#N/A</v>
      </c>
      <c r="CY95" s="60" t="e">
        <f ca="1">AVERAGE(OFFSET($CX$3,0,0,'Données projet'!$E$13+1,1))-AVERAGE(OFFSET($H$3,0,0,'Données projet'!$E$13+1,1))</f>
        <v>#N/A</v>
      </c>
      <c r="CZ95" s="60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8">
        <f t="shared" si="56"/>
        <v>394.311419081606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0">
        <f t="shared" si="55"/>
        <v>819.71727903145597</v>
      </c>
      <c r="S96" s="60">
        <f ca="1">AVERAGE(OFFSET($R$3,0,0,'Données projet'!$E$9+1,1))-AVERAGE(OFFSET($H$3,0,0,'Données projet'!$E$9+1,1))</f>
        <v>314.4389771131751</v>
      </c>
      <c r="T96" s="60">
        <f t="shared" si="88"/>
        <v>176.7239677722049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3.7</v>
      </c>
      <c r="AI96" s="14">
        <f>IF('Données projet'!$A$62&gt;35,AI95+AH96-AQ95,IF(A96&lt;'Données projet'!$A$62,$AF$205^A96,IF(A96='Données projet'!$A$62,'Données projet'!$B$62,AI95+AH96-AQ95)))</f>
        <v>204.10000000000005</v>
      </c>
      <c r="AJ96" s="14">
        <f>AI96*VLOOKUP('Données projet'!$B$10,Paramètres!$A$1:$I$89,3,0)*VLOOKUP('Données projet'!$B$10,Paramètres!$A$1:$I$89,5,0)</f>
        <v>184.66968000000006</v>
      </c>
      <c r="AK96" s="14">
        <f t="shared" si="89"/>
        <v>46.359550248246585</v>
      </c>
      <c r="AL96" s="22">
        <f t="shared" si="58"/>
        <v>402.37590934902954</v>
      </c>
      <c r="AM96" s="60">
        <f t="shared" si="59"/>
        <v>695.70924268236286</v>
      </c>
      <c r="AN96" s="60">
        <f ca="1">AVERAGE(OFFSET($AM$3,0,0,'Données projet'!$E$10+1,1))-AVERAGE(OFFSET($H$3,0,0,'Données projet'!$E$10+1,1))</f>
        <v>210.85498515082651</v>
      </c>
      <c r="AO96" s="60">
        <f t="shared" si="90"/>
        <v>76.413905647258389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456.68544269509601</v>
      </c>
      <c r="BJ96" s="60">
        <f t="shared" si="92"/>
        <v>417.22363874931852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5.6987179487179462</v>
      </c>
      <c r="BY96" s="13">
        <f>IF('Données projet'!$A$114&gt;35,BY95+BX96-CG95,IF(A96&lt;'Données projet'!$A$114,$BV$205^A96,IF(A96='Données projet'!$A$114,'Données projet'!$B$114,BY95+BX96-CG95)))</f>
        <v>391.85</v>
      </c>
      <c r="BZ96" s="14">
        <f>BY96*VLOOKUP('Données projet'!$B$12,Paramètres!$A$1:$I$89,3,0)*VLOOKUP('Données projet'!$B$12,Paramètres!$A$1:$I$89,5,0)</f>
        <v>219.04415000000003</v>
      </c>
      <c r="CA96" s="14">
        <f t="shared" si="93"/>
        <v>53.907083827951894</v>
      </c>
      <c r="CB96" s="22">
        <f t="shared" si="64"/>
        <v>475.39006558368288</v>
      </c>
      <c r="CC96" s="60">
        <f t="shared" si="65"/>
        <v>768.7233989170162</v>
      </c>
      <c r="CD96" s="60">
        <f ca="1">AVERAGE(OFFSET($CC$3,0,0,'Données projet'!$E$12+1,1))-AVERAGE(OFFSET($H$3,0,0,'Données projet'!$E$12+1,1))</f>
        <v>234.38946271740315</v>
      </c>
      <c r="CE96" s="60">
        <f t="shared" si="94"/>
        <v>123.9494810355684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6.4016461725770242</v>
      </c>
      <c r="CM96" s="23">
        <f>EXP(-LN(2)/2)*CM95+(1-EXP(-LN(2)/2))/(LN(2)/2)*CG96*CJ96*VLOOKUP('Données projet'!$B$12,Paramètres!$A$1:$I$89,3,0)*0.475*44/12</f>
        <v>6.0689288335284182E-7</v>
      </c>
      <c r="CN96" s="24">
        <f t="shared" si="66"/>
        <v>6.4016467794699077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0" t="e">
        <f t="shared" si="68"/>
        <v>#N/A</v>
      </c>
      <c r="CY96" s="60" t="e">
        <f ca="1">AVERAGE(OFFSET($CX$3,0,0,'Données projet'!$E$13+1,1))-AVERAGE(OFFSET($H$3,0,0,'Données projet'!$E$13+1,1))</f>
        <v>#N/A</v>
      </c>
      <c r="CZ96" s="60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8">
        <f t="shared" si="56"/>
        <v>395.36819599137124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0">
        <f t="shared" si="55"/>
        <v>829.09611292828231</v>
      </c>
      <c r="S97" s="60">
        <f ca="1">AVERAGE(OFFSET($R$3,0,0,'Données projet'!$E$9+1,1))-AVERAGE(OFFSET($H$3,0,0,'Données projet'!$E$9+1,1))</f>
        <v>314.4389771131751</v>
      </c>
      <c r="T97" s="60">
        <f t="shared" si="88"/>
        <v>176.7239677722049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3.7</v>
      </c>
      <c r="AI97" s="14">
        <f>IF('Données projet'!$A$62&gt;35,AI96+AH97-AQ96,IF(A97&lt;'Données projet'!$A$62,$AF$205^A97,IF(A97='Données projet'!$A$62,'Données projet'!$B$62,AI96+AH97-AQ96)))</f>
        <v>207.80000000000004</v>
      </c>
      <c r="AJ97" s="14">
        <f>AI97*VLOOKUP('Données projet'!$B$10,Paramètres!$A$1:$I$89,3,0)*VLOOKUP('Données projet'!$B$10,Paramètres!$A$1:$I$89,5,0)</f>
        <v>188.01744000000002</v>
      </c>
      <c r="AK97" s="14">
        <f t="shared" si="89"/>
        <v>47.101369760097391</v>
      </c>
      <c r="AL97" s="22">
        <f t="shared" si="58"/>
        <v>409.49859366550299</v>
      </c>
      <c r="AM97" s="60">
        <f t="shared" si="59"/>
        <v>702.83192699883625</v>
      </c>
      <c r="AN97" s="60">
        <f ca="1">AVERAGE(OFFSET($AM$3,0,0,'Données projet'!$E$10+1,1))-AVERAGE(OFFSET($H$3,0,0,'Données projet'!$E$10+1,1))</f>
        <v>210.85498515082651</v>
      </c>
      <c r="AO97" s="60">
        <f t="shared" si="90"/>
        <v>76.413905647258389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456.68544269509601</v>
      </c>
      <c r="BJ97" s="60">
        <f t="shared" si="92"/>
        <v>417.22363874931852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5.6987179487179462</v>
      </c>
      <c r="BY97" s="13">
        <f>IF('Données projet'!$A$114&gt;35,BY96+BX97-CG96,IF(A97&lt;'Données projet'!$A$114,$BV$205^A97,IF(A97='Données projet'!$A$114,'Données projet'!$B$114,BY96+BX97-CG96)))</f>
        <v>397.54871794871798</v>
      </c>
      <c r="BZ97" s="14">
        <f>BY97*VLOOKUP('Données projet'!$B$12,Paramètres!$A$1:$I$89,3,0)*VLOOKUP('Données projet'!$B$12,Paramètres!$A$1:$I$89,5,0)</f>
        <v>222.22973333333337</v>
      </c>
      <c r="CA97" s="14">
        <f t="shared" si="93"/>
        <v>54.599222454663604</v>
      </c>
      <c r="CB97" s="22">
        <f t="shared" si="64"/>
        <v>482.1437646640947</v>
      </c>
      <c r="CC97" s="60">
        <f t="shared" si="65"/>
        <v>775.47709799742802</v>
      </c>
      <c r="CD97" s="60">
        <f ca="1">AVERAGE(OFFSET($CC$3,0,0,'Données projet'!$E$12+1,1))-AVERAGE(OFFSET($H$3,0,0,'Données projet'!$E$12+1,1))</f>
        <v>234.38946271740315</v>
      </c>
      <c r="CE97" s="60">
        <f t="shared" si="94"/>
        <v>123.9494810355684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6.2265928213399642</v>
      </c>
      <c r="CM97" s="23">
        <f>EXP(-LN(2)/2)*CM96+(1-EXP(-LN(2)/2))/(LN(2)/2)*CG97*CJ97*VLOOKUP('Données projet'!$B$12,Paramètres!$A$1:$I$89,3,0)*0.475*44/12</f>
        <v>4.2913807327265084E-7</v>
      </c>
      <c r="CN97" s="24">
        <f t="shared" si="66"/>
        <v>6.2265932504780377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0" t="e">
        <f t="shared" si="68"/>
        <v>#N/A</v>
      </c>
      <c r="CY97" s="60" t="e">
        <f ca="1">AVERAGE(OFFSET($CX$3,0,0,'Données projet'!$E$13+1,1))-AVERAGE(OFFSET($H$3,0,0,'Données projet'!$E$13+1,1))</f>
        <v>#N/A</v>
      </c>
      <c r="CZ97" s="60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8">
        <f t="shared" si="56"/>
        <v>396.42470183271661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0">
        <f t="shared" si="55"/>
        <v>838.4714957147562</v>
      </c>
      <c r="S98" s="60">
        <f ca="1">AVERAGE(OFFSET($R$3,0,0,'Données projet'!$E$9+1,1))-AVERAGE(OFFSET($H$3,0,0,'Données projet'!$E$9+1,1))</f>
        <v>314.4389771131751</v>
      </c>
      <c r="T98" s="60">
        <f t="shared" si="88"/>
        <v>176.7239677722049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3.7</v>
      </c>
      <c r="AI98" s="14">
        <f>IF('Données projet'!$A$62&gt;35,AI97+AH98-AQ97,IF(A98&lt;'Données projet'!$A$62,$AF$205^A98,IF(A98='Données projet'!$A$62,'Données projet'!$B$62,AI97+AH98-AQ97)))</f>
        <v>211.50000000000003</v>
      </c>
      <c r="AJ98" s="14">
        <f>AI98*VLOOKUP('Données projet'!$B$10,Paramètres!$A$1:$I$89,3,0)*VLOOKUP('Données projet'!$B$10,Paramètres!$A$1:$I$89,5,0)</f>
        <v>191.36520000000002</v>
      </c>
      <c r="AK98" s="14">
        <f t="shared" si="89"/>
        <v>47.841653305605021</v>
      </c>
      <c r="AL98" s="22">
        <f t="shared" si="58"/>
        <v>416.61860284059543</v>
      </c>
      <c r="AM98" s="60">
        <f t="shared" si="59"/>
        <v>709.95193617392874</v>
      </c>
      <c r="AN98" s="60">
        <f ca="1">AVERAGE(OFFSET($AM$3,0,0,'Données projet'!$E$10+1,1))-AVERAGE(OFFSET($H$3,0,0,'Données projet'!$E$10+1,1))</f>
        <v>210.85498515082651</v>
      </c>
      <c r="AO98" s="60">
        <f t="shared" si="90"/>
        <v>76.413905647258389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456.68544269509601</v>
      </c>
      <c r="BJ98" s="60">
        <f t="shared" si="92"/>
        <v>417.22363874931852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5.6987179487179462</v>
      </c>
      <c r="BY98" s="13">
        <f>IF('Données projet'!$A$114&gt;35,BY97+BX98-CG97,IF(A98&lt;'Données projet'!$A$114,$BV$205^A98,IF(A98='Données projet'!$A$114,'Données projet'!$B$114,BY97+BX98-CG97)))</f>
        <v>403.24743589743593</v>
      </c>
      <c r="BZ98" s="14">
        <f>BY98*VLOOKUP('Données projet'!$B$12,Paramètres!$A$1:$I$89,3,0)*VLOOKUP('Données projet'!$B$12,Paramètres!$A$1:$I$89,5,0)</f>
        <v>225.41531666666671</v>
      </c>
      <c r="CA98" s="14">
        <f t="shared" si="93"/>
        <v>55.2902071331374</v>
      </c>
      <c r="CB98" s="22">
        <f t="shared" si="64"/>
        <v>488.89545395132546</v>
      </c>
      <c r="CC98" s="60">
        <f t="shared" si="65"/>
        <v>782.22878728465878</v>
      </c>
      <c r="CD98" s="60">
        <f ca="1">AVERAGE(OFFSET($CC$3,0,0,'Données projet'!$E$12+1,1))-AVERAGE(OFFSET($H$3,0,0,'Données projet'!$E$12+1,1))</f>
        <v>234.38946271740315</v>
      </c>
      <c r="CE98" s="60">
        <f t="shared" si="94"/>
        <v>123.9494810355684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6.0563263131981371</v>
      </c>
      <c r="CM98" s="23">
        <f>EXP(-LN(2)/2)*CM97+(1-EXP(-LN(2)/2))/(LN(2)/2)*CG98*CJ98*VLOOKUP('Données projet'!$B$12,Paramètres!$A$1:$I$89,3,0)*0.475*44/12</f>
        <v>3.0344644167642091E-7</v>
      </c>
      <c r="CN98" s="24">
        <f t="shared" si="66"/>
        <v>6.0563266166445784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0" t="e">
        <f t="shared" si="68"/>
        <v>#N/A</v>
      </c>
      <c r="CY98" s="60" t="e">
        <f ca="1">AVERAGE(OFFSET($CX$3,0,0,'Données projet'!$E$13+1,1))-AVERAGE(OFFSET($H$3,0,0,'Données projet'!$E$13+1,1))</f>
        <v>#N/A</v>
      </c>
      <c r="CZ98" s="60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8">
        <f t="shared" si="56"/>
        <v>397.48093978929154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0">
        <f t="shared" si="55"/>
        <v>847.84349511604591</v>
      </c>
      <c r="S99" s="60">
        <f ca="1">AVERAGE(OFFSET($R$3,0,0,'Données projet'!$E$9+1,1))-AVERAGE(OFFSET($H$3,0,0,'Données projet'!$E$9+1,1))</f>
        <v>314.4389771131751</v>
      </c>
      <c r="T99" s="60">
        <f t="shared" si="88"/>
        <v>176.7239677722049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3.7</v>
      </c>
      <c r="AI99" s="14">
        <f>IF('Données projet'!$A$62&gt;35,AI98+AH99-AQ98,IF(A99&lt;'Données projet'!$A$62,$AF$205^A99,IF(A99='Données projet'!$A$62,'Données projet'!$B$62,AI98+AH99-AQ98)))</f>
        <v>215.20000000000002</v>
      </c>
      <c r="AJ99" s="14">
        <f>AI99*VLOOKUP('Données projet'!$B$10,Paramètres!$A$1:$I$89,3,0)*VLOOKUP('Données projet'!$B$10,Paramètres!$A$1:$I$89,5,0)</f>
        <v>194.71296000000001</v>
      </c>
      <c r="AK99" s="14">
        <f t="shared" si="89"/>
        <v>48.580430855369244</v>
      </c>
      <c r="AL99" s="22">
        <f t="shared" si="58"/>
        <v>423.73598907310139</v>
      </c>
      <c r="AM99" s="60">
        <f t="shared" si="59"/>
        <v>717.06932240643471</v>
      </c>
      <c r="AN99" s="60">
        <f ca="1">AVERAGE(OFFSET($AM$3,0,0,'Données projet'!$E$10+1,1))-AVERAGE(OFFSET($H$3,0,0,'Données projet'!$E$10+1,1))</f>
        <v>210.85498515082651</v>
      </c>
      <c r="AO99" s="60">
        <f t="shared" si="90"/>
        <v>76.413905647258389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456.68544269509601</v>
      </c>
      <c r="BJ99" s="60">
        <f t="shared" si="92"/>
        <v>417.22363874931852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>
        <f>VLOOKUP(A99,'Données projet'!$A$113:$I$133,2,0)</f>
        <v>408.94615384615383</v>
      </c>
      <c r="BW99" s="13">
        <f>VLOOKUP(A99,'Données projet'!$A$113:$I$133,9,0)</f>
        <v>5.6987179487179462</v>
      </c>
      <c r="BX99" s="13">
        <f t="array" ref="BX99">INDEX(BW:BW,MIN(IF(ISNUMBER(BW99:BW295),ROW(BW99:BW295),"")))</f>
        <v>5.6987179487179462</v>
      </c>
      <c r="BY99" s="13">
        <f>IF('Données projet'!$A$114&gt;35,BY98+BX99-CG98,IF(A99&lt;'Données projet'!$A$114,$BV$205^A99,IF(A99='Données projet'!$A$114,'Données projet'!$B$114,BY98+BX99-CG98)))</f>
        <v>408.94615384615389</v>
      </c>
      <c r="BZ99" s="14">
        <f>BY99*VLOOKUP('Données projet'!$B$12,Paramètres!$A$1:$I$89,3,0)*VLOOKUP('Données projet'!$B$12,Paramètres!$A$1:$I$89,5,0)</f>
        <v>228.60090000000002</v>
      </c>
      <c r="CA99" s="14">
        <f t="shared" si="93"/>
        <v>55.980056055507362</v>
      </c>
      <c r="CB99" s="22">
        <f t="shared" si="64"/>
        <v>495.64516513000871</v>
      </c>
      <c r="CC99" s="60">
        <f t="shared" si="65"/>
        <v>788.97849846334202</v>
      </c>
      <c r="CD99" s="60">
        <f ca="1">AVERAGE(OFFSET($CC$3,0,0,'Données projet'!$E$12+1,1))-AVERAGE(OFFSET($H$3,0,0,'Données projet'!$E$12+1,1))</f>
        <v>234.38946271740315</v>
      </c>
      <c r="CE99" s="60">
        <f t="shared" si="94"/>
        <v>123.9494810355684</v>
      </c>
      <c r="CF99" s="16">
        <f>IF(ISNA(VLOOKUP(A99,'Données projet'!$A$113:$I$133,3,0)),0,VLOOKUP(A99,'Données projet'!$A$113:$I$133,3,0))</f>
        <v>7</v>
      </c>
      <c r="CG99" s="16">
        <f>IF(ISNA(VLOOKUP(A99,'Données projet'!$A$113:$I$133,4,0)),0,VLOOKUP(A99,'Données projet'!$A$113:$I$133,4,0))</f>
        <v>59.776923076923069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5.8907157516753754</v>
      </c>
      <c r="CM99" s="23">
        <f>EXP(-LN(2)/2)*CM98+(1-EXP(-LN(2)/2))/(LN(2)/2)*CG99*CJ99*VLOOKUP('Données projet'!$B$12,Paramètres!$A$1:$I$89,3,0)*0.475*44/12</f>
        <v>2.1456903663632542E-7</v>
      </c>
      <c r="CN99" s="24">
        <f t="shared" si="66"/>
        <v>5.8907159662444117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0" t="e">
        <f t="shared" si="68"/>
        <v>#N/A</v>
      </c>
      <c r="CY99" s="60" t="e">
        <f ca="1">AVERAGE(OFFSET($CX$3,0,0,'Données projet'!$E$13+1,1))-AVERAGE(OFFSET($H$3,0,0,'Données projet'!$E$13+1,1))</f>
        <v>#N/A</v>
      </c>
      <c r="CZ99" s="60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8">
        <f t="shared" si="56"/>
        <v>398.5369129745979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0">
        <f t="shared" si="55"/>
        <v>857.21217638119901</v>
      </c>
      <c r="S100" s="60">
        <f ca="1">AVERAGE(OFFSET($R$3,0,0,'Données projet'!$E$9+1,1))-AVERAGE(OFFSET($H$3,0,0,'Données projet'!$E$9+1,1))</f>
        <v>314.4389771131751</v>
      </c>
      <c r="T100" s="60">
        <f t="shared" si="88"/>
        <v>176.7239677722049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3.7</v>
      </c>
      <c r="AI100" s="14">
        <f>IF('Données projet'!$A$62&gt;35,AI99+AH100-AQ99,IF(A100&lt;'Données projet'!$A$62,$AF$205^A100,IF(A100='Données projet'!$A$62,'Données projet'!$B$62,AI99+AH100-AQ99)))</f>
        <v>218.9</v>
      </c>
      <c r="AJ100" s="14">
        <f>AI100*VLOOKUP('Données projet'!$B$10,Paramètres!$A$1:$I$89,3,0)*VLOOKUP('Données projet'!$B$10,Paramètres!$A$1:$I$89,5,0)</f>
        <v>198.06072</v>
      </c>
      <c r="AK100" s="14">
        <f t="shared" si="89"/>
        <v>49.317731290351951</v>
      </c>
      <c r="AL100" s="22">
        <f t="shared" si="58"/>
        <v>430.85080266402957</v>
      </c>
      <c r="AM100" s="60">
        <f t="shared" si="59"/>
        <v>724.18413599736289</v>
      </c>
      <c r="AN100" s="60">
        <f ca="1">AVERAGE(OFFSET($AM$3,0,0,'Données projet'!$E$10+1,1))-AVERAGE(OFFSET($H$3,0,0,'Données projet'!$E$10+1,1))</f>
        <v>210.85498515082651</v>
      </c>
      <c r="AO100" s="60">
        <f t="shared" si="90"/>
        <v>76.413905647258389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456.68544269509601</v>
      </c>
      <c r="BJ100" s="60">
        <f t="shared" si="92"/>
        <v>417.22363874931852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4.4717948717948701</v>
      </c>
      <c r="BY100" s="13">
        <f>IF('Données projet'!$A$114&gt;35,BY99+BX100-CG99,IF(A100&lt;'Données projet'!$A$114,$BV$205^A100,IF(A100='Données projet'!$A$114,'Données projet'!$B$114,BY99+BX100-CG99)))</f>
        <v>353.64102564102569</v>
      </c>
      <c r="BZ100" s="14">
        <f>BY100*VLOOKUP('Données projet'!$B$12,Paramètres!$A$1:$I$89,3,0)*VLOOKUP('Données projet'!$B$12,Paramètres!$A$1:$I$89,5,0)</f>
        <v>197.68533333333338</v>
      </c>
      <c r="CA100" s="14">
        <f t="shared" si="93"/>
        <v>49.235129925468549</v>
      </c>
      <c r="CB100" s="22">
        <f t="shared" si="64"/>
        <v>430.05314017574671</v>
      </c>
      <c r="CC100" s="60">
        <f t="shared" si="65"/>
        <v>723.38647350908002</v>
      </c>
      <c r="CD100" s="60">
        <f ca="1">AVERAGE(OFFSET($CC$3,0,0,'Données projet'!$E$12+1,1))-AVERAGE(OFFSET($H$3,0,0,'Données projet'!$E$12+1,1))</f>
        <v>234.38946271740315</v>
      </c>
      <c r="CE100" s="60">
        <f t="shared" si="94"/>
        <v>123.9494810355684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5.7296338196665344</v>
      </c>
      <c r="CM100" s="23">
        <f>EXP(-LN(2)/2)*CM99+(1-EXP(-LN(2)/2))/(LN(2)/2)*CG100*CJ100*VLOOKUP('Données projet'!$B$12,Paramètres!$A$1:$I$89,3,0)*0.475*44/12</f>
        <v>1.5172322083821046E-7</v>
      </c>
      <c r="CN100" s="24">
        <f t="shared" si="66"/>
        <v>5.7296339713897551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0" t="e">
        <f t="shared" si="68"/>
        <v>#N/A</v>
      </c>
      <c r="CY100" s="60" t="e">
        <f ca="1">AVERAGE(OFFSET($CX$3,0,0,'Données projet'!$E$13+1,1))-AVERAGE(OFFSET($H$3,0,0,'Données projet'!$E$13+1,1))</f>
        <v>#N/A</v>
      </c>
      <c r="CZ100" s="60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8">
        <f t="shared" si="56"/>
        <v>399.59262443424268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0">
        <f t="shared" si="55"/>
        <v>866.57760241418919</v>
      </c>
      <c r="S101" s="60">
        <f ca="1">AVERAGE(OFFSET($R$3,0,0,'Données projet'!$E$9+1,1))-AVERAGE(OFFSET($H$3,0,0,'Données projet'!$E$9+1,1))</f>
        <v>314.4389771131751</v>
      </c>
      <c r="T101" s="60">
        <f t="shared" si="88"/>
        <v>176.7239677722049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3.7</v>
      </c>
      <c r="AI101" s="14">
        <f>IF('Données projet'!$A$62&gt;35,AI100+AH101-AQ100,IF(A101&lt;'Données projet'!$A$62,$AF$205^A101,IF(A101='Données projet'!$A$62,'Données projet'!$B$62,AI100+AH101-AQ100)))</f>
        <v>222.6</v>
      </c>
      <c r="AJ101" s="14">
        <f>AI101*VLOOKUP('Données projet'!$B$10,Paramètres!$A$1:$I$89,3,0)*VLOOKUP('Données projet'!$B$10,Paramètres!$A$1:$I$89,5,0)</f>
        <v>201.40847999999997</v>
      </c>
      <c r="AK101" s="14">
        <f t="shared" si="89"/>
        <v>50.053582459229212</v>
      </c>
      <c r="AL101" s="22">
        <f t="shared" si="58"/>
        <v>437.96309211649077</v>
      </c>
      <c r="AM101" s="60">
        <f t="shared" si="59"/>
        <v>731.29642544982403</v>
      </c>
      <c r="AN101" s="60">
        <f ca="1">AVERAGE(OFFSET($AM$3,0,0,'Données projet'!$E$10+1,1))-AVERAGE(OFFSET($H$3,0,0,'Données projet'!$E$10+1,1))</f>
        <v>210.85498515082651</v>
      </c>
      <c r="AO101" s="60">
        <f t="shared" si="90"/>
        <v>76.413905647258389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456.68544269509601</v>
      </c>
      <c r="BJ101" s="60">
        <f t="shared" si="92"/>
        <v>417.22363874931852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4.4717948717948701</v>
      </c>
      <c r="BY101" s="13">
        <f>IF('Données projet'!$A$114&gt;35,BY100+BX101-CG100,IF(A101&lt;'Données projet'!$A$114,$BV$205^A101,IF(A101='Données projet'!$A$114,'Données projet'!$B$114,BY100+BX101-CG100)))</f>
        <v>358.11282051282058</v>
      </c>
      <c r="BZ101" s="14">
        <f>BY101*VLOOKUP('Données projet'!$B$12,Paramètres!$A$1:$I$89,3,0)*VLOOKUP('Données projet'!$B$12,Paramètres!$A$1:$I$89,5,0)</f>
        <v>200.18506666666673</v>
      </c>
      <c r="CA101" s="14">
        <f t="shared" si="93"/>
        <v>49.784837587690674</v>
      </c>
      <c r="CB101" s="22">
        <f t="shared" si="64"/>
        <v>435.36424990967248</v>
      </c>
      <c r="CC101" s="60">
        <f t="shared" si="65"/>
        <v>728.69758324300574</v>
      </c>
      <c r="CD101" s="60">
        <f ca="1">AVERAGE(OFFSET($CC$3,0,0,'Données projet'!$E$12+1,1))-AVERAGE(OFFSET($H$3,0,0,'Données projet'!$E$12+1,1))</f>
        <v>234.38946271740315</v>
      </c>
      <c r="CE101" s="60">
        <f t="shared" si="94"/>
        <v>123.9494810355684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5.5729566815594058</v>
      </c>
      <c r="CM101" s="23">
        <f>EXP(-LN(2)/2)*CM100+(1-EXP(-LN(2)/2))/(LN(2)/2)*CG101*CJ101*VLOOKUP('Données projet'!$B$12,Paramètres!$A$1:$I$89,3,0)*0.475*44/12</f>
        <v>1.0728451831816271E-7</v>
      </c>
      <c r="CN101" s="24">
        <f t="shared" si="66"/>
        <v>5.572956788843924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0" t="e">
        <f t="shared" si="68"/>
        <v>#N/A</v>
      </c>
      <c r="CY101" s="60" t="e">
        <f ca="1">AVERAGE(OFFSET($CX$3,0,0,'Données projet'!$E$13+1,1))-AVERAGE(OFFSET($H$3,0,0,'Données projet'!$E$13+1,1))</f>
        <v>#N/A</v>
      </c>
      <c r="CZ101" s="60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8">
        <f t="shared" si="56"/>
        <v>400.64807714809581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0">
        <f t="shared" si="55"/>
        <v>875.93983389595746</v>
      </c>
      <c r="S102" s="60">
        <f ca="1">AVERAGE(OFFSET($R$3,0,0,'Données projet'!$E$9+1,1))-AVERAGE(OFFSET($H$3,0,0,'Données projet'!$E$9+1,1))</f>
        <v>314.4389771131751</v>
      </c>
      <c r="T102" s="60">
        <f t="shared" si="88"/>
        <v>176.7239677722049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3.7</v>
      </c>
      <c r="AI102" s="14">
        <f>IF('Données projet'!$A$62&gt;35,AI101+AH102-AQ101,IF(A102&lt;'Données projet'!$A$62,$AF$205^A102,IF(A102='Données projet'!$A$62,'Données projet'!$B$62,AI101+AH102-AQ101)))</f>
        <v>226.29999999999998</v>
      </c>
      <c r="AJ102" s="14">
        <f>AI102*VLOOKUP('Données projet'!$B$10,Paramètres!$A$1:$I$89,3,0)*VLOOKUP('Données projet'!$B$10,Paramètres!$A$1:$I$89,5,0)</f>
        <v>204.75623999999999</v>
      </c>
      <c r="AK102" s="14">
        <f t="shared" si="89"/>
        <v>50.788011231821393</v>
      </c>
      <c r="AL102" s="22">
        <f t="shared" si="58"/>
        <v>445.07290422875553</v>
      </c>
      <c r="AM102" s="60">
        <f t="shared" si="59"/>
        <v>738.40623756208879</v>
      </c>
      <c r="AN102" s="60">
        <f ca="1">AVERAGE(OFFSET($AM$3,0,0,'Données projet'!$E$10+1,1))-AVERAGE(OFFSET($H$3,0,0,'Données projet'!$E$10+1,1))</f>
        <v>210.85498515082651</v>
      </c>
      <c r="AO102" s="60">
        <f t="shared" si="90"/>
        <v>76.413905647258389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456.68544269509601</v>
      </c>
      <c r="BJ102" s="60">
        <f t="shared" si="92"/>
        <v>417.22363874931852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4.4717948717948701</v>
      </c>
      <c r="BY102" s="13">
        <f>IF('Données projet'!$A$114&gt;35,BY101+BX102-CG101,IF(A102&lt;'Données projet'!$A$114,$BV$205^A102,IF(A102='Données projet'!$A$114,'Données projet'!$B$114,BY101+BX102-CG101)))</f>
        <v>362.58461538461546</v>
      </c>
      <c r="BZ102" s="14">
        <f>BY102*VLOOKUP('Données projet'!$B$12,Paramètres!$A$1:$I$89,3,0)*VLOOKUP('Données projet'!$B$12,Paramètres!$A$1:$I$89,5,0)</f>
        <v>202.68480000000002</v>
      </c>
      <c r="CA102" s="14">
        <f t="shared" si="93"/>
        <v>50.333746808369689</v>
      </c>
      <c r="CB102" s="22">
        <f t="shared" si="64"/>
        <v>440.67396902457722</v>
      </c>
      <c r="CC102" s="60">
        <f t="shared" si="65"/>
        <v>734.00730235791048</v>
      </c>
      <c r="CD102" s="60">
        <f ca="1">AVERAGE(OFFSET($CC$3,0,0,'Données projet'!$E$12+1,1))-AVERAGE(OFFSET($H$3,0,0,'Données projet'!$E$12+1,1))</f>
        <v>234.38946271740315</v>
      </c>
      <c r="CE102" s="60">
        <f t="shared" si="94"/>
        <v>123.9494810355684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5.4205638880331088</v>
      </c>
      <c r="CM102" s="23">
        <f>EXP(-LN(2)/2)*CM101+(1-EXP(-LN(2)/2))/(LN(2)/2)*CG102*CJ102*VLOOKUP('Données projet'!$B$12,Paramètres!$A$1:$I$89,3,0)*0.475*44/12</f>
        <v>7.5861610419105228E-8</v>
      </c>
      <c r="CN102" s="24">
        <f t="shared" si="66"/>
        <v>5.4205639638947192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0" t="e">
        <f t="shared" si="68"/>
        <v>#N/A</v>
      </c>
      <c r="CY102" s="60" t="e">
        <f ca="1">AVERAGE(OFFSET($CX$3,0,0,'Données projet'!$E$13+1,1))-AVERAGE(OFFSET($H$3,0,0,'Données projet'!$E$13+1,1))</f>
        <v>#N/A</v>
      </c>
      <c r="CZ102" s="60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8">
        <f t="shared" si="56"/>
        <v>401.70327403235842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0">
        <f t="shared" si="55"/>
        <v>885.29892939819797</v>
      </c>
      <c r="S103" s="60">
        <f ca="1">AVERAGE(OFFSET($R$3,0,0,'Données projet'!$E$9+1,1))-AVERAGE(OFFSET($H$3,0,0,'Données projet'!$E$9+1,1))</f>
        <v>314.4389771131751</v>
      </c>
      <c r="T103" s="60">
        <f t="shared" si="88"/>
        <v>176.7239677722049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230</v>
      </c>
      <c r="AG103" s="13">
        <f>VLOOKUP(A103,'Données projet'!$A$61:$I$81,9,0)</f>
        <v>3.7</v>
      </c>
      <c r="AH103" s="13">
        <f t="array" ref="AH103">INDEX(AG:AG,MIN(IF(ISNUMBER(AG103:AG299),ROW(AG103:AG299),"")))</f>
        <v>3.7</v>
      </c>
      <c r="AI103" s="14">
        <f>IF('Données projet'!$A$62&gt;35,AI102+AH103-AQ102,IF(A103&lt;'Données projet'!$A$62,$AF$205^A103,IF(A103='Données projet'!$A$62,'Données projet'!$B$62,AI102+AH103-AQ102)))</f>
        <v>229.99999999999997</v>
      </c>
      <c r="AJ103" s="14">
        <f>AI103*VLOOKUP('Données projet'!$B$10,Paramètres!$A$1:$I$89,3,0)*VLOOKUP('Données projet'!$B$10,Paramètres!$A$1:$I$89,5,0)</f>
        <v>208.10399999999998</v>
      </c>
      <c r="AK103" s="14">
        <f t="shared" si="89"/>
        <v>51.52104354893045</v>
      </c>
      <c r="AL103" s="22">
        <f t="shared" si="58"/>
        <v>452.18028418105382</v>
      </c>
      <c r="AM103" s="60">
        <f t="shared" si="59"/>
        <v>745.51361751438708</v>
      </c>
      <c r="AN103" s="60">
        <f ca="1">AVERAGE(OFFSET($AM$3,0,0,'Données projet'!$E$10+1,1))-AVERAGE(OFFSET($H$3,0,0,'Données projet'!$E$10+1,1))</f>
        <v>210.85498515082651</v>
      </c>
      <c r="AO103" s="60">
        <f t="shared" si="90"/>
        <v>76.413905647258389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28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456.68544269509601</v>
      </c>
      <c r="BJ103" s="60">
        <f t="shared" si="92"/>
        <v>417.22363874931852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4.4717948717948701</v>
      </c>
      <c r="BY103" s="13">
        <f>IF('Données projet'!$A$114&gt;35,BY102+BX103-CG102,IF(A103&lt;'Données projet'!$A$114,$BV$205^A103,IF(A103='Données projet'!$A$114,'Données projet'!$B$114,BY102+BX103-CG102)))</f>
        <v>367.05641025641035</v>
      </c>
      <c r="BZ103" s="14">
        <f>BY103*VLOOKUP('Données projet'!$B$12,Paramètres!$A$1:$I$89,3,0)*VLOOKUP('Données projet'!$B$12,Paramètres!$A$1:$I$89,5,0)</f>
        <v>205.18453333333338</v>
      </c>
      <c r="CA103" s="14">
        <f t="shared" si="93"/>
        <v>50.88186857366523</v>
      </c>
      <c r="CB103" s="22">
        <f t="shared" si="64"/>
        <v>445.98231665468933</v>
      </c>
      <c r="CC103" s="60">
        <f t="shared" si="65"/>
        <v>739.31564998802264</v>
      </c>
      <c r="CD103" s="60">
        <f ca="1">AVERAGE(OFFSET($CC$3,0,0,'Données projet'!$E$12+1,1))-AVERAGE(OFFSET($H$3,0,0,'Données projet'!$E$12+1,1))</f>
        <v>234.38946271740315</v>
      </c>
      <c r="CE103" s="60">
        <f t="shared" si="94"/>
        <v>123.9494810355684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5.2723382834597778</v>
      </c>
      <c r="CM103" s="23">
        <f>EXP(-LN(2)/2)*CM102+(1-EXP(-LN(2)/2))/(LN(2)/2)*CG103*CJ103*VLOOKUP('Données projet'!$B$12,Paramètres!$A$1:$I$89,3,0)*0.475*44/12</f>
        <v>5.3642259159081355E-8</v>
      </c>
      <c r="CN103" s="24">
        <f t="shared" si="66"/>
        <v>5.2723383371020374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0" t="e">
        <f t="shared" si="68"/>
        <v>#N/A</v>
      </c>
      <c r="CY103" s="60" t="e">
        <f ca="1">AVERAGE(OFFSET($CX$3,0,0,'Données projet'!$E$13+1,1))-AVERAGE(OFFSET($H$3,0,0,'Données projet'!$E$13+1,1))</f>
        <v>#N/A</v>
      </c>
      <c r="CZ103" s="60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8">
        <f t="shared" si="56"/>
        <v>402.75821794154609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0">
        <f t="shared" si="55"/>
        <v>813.3989415432759</v>
      </c>
      <c r="S104" s="60">
        <f ca="1">AVERAGE(OFFSET($R$3,0,0,'Données projet'!$E$9+1,1))-AVERAGE(OFFSET($H$3,0,0,'Données projet'!$E$9+1,1))</f>
        <v>314.4389771131751</v>
      </c>
      <c r="T104" s="60">
        <f t="shared" si="88"/>
        <v>176.7239677722049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3.1</v>
      </c>
      <c r="AI104" s="14">
        <f>IF('Données projet'!$A$62&gt;35,AI103+AH104-AQ103,IF(A104&lt;'Données projet'!$A$62,$AF$205^A104,IF(A104='Données projet'!$A$62,'Données projet'!$B$62,AI103+AH104-AQ103)))</f>
        <v>205.09999999999997</v>
      </c>
      <c r="AJ104" s="14">
        <f>AI104*VLOOKUP('Données projet'!$B$10,Paramètres!$A$1:$I$89,3,0)*VLOOKUP('Données projet'!$B$10,Paramètres!$A$1:$I$89,5,0)</f>
        <v>185.57447999999997</v>
      </c>
      <c r="AK104" s="14">
        <f t="shared" si="89"/>
        <v>46.560195221199436</v>
      </c>
      <c r="AL104" s="22">
        <f t="shared" si="58"/>
        <v>404.30122601025568</v>
      </c>
      <c r="AM104" s="60">
        <f t="shared" si="59"/>
        <v>697.63455934358899</v>
      </c>
      <c r="AN104" s="60">
        <f ca="1">AVERAGE(OFFSET($AM$3,0,0,'Données projet'!$E$10+1,1))-AVERAGE(OFFSET($H$3,0,0,'Données projet'!$E$10+1,1))</f>
        <v>210.85498515082651</v>
      </c>
      <c r="AO104" s="60">
        <f t="shared" si="90"/>
        <v>76.413905647258389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456.68544269509601</v>
      </c>
      <c r="BJ104" s="60">
        <f t="shared" si="92"/>
        <v>417.22363874931852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4.4717948717948701</v>
      </c>
      <c r="BY104" s="13">
        <f>IF('Données projet'!$A$114&gt;35,BY103+BX104-CG103,IF(A104&lt;'Données projet'!$A$114,$BV$205^A104,IF(A104='Données projet'!$A$114,'Données projet'!$B$114,BY103+BX104-CG103)))</f>
        <v>371.52820512820523</v>
      </c>
      <c r="BZ104" s="14">
        <f>BY104*VLOOKUP('Données projet'!$B$12,Paramètres!$A$1:$I$89,3,0)*VLOOKUP('Données projet'!$B$12,Paramètres!$A$1:$I$89,5,0)</f>
        <v>207.68426666666673</v>
      </c>
      <c r="CA104" s="14">
        <f t="shared" si="93"/>
        <v>51.429213586651969</v>
      </c>
      <c r="CB104" s="22">
        <f t="shared" si="64"/>
        <v>451.28931144119673</v>
      </c>
      <c r="CC104" s="60">
        <f t="shared" si="65"/>
        <v>744.62264477453004</v>
      </c>
      <c r="CD104" s="60">
        <f ca="1">AVERAGE(OFFSET($CC$3,0,0,'Données projet'!$E$12+1,1))-AVERAGE(OFFSET($H$3,0,0,'Données projet'!$E$12+1,1))</f>
        <v>234.38946271740315</v>
      </c>
      <c r="CE104" s="60">
        <f t="shared" si="94"/>
        <v>123.9494810355684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5.1281659158383501</v>
      </c>
      <c r="CM104" s="23">
        <f>EXP(-LN(2)/2)*CM103+(1-EXP(-LN(2)/2))/(LN(2)/2)*CG104*CJ104*VLOOKUP('Données projet'!$B$12,Paramètres!$A$1:$I$89,3,0)*0.475*44/12</f>
        <v>3.7930805209552614E-8</v>
      </c>
      <c r="CN104" s="24">
        <f t="shared" si="66"/>
        <v>5.1281659537691553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0" t="e">
        <f t="shared" si="68"/>
        <v>#N/A</v>
      </c>
      <c r="CY104" s="60" t="e">
        <f ca="1">AVERAGE(OFFSET($CX$3,0,0,'Données projet'!$E$13+1,1))-AVERAGE(OFFSET($H$3,0,0,'Données projet'!$E$13+1,1))</f>
        <v>#N/A</v>
      </c>
      <c r="CZ104" s="60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8">
        <f t="shared" si="56"/>
        <v>403.81291167039103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0">
        <f t="shared" si="55"/>
        <v>821.82303552922986</v>
      </c>
      <c r="S105" s="60">
        <f ca="1">AVERAGE(OFFSET($R$3,0,0,'Données projet'!$E$9+1,1))-AVERAGE(OFFSET($H$3,0,0,'Données projet'!$E$9+1,1))</f>
        <v>314.4389771131751</v>
      </c>
      <c r="T105" s="60">
        <f t="shared" si="88"/>
        <v>176.7239677722049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3.1</v>
      </c>
      <c r="AI105" s="14">
        <f>IF('Données projet'!$A$62&gt;35,AI104+AH105-AQ104,IF(A105&lt;'Données projet'!$A$62,$AF$205^A105,IF(A105='Données projet'!$A$62,'Données projet'!$B$62,AI104+AH105-AQ104)))</f>
        <v>208.19999999999996</v>
      </c>
      <c r="AJ105" s="14">
        <f>AI105*VLOOKUP('Données projet'!$B$10,Paramètres!$A$1:$I$89,3,0)*VLOOKUP('Données projet'!$B$10,Paramètres!$A$1:$I$89,5,0)</f>
        <v>188.37935999999996</v>
      </c>
      <c r="AK105" s="14">
        <f t="shared" si="89"/>
        <v>47.181473920005914</v>
      </c>
      <c r="AL105" s="22">
        <f t="shared" si="58"/>
        <v>410.26845241067684</v>
      </c>
      <c r="AM105" s="60">
        <f t="shared" si="59"/>
        <v>703.60178574401016</v>
      </c>
      <c r="AN105" s="60">
        <f ca="1">AVERAGE(OFFSET($AM$3,0,0,'Données projet'!$E$10+1,1))-AVERAGE(OFFSET($H$3,0,0,'Données projet'!$E$10+1,1))</f>
        <v>210.85498515082651</v>
      </c>
      <c r="AO105" s="60">
        <f t="shared" si="90"/>
        <v>76.413905647258389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456.68544269509601</v>
      </c>
      <c r="BJ105" s="60">
        <f t="shared" si="92"/>
        <v>417.22363874931852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4.4717948717948701</v>
      </c>
      <c r="BY105" s="13">
        <f>IF('Données projet'!$A$114&gt;35,BY104+BX105-CG104,IF(A105&lt;'Données projet'!$A$114,$BV$205^A105,IF(A105='Données projet'!$A$114,'Données projet'!$B$114,BY104+BX105-CG104)))</f>
        <v>376.00000000000011</v>
      </c>
      <c r="BZ105" s="14">
        <f>BY105*VLOOKUP('Données projet'!$B$12,Paramètres!$A$1:$I$89,3,0)*VLOOKUP('Données projet'!$B$12,Paramètres!$A$1:$I$89,5,0)</f>
        <v>210.18400000000005</v>
      </c>
      <c r="CA105" s="14">
        <f t="shared" si="93"/>
        <v>51.975792277931433</v>
      </c>
      <c r="CB105" s="22">
        <f t="shared" si="64"/>
        <v>456.59497155073063</v>
      </c>
      <c r="CC105" s="60">
        <f t="shared" si="65"/>
        <v>749.92830488406389</v>
      </c>
      <c r="CD105" s="60">
        <f ca="1">AVERAGE(OFFSET($CC$3,0,0,'Données projet'!$E$12+1,1))-AVERAGE(OFFSET($H$3,0,0,'Données projet'!$E$12+1,1))</f>
        <v>234.38946271740315</v>
      </c>
      <c r="CE105" s="60">
        <f t="shared" si="94"/>
        <v>123.9494810355684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4.9879359491912254</v>
      </c>
      <c r="CM105" s="23">
        <f>EXP(-LN(2)/2)*CM104+(1-EXP(-LN(2)/2))/(LN(2)/2)*CG105*CJ105*VLOOKUP('Données projet'!$B$12,Paramètres!$A$1:$I$89,3,0)*0.475*44/12</f>
        <v>2.6821129579540678E-8</v>
      </c>
      <c r="CN105" s="24">
        <f t="shared" si="66"/>
        <v>4.9879359760123547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0" t="e">
        <f t="shared" si="68"/>
        <v>#N/A</v>
      </c>
      <c r="CY105" s="60" t="e">
        <f ca="1">AVERAGE(OFFSET($CX$3,0,0,'Données projet'!$E$13+1,1))-AVERAGE(OFFSET($H$3,0,0,'Données projet'!$E$13+1,1))</f>
        <v>#N/A</v>
      </c>
      <c r="CZ105" s="60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8">
        <f t="shared" si="56"/>
        <v>404.8673579556679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0">
        <f t="shared" si="55"/>
        <v>830.24430301815983</v>
      </c>
      <c r="S106" s="60">
        <f ca="1">AVERAGE(OFFSET($R$3,0,0,'Données projet'!$E$9+1,1))-AVERAGE(OFFSET($H$3,0,0,'Données projet'!$E$9+1,1))</f>
        <v>314.4389771131751</v>
      </c>
      <c r="T106" s="60">
        <f t="shared" si="88"/>
        <v>176.7239677722049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3.1</v>
      </c>
      <c r="AI106" s="14">
        <f>IF('Données projet'!$A$62&gt;35,AI105+AH106-AQ105,IF(A106&lt;'Données projet'!$A$62,$AF$205^A106,IF(A106='Données projet'!$A$62,'Données projet'!$B$62,AI105+AH106-AQ105)))</f>
        <v>211.29999999999995</v>
      </c>
      <c r="AJ106" s="14">
        <f>AI106*VLOOKUP('Données projet'!$B$10,Paramètres!$A$1:$I$89,3,0)*VLOOKUP('Données projet'!$B$10,Paramètres!$A$1:$I$89,5,0)</f>
        <v>191.18423999999993</v>
      </c>
      <c r="AK106" s="14">
        <f t="shared" si="89"/>
        <v>47.80167674561666</v>
      </c>
      <c r="AL106" s="22">
        <f t="shared" si="58"/>
        <v>416.23380499861554</v>
      </c>
      <c r="AM106" s="60">
        <f t="shared" si="59"/>
        <v>709.56713833194885</v>
      </c>
      <c r="AN106" s="60">
        <f ca="1">AVERAGE(OFFSET($AM$3,0,0,'Données projet'!$E$10+1,1))-AVERAGE(OFFSET($H$3,0,0,'Données projet'!$E$10+1,1))</f>
        <v>210.85498515082651</v>
      </c>
      <c r="AO106" s="60">
        <f t="shared" si="90"/>
        <v>76.413905647258389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456.68544269509601</v>
      </c>
      <c r="BJ106" s="60">
        <f t="shared" si="92"/>
        <v>417.22363874931852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4.4717948717948701</v>
      </c>
      <c r="BY106" s="13">
        <f>IF('Données projet'!$A$114&gt;35,BY105+BX106-CG105,IF(A106&lt;'Données projet'!$A$114,$BV$205^A106,IF(A106='Données projet'!$A$114,'Données projet'!$B$114,BY105+BX106-CG105)))</f>
        <v>380.471794871795</v>
      </c>
      <c r="BZ106" s="14">
        <f>BY106*VLOOKUP('Données projet'!$B$12,Paramètres!$A$1:$I$89,3,0)*VLOOKUP('Données projet'!$B$12,Paramètres!$A$1:$I$89,5,0)</f>
        <v>212.68373333333341</v>
      </c>
      <c r="CA106" s="14">
        <f t="shared" si="93"/>
        <v>52.521614815725137</v>
      </c>
      <c r="CB106" s="22">
        <f t="shared" si="64"/>
        <v>461.89931469294356</v>
      </c>
      <c r="CC106" s="60">
        <f t="shared" si="65"/>
        <v>755.23264802627682</v>
      </c>
      <c r="CD106" s="60">
        <f ca="1">AVERAGE(OFFSET($CC$3,0,0,'Données projet'!$E$12+1,1))-AVERAGE(OFFSET($H$3,0,0,'Données projet'!$E$12+1,1))</f>
        <v>234.38946271740315</v>
      </c>
      <c r="CE106" s="60">
        <f t="shared" si="94"/>
        <v>123.9494810355684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4.85154057835644</v>
      </c>
      <c r="CM106" s="23">
        <f>EXP(-LN(2)/2)*CM105+(1-EXP(-LN(2)/2))/(LN(2)/2)*CG106*CJ106*VLOOKUP('Données projet'!$B$12,Paramètres!$A$1:$I$89,3,0)*0.475*44/12</f>
        <v>1.8965402604776307E-8</v>
      </c>
      <c r="CN106" s="24">
        <f t="shared" si="66"/>
        <v>4.8515405973218426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0" t="e">
        <f t="shared" si="68"/>
        <v>#N/A</v>
      </c>
      <c r="CY106" s="60" t="e">
        <f ca="1">AVERAGE(OFFSET($CX$3,0,0,'Données projet'!$E$13+1,1))-AVERAGE(OFFSET($H$3,0,0,'Données projet'!$E$13+1,1))</f>
        <v>#N/A</v>
      </c>
      <c r="CZ106" s="60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8">
        <f t="shared" si="56"/>
        <v>405.92155947794635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0">
        <f t="shared" si="55"/>
        <v>838.6627946025028</v>
      </c>
      <c r="S107" s="60">
        <f ca="1">AVERAGE(OFFSET($R$3,0,0,'Données projet'!$E$9+1,1))-AVERAGE(OFFSET($H$3,0,0,'Données projet'!$E$9+1,1))</f>
        <v>314.4389771131751</v>
      </c>
      <c r="T107" s="60">
        <f t="shared" si="88"/>
        <v>176.7239677722049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3.1</v>
      </c>
      <c r="AI107" s="14">
        <f>IF('Données projet'!$A$62&gt;35,AI106+AH107-AQ106,IF(A107&lt;'Données projet'!$A$62,$AF$205^A107,IF(A107='Données projet'!$A$62,'Données projet'!$B$62,AI106+AH107-AQ106)))</f>
        <v>214.39999999999995</v>
      </c>
      <c r="AJ107" s="14">
        <f>AI107*VLOOKUP('Données projet'!$B$10,Paramètres!$A$1:$I$89,3,0)*VLOOKUP('Données projet'!$B$10,Paramètres!$A$1:$I$89,5,0)</f>
        <v>193.98911999999996</v>
      </c>
      <c r="AK107" s="14">
        <f t="shared" si="89"/>
        <v>48.420821305775434</v>
      </c>
      <c r="AL107" s="22">
        <f t="shared" si="58"/>
        <v>422.19731444089211</v>
      </c>
      <c r="AM107" s="60">
        <f t="shared" si="59"/>
        <v>715.53064777422537</v>
      </c>
      <c r="AN107" s="60">
        <f ca="1">AVERAGE(OFFSET($AM$3,0,0,'Données projet'!$E$10+1,1))-AVERAGE(OFFSET($H$3,0,0,'Données projet'!$E$10+1,1))</f>
        <v>210.85498515082651</v>
      </c>
      <c r="AO107" s="60">
        <f t="shared" si="90"/>
        <v>76.413905647258389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456.68544269509601</v>
      </c>
      <c r="BJ107" s="60">
        <f t="shared" si="92"/>
        <v>417.22363874931852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4.4717948717948701</v>
      </c>
      <c r="BY107" s="13">
        <f>IF('Données projet'!$A$114&gt;35,BY106+BX107-CG106,IF(A107&lt;'Données projet'!$A$114,$BV$205^A107,IF(A107='Données projet'!$A$114,'Données projet'!$B$114,BY106+BX107-CG106)))</f>
        <v>384.94358974358988</v>
      </c>
      <c r="BZ107" s="14">
        <f>BY107*VLOOKUP('Données projet'!$B$12,Paramètres!$A$1:$I$89,3,0)*VLOOKUP('Données projet'!$B$12,Paramètres!$A$1:$I$89,5,0)</f>
        <v>215.18346666666676</v>
      </c>
      <c r="CA107" s="14">
        <f t="shared" si="93"/>
        <v>53.066691115479117</v>
      </c>
      <c r="CB107" s="22">
        <f t="shared" si="64"/>
        <v>467.20235813723747</v>
      </c>
      <c r="CC107" s="60">
        <f t="shared" si="65"/>
        <v>760.53569147057078</v>
      </c>
      <c r="CD107" s="60">
        <f ca="1">AVERAGE(OFFSET($CC$3,0,0,'Données projet'!$E$12+1,1))-AVERAGE(OFFSET($H$3,0,0,'Données projet'!$E$12+1,1))</f>
        <v>234.38946271740315</v>
      </c>
      <c r="CE107" s="60">
        <f t="shared" si="94"/>
        <v>123.9494810355684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4.7188749461098523</v>
      </c>
      <c r="CM107" s="23">
        <f>EXP(-LN(2)/2)*CM106+(1-EXP(-LN(2)/2))/(LN(2)/2)*CG107*CJ107*VLOOKUP('Données projet'!$B$12,Paramètres!$A$1:$I$89,3,0)*0.475*44/12</f>
        <v>1.3410564789770339E-8</v>
      </c>
      <c r="CN107" s="24">
        <f t="shared" si="66"/>
        <v>4.7188749595204174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0" t="e">
        <f t="shared" si="68"/>
        <v>#N/A</v>
      </c>
      <c r="CY107" s="60" t="e">
        <f ca="1">AVERAGE(OFFSET($CX$3,0,0,'Données projet'!$E$13+1,1))-AVERAGE(OFFSET($H$3,0,0,'Données projet'!$E$13+1,1))</f>
        <v>#N/A</v>
      </c>
      <c r="CZ107" s="60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8">
        <f t="shared" si="56"/>
        <v>406.9755188632746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0">
        <f t="shared" si="55"/>
        <v>847.07855918499604</v>
      </c>
      <c r="S108" s="60">
        <f ca="1">AVERAGE(OFFSET($R$3,0,0,'Données projet'!$E$9+1,1))-AVERAGE(OFFSET($H$3,0,0,'Données projet'!$E$9+1,1))</f>
        <v>314.4389771131751</v>
      </c>
      <c r="T108" s="60">
        <f t="shared" si="88"/>
        <v>176.7239677722049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3.1</v>
      </c>
      <c r="AI108" s="14">
        <f>IF('Données projet'!$A$62&gt;35,AI107+AH108-AQ107,IF(A108&lt;'Données projet'!$A$62,$AF$205^A108,IF(A108='Données projet'!$A$62,'Données projet'!$B$62,AI107+AH108-AQ107)))</f>
        <v>217.49999999999994</v>
      </c>
      <c r="AJ108" s="14">
        <f>AI108*VLOOKUP('Données projet'!$B$10,Paramètres!$A$1:$I$89,3,0)*VLOOKUP('Données projet'!$B$10,Paramètres!$A$1:$I$89,5,0)</f>
        <v>196.79399999999995</v>
      </c>
      <c r="AK108" s="14">
        <f t="shared" si="89"/>
        <v>49.038924669809596</v>
      </c>
      <c r="AL108" s="22">
        <f t="shared" si="58"/>
        <v>428.15901046658496</v>
      </c>
      <c r="AM108" s="60">
        <f t="shared" si="59"/>
        <v>721.49234379991822</v>
      </c>
      <c r="AN108" s="60">
        <f ca="1">AVERAGE(OFFSET($AM$3,0,0,'Données projet'!$E$10+1,1))-AVERAGE(OFFSET($H$3,0,0,'Données projet'!$E$10+1,1))</f>
        <v>210.85498515082651</v>
      </c>
      <c r="AO108" s="60">
        <f t="shared" si="90"/>
        <v>76.413905647258389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456.68544269509601</v>
      </c>
      <c r="BJ108" s="60">
        <f t="shared" si="92"/>
        <v>417.22363874931852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4.4717948717948701</v>
      </c>
      <c r="BY108" s="13">
        <f>IF('Données projet'!$A$114&gt;35,BY107+BX108-CG107,IF(A108&lt;'Données projet'!$A$114,$BV$205^A108,IF(A108='Données projet'!$A$114,'Données projet'!$B$114,BY107+BX108-CG107)))</f>
        <v>389.41538461538477</v>
      </c>
      <c r="BZ108" s="14">
        <f>BY108*VLOOKUP('Données projet'!$B$12,Paramètres!$A$1:$I$89,3,0)*VLOOKUP('Données projet'!$B$12,Paramètres!$A$1:$I$89,5,0)</f>
        <v>217.68320000000008</v>
      </c>
      <c r="CA108" s="14">
        <f t="shared" si="93"/>
        <v>53.611030849009659</v>
      </c>
      <c r="CB108" s="22">
        <f t="shared" si="64"/>
        <v>472.50411872869199</v>
      </c>
      <c r="CC108" s="60">
        <f t="shared" si="65"/>
        <v>765.83745206202525</v>
      </c>
      <c r="CD108" s="60">
        <f ca="1">AVERAGE(OFFSET($CC$3,0,0,'Données projet'!$E$12+1,1))-AVERAGE(OFFSET($H$3,0,0,'Données projet'!$E$12+1,1))</f>
        <v>234.38946271740315</v>
      </c>
      <c r="CE108" s="60">
        <f t="shared" si="94"/>
        <v>123.9494810355684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4.58983706255363</v>
      </c>
      <c r="CM108" s="23">
        <f>EXP(-LN(2)/2)*CM107+(1-EXP(-LN(2)/2))/(LN(2)/2)*CG108*CJ108*VLOOKUP('Données projet'!$B$12,Paramètres!$A$1:$I$89,3,0)*0.475*44/12</f>
        <v>9.4827013023881535E-9</v>
      </c>
      <c r="CN108" s="24">
        <f t="shared" si="66"/>
        <v>4.5898370720363317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0" t="e">
        <f t="shared" si="68"/>
        <v>#N/A</v>
      </c>
      <c r="CY108" s="60" t="e">
        <f ca="1">AVERAGE(OFFSET($CX$3,0,0,'Données projet'!$E$13+1,1))-AVERAGE(OFFSET($H$3,0,0,'Données projet'!$E$13+1,1))</f>
        <v>#N/A</v>
      </c>
      <c r="CZ108" s="60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8">
        <f t="shared" si="56"/>
        <v>408.0292386847965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0">
        <f t="shared" si="55"/>
        <v>855.49164406048612</v>
      </c>
      <c r="S109" s="60">
        <f ca="1">AVERAGE(OFFSET($R$3,0,0,'Données projet'!$E$9+1,1))-AVERAGE(OFFSET($H$3,0,0,'Données projet'!$E$9+1,1))</f>
        <v>314.4389771131751</v>
      </c>
      <c r="T109" s="60">
        <f t="shared" si="88"/>
        <v>176.7239677722049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3.1</v>
      </c>
      <c r="AI109" s="14">
        <f>IF('Données projet'!$A$62&gt;35,AI108+AH109-AQ108,IF(A109&lt;'Données projet'!$A$62,$AF$205^A109,IF(A109='Données projet'!$A$62,'Données projet'!$B$62,AI108+AH109-AQ108)))</f>
        <v>220.59999999999994</v>
      </c>
      <c r="AJ109" s="14">
        <f>AI109*VLOOKUP('Données projet'!$B$10,Paramètres!$A$1:$I$89,3,0)*VLOOKUP('Données projet'!$B$10,Paramètres!$A$1:$I$89,5,0)</f>
        <v>199.59887999999992</v>
      </c>
      <c r="AK109" s="14">
        <f t="shared" si="89"/>
        <v>49.656003392528994</v>
      </c>
      <c r="AL109" s="22">
        <f t="shared" si="58"/>
        <v>434.1189219086545</v>
      </c>
      <c r="AM109" s="60">
        <f t="shared" si="59"/>
        <v>727.45225524198781</v>
      </c>
      <c r="AN109" s="60">
        <f ca="1">AVERAGE(OFFSET($AM$3,0,0,'Données projet'!$E$10+1,1))-AVERAGE(OFFSET($H$3,0,0,'Données projet'!$E$10+1,1))</f>
        <v>210.85498515082651</v>
      </c>
      <c r="AO109" s="60">
        <f t="shared" si="90"/>
        <v>76.413905647258389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456.68544269509601</v>
      </c>
      <c r="BJ109" s="60">
        <f t="shared" si="92"/>
        <v>417.22363874931852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4.4717948717948701</v>
      </c>
      <c r="BY109" s="13">
        <f>IF('Données projet'!$A$114&gt;35,BY108+BX109-CG108,IF(A109&lt;'Données projet'!$A$114,$BV$205^A109,IF(A109='Données projet'!$A$114,'Données projet'!$B$114,BY108+BX109-CG108)))</f>
        <v>393.88717948717965</v>
      </c>
      <c r="BZ109" s="14">
        <f>BY109*VLOOKUP('Données projet'!$B$12,Paramètres!$A$1:$I$89,3,0)*VLOOKUP('Données projet'!$B$12,Paramètres!$A$1:$I$89,5,0)</f>
        <v>220.18293333333344</v>
      </c>
      <c r="CA109" s="14">
        <f t="shared" si="93"/>
        <v>54.154643453217062</v>
      </c>
      <c r="CB109" s="22">
        <f t="shared" si="64"/>
        <v>477.80461290324206</v>
      </c>
      <c r="CC109" s="60">
        <f t="shared" si="65"/>
        <v>771.13794623657532</v>
      </c>
      <c r="CD109" s="60">
        <f ca="1">AVERAGE(OFFSET($CC$3,0,0,'Données projet'!$E$12+1,1))-AVERAGE(OFFSET($H$3,0,0,'Données projet'!$E$12+1,1))</f>
        <v>234.38946271740315</v>
      </c>
      <c r="CE109" s="60">
        <f t="shared" si="94"/>
        <v>123.9494810355684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4.46432772670906</v>
      </c>
      <c r="CM109" s="23">
        <f>EXP(-LN(2)/2)*CM108+(1-EXP(-LN(2)/2))/(LN(2)/2)*CG109*CJ109*VLOOKUP('Données projet'!$B$12,Paramètres!$A$1:$I$89,3,0)*0.475*44/12</f>
        <v>6.7052823948851694E-9</v>
      </c>
      <c r="CN109" s="24">
        <f t="shared" si="66"/>
        <v>4.4643277334143425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0" t="e">
        <f t="shared" si="68"/>
        <v>#N/A</v>
      </c>
      <c r="CY109" s="60" t="e">
        <f ca="1">AVERAGE(OFFSET($CX$3,0,0,'Données projet'!$E$13+1,1))-AVERAGE(OFFSET($H$3,0,0,'Données projet'!$E$13+1,1))</f>
        <v>#N/A</v>
      </c>
      <c r="CZ109" s="60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8">
        <f t="shared" si="56"/>
        <v>409.08272146430653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0">
        <f t="shared" si="55"/>
        <v>863.9020949925864</v>
      </c>
      <c r="S110" s="60">
        <f ca="1">AVERAGE(OFFSET($R$3,0,0,'Données projet'!$E$9+1,1))-AVERAGE(OFFSET($H$3,0,0,'Données projet'!$E$9+1,1))</f>
        <v>314.4389771131751</v>
      </c>
      <c r="T110" s="60">
        <f t="shared" si="88"/>
        <v>176.7239677722049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3.1</v>
      </c>
      <c r="AI110" s="14">
        <f>IF('Données projet'!$A$62&gt;35,AI109+AH110-AQ109,IF(A110&lt;'Données projet'!$A$62,$AF$205^A110,IF(A110='Données projet'!$A$62,'Données projet'!$B$62,AI109+AH110-AQ109)))</f>
        <v>223.69999999999993</v>
      </c>
      <c r="AJ110" s="14">
        <f>AI110*VLOOKUP('Données projet'!$B$10,Paramètres!$A$1:$I$89,3,0)*VLOOKUP('Données projet'!$B$10,Paramètres!$A$1:$I$89,5,0)</f>
        <v>202.40375999999992</v>
      </c>
      <c r="AK110" s="14">
        <f t="shared" si="89"/>
        <v>50.272073536742994</v>
      </c>
      <c r="AL110" s="22">
        <f t="shared" si="58"/>
        <v>440.0770767431606</v>
      </c>
      <c r="AM110" s="60">
        <f t="shared" si="59"/>
        <v>733.41041007649392</v>
      </c>
      <c r="AN110" s="60">
        <f ca="1">AVERAGE(OFFSET($AM$3,0,0,'Données projet'!$E$10+1,1))-AVERAGE(OFFSET($H$3,0,0,'Données projet'!$E$10+1,1))</f>
        <v>210.85498515082651</v>
      </c>
      <c r="AO110" s="60">
        <f t="shared" si="90"/>
        <v>76.413905647258389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456.68544269509601</v>
      </c>
      <c r="BJ110" s="60">
        <f t="shared" si="92"/>
        <v>417.22363874931852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4.4717948717948701</v>
      </c>
      <c r="BY110" s="13">
        <f>IF('Données projet'!$A$114&gt;35,BY109+BX110-CG109,IF(A110&lt;'Données projet'!$A$114,$BV$205^A110,IF(A110='Données projet'!$A$114,'Données projet'!$B$114,BY109+BX110-CG109)))</f>
        <v>398.35897435897454</v>
      </c>
      <c r="BZ110" s="14">
        <f>BY110*VLOOKUP('Données projet'!$B$12,Paramètres!$A$1:$I$89,3,0)*VLOOKUP('Données projet'!$B$12,Paramètres!$A$1:$I$89,5,0)</f>
        <v>222.68266666666679</v>
      </c>
      <c r="CA110" s="14">
        <f t="shared" si="93"/>
        <v>54.697538138392133</v>
      </c>
      <c r="CB110" s="22">
        <f t="shared" si="64"/>
        <v>483.10385670214424</v>
      </c>
      <c r="CC110" s="60">
        <f t="shared" si="65"/>
        <v>776.43719003547756</v>
      </c>
      <c r="CD110" s="60">
        <f ca="1">AVERAGE(OFFSET($CC$3,0,0,'Données projet'!$E$12+1,1))-AVERAGE(OFFSET($H$3,0,0,'Données projet'!$E$12+1,1))</f>
        <v>234.38946271740315</v>
      </c>
      <c r="CE110" s="60">
        <f t="shared" si="94"/>
        <v>123.9494810355684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4.3422504502534087</v>
      </c>
      <c r="CM110" s="23">
        <f>EXP(-LN(2)/2)*CM109+(1-EXP(-LN(2)/2))/(LN(2)/2)*CG110*CJ110*VLOOKUP('Données projet'!$B$12,Paramètres!$A$1:$I$89,3,0)*0.475*44/12</f>
        <v>4.7413506511940767E-9</v>
      </c>
      <c r="CN110" s="24">
        <f t="shared" si="66"/>
        <v>4.3422504549947591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0" t="e">
        <f t="shared" si="68"/>
        <v>#N/A</v>
      </c>
      <c r="CY110" s="60" t="e">
        <f ca="1">AVERAGE(OFFSET($CX$3,0,0,'Données projet'!$E$13+1,1))-AVERAGE(OFFSET($H$3,0,0,'Données projet'!$E$13+1,1))</f>
        <v>#N/A</v>
      </c>
      <c r="CZ110" s="60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8">
        <f t="shared" si="56"/>
        <v>410.13596967374428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0">
        <f t="shared" si="55"/>
        <v>872.30995628558094</v>
      </c>
      <c r="S111" s="60">
        <f ca="1">AVERAGE(OFFSET($R$3,0,0,'Données projet'!$E$9+1,1))-AVERAGE(OFFSET($H$3,0,0,'Données projet'!$E$9+1,1))</f>
        <v>314.4389771131751</v>
      </c>
      <c r="T111" s="60">
        <f t="shared" si="88"/>
        <v>176.7239677722049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3.1</v>
      </c>
      <c r="AI111" s="14">
        <f>IF('Données projet'!$A$62&gt;35,AI110+AH111-AQ110,IF(A111&lt;'Données projet'!$A$62,$AF$205^A111,IF(A111='Données projet'!$A$62,'Données projet'!$B$62,AI110+AH111-AQ110)))</f>
        <v>226.79999999999993</v>
      </c>
      <c r="AJ111" s="14">
        <f>AI111*VLOOKUP('Données projet'!$B$10,Paramètres!$A$1:$I$89,3,0)*VLOOKUP('Données projet'!$B$10,Paramètres!$A$1:$I$89,5,0)</f>
        <v>205.20863999999995</v>
      </c>
      <c r="AK111" s="14">
        <f t="shared" si="89"/>
        <v>50.887150694493549</v>
      </c>
      <c r="AL111" s="22">
        <f t="shared" si="58"/>
        <v>446.03350212624281</v>
      </c>
      <c r="AM111" s="60">
        <f t="shared" si="59"/>
        <v>739.36683545957612</v>
      </c>
      <c r="AN111" s="60">
        <f ca="1">AVERAGE(OFFSET($AM$3,0,0,'Données projet'!$E$10+1,1))-AVERAGE(OFFSET($H$3,0,0,'Données projet'!$E$10+1,1))</f>
        <v>210.85498515082651</v>
      </c>
      <c r="AO111" s="60">
        <f t="shared" si="90"/>
        <v>76.413905647258389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456.68544269509601</v>
      </c>
      <c r="BJ111" s="60">
        <f t="shared" si="92"/>
        <v>417.22363874931852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>
        <f>VLOOKUP(A111,'Données projet'!$A$113:$I$133,2,0)</f>
        <v>402.83076923076919</v>
      </c>
      <c r="BW111" s="13">
        <f>VLOOKUP(A111,'Données projet'!$A$113:$I$133,9,0)</f>
        <v>4.4717948717948701</v>
      </c>
      <c r="BX111" s="13">
        <f t="array" ref="BX111">INDEX(BW:BW,MIN(IF(ISNUMBER(BW111:BW307),ROW(BW111:BW307),"")))</f>
        <v>4.4717948717948701</v>
      </c>
      <c r="BY111" s="13">
        <f>IF('Données projet'!$A$114&gt;35,BY110+BX111-CG110,IF(A111&lt;'Données projet'!$A$114,$BV$205^A111,IF(A111='Données projet'!$A$114,'Données projet'!$B$114,BY110+BX111-CG110)))</f>
        <v>402.83076923076942</v>
      </c>
      <c r="BZ111" s="14">
        <f>BY111*VLOOKUP('Données projet'!$B$12,Paramètres!$A$1:$I$89,3,0)*VLOOKUP('Données projet'!$B$12,Paramètres!$A$1:$I$89,5,0)</f>
        <v>225.18240000000009</v>
      </c>
      <c r="CA111" s="14">
        <f t="shared" si="93"/>
        <v>55.239723896139161</v>
      </c>
      <c r="CB111" s="22">
        <f t="shared" si="64"/>
        <v>488.40186578577578</v>
      </c>
      <c r="CC111" s="60">
        <f t="shared" si="65"/>
        <v>781.7351991191091</v>
      </c>
      <c r="CD111" s="60">
        <f ca="1">AVERAGE(OFFSET($CC$3,0,0,'Données projet'!$E$12+1,1))-AVERAGE(OFFSET($H$3,0,0,'Données projet'!$E$12+1,1))</f>
        <v>234.38946271740315</v>
      </c>
      <c r="CE111" s="60">
        <f t="shared" si="94"/>
        <v>123.9494810355684</v>
      </c>
      <c r="CF111" s="16">
        <f>IF(ISNA(VLOOKUP(A111,'Données projet'!$A$113:$I$133,3,0)),0,VLOOKUP(A111,'Données projet'!$A$113:$I$133,3,0))</f>
        <v>8</v>
      </c>
      <c r="CG111" s="16">
        <f>IF(ISNA(VLOOKUP(A111,'Données projet'!$A$113:$I$133,4,0)),0,VLOOKUP(A111,'Données projet'!$A$113:$I$133,4,0))</f>
        <v>52.361538461538451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4.2235113833422027</v>
      </c>
      <c r="CM111" s="23">
        <f>EXP(-LN(2)/2)*CM110+(1-EXP(-LN(2)/2))/(LN(2)/2)*CG111*CJ111*VLOOKUP('Données projet'!$B$12,Paramètres!$A$1:$I$89,3,0)*0.475*44/12</f>
        <v>3.3526411974425847E-9</v>
      </c>
      <c r="CN111" s="24">
        <f t="shared" si="66"/>
        <v>4.2235113866948435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0" t="e">
        <f t="shared" si="68"/>
        <v>#N/A</v>
      </c>
      <c r="CY111" s="60" t="e">
        <f ca="1">AVERAGE(OFFSET($CX$3,0,0,'Données projet'!$E$13+1,1))-AVERAGE(OFFSET($H$3,0,0,'Données projet'!$E$13+1,1))</f>
        <v>#N/A</v>
      </c>
      <c r="CZ111" s="60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8">
        <f t="shared" si="56"/>
        <v>411.18898573663273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0">
        <f t="shared" si="55"/>
        <v>880.71527085193179</v>
      </c>
      <c r="S112" s="60">
        <f ca="1">AVERAGE(OFFSET($R$3,0,0,'Données projet'!$E$9+1,1))-AVERAGE(OFFSET($H$3,0,0,'Données projet'!$E$9+1,1))</f>
        <v>314.4389771131751</v>
      </c>
      <c r="T112" s="60">
        <f t="shared" si="88"/>
        <v>176.7239677722049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3.1</v>
      </c>
      <c r="AI112" s="14">
        <f>IF('Données projet'!$A$62&gt;35,AI111+AH112-AQ111,IF(A112&lt;'Données projet'!$A$62,$AF$205^A112,IF(A112='Données projet'!$A$62,'Données projet'!$B$62,AI111+AH112-AQ111)))</f>
        <v>229.89999999999992</v>
      </c>
      <c r="AJ112" s="14">
        <f>AI112*VLOOKUP('Données projet'!$B$10,Paramètres!$A$1:$I$89,3,0)*VLOOKUP('Données projet'!$B$10,Paramètres!$A$1:$I$89,5,0)</f>
        <v>208.01351999999994</v>
      </c>
      <c r="AK112" s="14">
        <f t="shared" si="89"/>
        <v>51.501250007095145</v>
      </c>
      <c r="AL112" s="22">
        <f t="shared" si="58"/>
        <v>451.98822442902389</v>
      </c>
      <c r="AM112" s="60">
        <f t="shared" si="59"/>
        <v>745.3215577623572</v>
      </c>
      <c r="AN112" s="60">
        <f ca="1">AVERAGE(OFFSET($AM$3,0,0,'Données projet'!$E$10+1,1))-AVERAGE(OFFSET($H$3,0,0,'Données projet'!$E$10+1,1))</f>
        <v>210.85498515082651</v>
      </c>
      <c r="AO112" s="60">
        <f t="shared" si="90"/>
        <v>76.413905647258389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456.68544269509601</v>
      </c>
      <c r="BJ112" s="60">
        <f t="shared" si="92"/>
        <v>417.22363874931852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3.4711538461538445</v>
      </c>
      <c r="BY112" s="13">
        <f>IF('Données projet'!$A$114&gt;35,BY111+BX112-CG111,IF(A112&lt;'Données projet'!$A$114,$BV$205^A112,IF(A112='Données projet'!$A$114,'Données projet'!$B$114,BY111+BX112-CG111)))</f>
        <v>353.94038461538486</v>
      </c>
      <c r="BZ112" s="14">
        <f>BY112*VLOOKUP('Données projet'!$B$12,Paramètres!$A$1:$I$89,3,0)*VLOOKUP('Données projet'!$B$12,Paramètres!$A$1:$I$89,5,0)</f>
        <v>197.85267500000012</v>
      </c>
      <c r="CA112" s="14">
        <f t="shared" si="93"/>
        <v>49.271954610952193</v>
      </c>
      <c r="CB112" s="22">
        <f t="shared" si="64"/>
        <v>430.40872990574189</v>
      </c>
      <c r="CC112" s="60">
        <f t="shared" si="65"/>
        <v>723.74206323907515</v>
      </c>
      <c r="CD112" s="60">
        <f ca="1">AVERAGE(OFFSET($CC$3,0,0,'Données projet'!$E$12+1,1))-AVERAGE(OFFSET($H$3,0,0,'Données projet'!$E$12+1,1))</f>
        <v>234.38946271740315</v>
      </c>
      <c r="CE112" s="60">
        <f t="shared" si="94"/>
        <v>123.9494810355684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4.1080192424598998</v>
      </c>
      <c r="CM112" s="23">
        <f>EXP(-LN(2)/2)*CM111+(1-EXP(-LN(2)/2))/(LN(2)/2)*CG112*CJ112*VLOOKUP('Données projet'!$B$12,Paramètres!$A$1:$I$89,3,0)*0.475*44/12</f>
        <v>2.3706753255970384E-9</v>
      </c>
      <c r="CN112" s="24">
        <f t="shared" si="66"/>
        <v>4.108019244830575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0" t="e">
        <f t="shared" si="68"/>
        <v>#N/A</v>
      </c>
      <c r="CY112" s="60" t="e">
        <f ca="1">AVERAGE(OFFSET($CX$3,0,0,'Données projet'!$E$13+1,1))-AVERAGE(OFFSET($H$3,0,0,'Données projet'!$E$13+1,1))</f>
        <v>#N/A</v>
      </c>
      <c r="CZ112" s="60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8">
        <f t="shared" si="56"/>
        <v>412.2417720294614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0">
        <f t="shared" si="55"/>
        <v>889.11808027572556</v>
      </c>
      <c r="S113" s="60">
        <f ca="1">AVERAGE(OFFSET($R$3,0,0,'Données projet'!$E$9+1,1))-AVERAGE(OFFSET($H$3,0,0,'Données projet'!$E$9+1,1))</f>
        <v>314.4389771131751</v>
      </c>
      <c r="T113" s="60">
        <f t="shared" si="88"/>
        <v>176.7239677722049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233</v>
      </c>
      <c r="AG113" s="13">
        <f>VLOOKUP(A113,'Données projet'!$A$61:$I$81,9,0)</f>
        <v>3.1</v>
      </c>
      <c r="AH113" s="13">
        <f t="array" ref="AH113">INDEX(AG:AG,MIN(IF(ISNUMBER(AG113:AG309),ROW(AG113:AG309),"")))</f>
        <v>3.1</v>
      </c>
      <c r="AI113" s="14">
        <f>IF('Données projet'!$A$62&gt;35,AI112+AH113-AQ112,IF(A113&lt;'Données projet'!$A$62,$AF$205^A113,IF(A113='Données projet'!$A$62,'Données projet'!$B$62,AI112+AH113-AQ112)))</f>
        <v>232.99999999999991</v>
      </c>
      <c r="AJ113" s="14">
        <f>AI113*VLOOKUP('Données projet'!$B$10,Paramètres!$A$1:$I$89,3,0)*VLOOKUP('Données projet'!$B$10,Paramètres!$A$1:$I$89,5,0)</f>
        <v>210.81839999999988</v>
      </c>
      <c r="AK113" s="14">
        <f t="shared" si="89"/>
        <v>52.114386184062155</v>
      </c>
      <c r="AL113" s="22">
        <f t="shared" si="58"/>
        <v>457.94126927057465</v>
      </c>
      <c r="AM113" s="60">
        <f t="shared" si="59"/>
        <v>751.27460260390797</v>
      </c>
      <c r="AN113" s="60">
        <f ca="1">AVERAGE(OFFSET($AM$3,0,0,'Données projet'!$E$10+1,1))-AVERAGE(OFFSET($H$3,0,0,'Données projet'!$E$10+1,1))</f>
        <v>210.85498515082651</v>
      </c>
      <c r="AO113" s="60">
        <f t="shared" si="90"/>
        <v>76.413905647258389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27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456.68544269509601</v>
      </c>
      <c r="BJ113" s="60">
        <f t="shared" si="92"/>
        <v>417.22363874931852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3.4711538461538445</v>
      </c>
      <c r="BY113" s="13">
        <f>IF('Données projet'!$A$114&gt;35,BY112+BX113-CG112,IF(A113&lt;'Données projet'!$A$114,$BV$205^A113,IF(A113='Données projet'!$A$114,'Données projet'!$B$114,BY112+BX113-CG112)))</f>
        <v>357.41153846153873</v>
      </c>
      <c r="BZ113" s="14">
        <f>BY113*VLOOKUP('Données projet'!$B$12,Paramètres!$A$1:$I$89,3,0)*VLOOKUP('Données projet'!$B$12,Paramètres!$A$1:$I$89,5,0)</f>
        <v>199.79305000000014</v>
      </c>
      <c r="CA113" s="14">
        <f t="shared" si="93"/>
        <v>49.698683639083264</v>
      </c>
      <c r="CB113" s="22">
        <f t="shared" si="64"/>
        <v>434.53143608807022</v>
      </c>
      <c r="CC113" s="60">
        <f t="shared" si="65"/>
        <v>727.86476942140348</v>
      </c>
      <c r="CD113" s="60">
        <f ca="1">AVERAGE(OFFSET($CC$3,0,0,'Données projet'!$E$12+1,1))-AVERAGE(OFFSET($H$3,0,0,'Données projet'!$E$12+1,1))</f>
        <v>234.38946271740315</v>
      </c>
      <c r="CE113" s="60">
        <f t="shared" si="94"/>
        <v>123.9494810355684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3.9956852402434908</v>
      </c>
      <c r="CM113" s="23">
        <f>EXP(-LN(2)/2)*CM112+(1-EXP(-LN(2)/2))/(LN(2)/2)*CG113*CJ113*VLOOKUP('Données projet'!$B$12,Paramètres!$A$1:$I$89,3,0)*0.475*44/12</f>
        <v>1.6763205987212923E-9</v>
      </c>
      <c r="CN113" s="24">
        <f t="shared" si="66"/>
        <v>3.9956852419198112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0" t="e">
        <f t="shared" si="68"/>
        <v>#N/A</v>
      </c>
      <c r="CY113" s="60" t="e">
        <f ca="1">AVERAGE(OFFSET($CX$3,0,0,'Données projet'!$E$13+1,1))-AVERAGE(OFFSET($H$3,0,0,'Données projet'!$E$13+1,1))</f>
        <v>#N/A</v>
      </c>
      <c r="CZ113" s="60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8">
        <f t="shared" si="56"/>
        <v>413.29433088301869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0">
        <f t="shared" si="55"/>
        <v>821.63161043190416</v>
      </c>
      <c r="S114" s="60">
        <f ca="1">AVERAGE(OFFSET($R$3,0,0,'Données projet'!$E$9+1,1))-AVERAGE(OFFSET($H$3,0,0,'Données projet'!$E$9+1,1))</f>
        <v>314.4389771131751</v>
      </c>
      <c r="T114" s="60">
        <f t="shared" si="88"/>
        <v>176.7239677722049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208.79999999999993</v>
      </c>
      <c r="AJ114" s="14">
        <f>AI114*VLOOKUP('Données projet'!$B$10,Paramètres!$A$1:$I$89,3,0)*VLOOKUP('Données projet'!$B$10,Paramètres!$A$1:$I$89,5,0)</f>
        <v>188.9222399999999</v>
      </c>
      <c r="AK114" s="14">
        <f t="shared" si="89"/>
        <v>47.301596587245974</v>
      </c>
      <c r="AL114" s="22">
        <f t="shared" si="58"/>
        <v>411.42318205611986</v>
      </c>
      <c r="AM114" s="60">
        <f t="shared" si="59"/>
        <v>704.75651538945317</v>
      </c>
      <c r="AN114" s="60">
        <f ca="1">AVERAGE(OFFSET($AM$3,0,0,'Données projet'!$E$10+1,1))-AVERAGE(OFFSET($H$3,0,0,'Données projet'!$E$10+1,1))</f>
        <v>210.85498515082651</v>
      </c>
      <c r="AO114" s="60">
        <f t="shared" si="90"/>
        <v>76.413905647258389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456.68544269509601</v>
      </c>
      <c r="BJ114" s="60">
        <f t="shared" si="92"/>
        <v>417.22363874931852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3.4711538461538445</v>
      </c>
      <c r="BY114" s="13">
        <f>IF('Données projet'!$A$114&gt;35,BY113+BX114-CG113,IF(A114&lt;'Données projet'!$A$114,$BV$205^A114,IF(A114='Données projet'!$A$114,'Données projet'!$B$114,BY113+BX114-CG113)))</f>
        <v>360.88269230769259</v>
      </c>
      <c r="BZ114" s="14">
        <f>BY114*VLOOKUP('Données projet'!$B$12,Paramètres!$A$1:$I$89,3,0)*VLOOKUP('Données projet'!$B$12,Paramètres!$A$1:$I$89,5,0)</f>
        <v>201.73342500000015</v>
      </c>
      <c r="CA114" s="14">
        <f t="shared" si="93"/>
        <v>50.124930528254644</v>
      </c>
      <c r="CB114" s="22">
        <f t="shared" si="64"/>
        <v>438.65330254504374</v>
      </c>
      <c r="CC114" s="60">
        <f t="shared" si="65"/>
        <v>731.986635878377</v>
      </c>
      <c r="CD114" s="60">
        <f ca="1">AVERAGE(OFFSET($CC$3,0,0,'Données projet'!$E$12+1,1))-AVERAGE(OFFSET($H$3,0,0,'Données projet'!$E$12+1,1))</f>
        <v>234.38946271740315</v>
      </c>
      <c r="CE114" s="60">
        <f t="shared" si="94"/>
        <v>123.9494810355684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3.886423017225078</v>
      </c>
      <c r="CM114" s="23">
        <f>EXP(-LN(2)/2)*CM113+(1-EXP(-LN(2)/2))/(LN(2)/2)*CG114*CJ114*VLOOKUP('Données projet'!$B$12,Paramètres!$A$1:$I$89,3,0)*0.475*44/12</f>
        <v>1.1853376627985192E-9</v>
      </c>
      <c r="CN114" s="24">
        <f t="shared" si="66"/>
        <v>3.8864230184104156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0" t="e">
        <f t="shared" si="68"/>
        <v>#N/A</v>
      </c>
      <c r="CY114" s="60" t="e">
        <f ca="1">AVERAGE(OFFSET($CX$3,0,0,'Données projet'!$E$13+1,1))-AVERAGE(OFFSET($H$3,0,0,'Données projet'!$E$13+1,1))</f>
        <v>#N/A</v>
      </c>
      <c r="CZ114" s="60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8">
        <f t="shared" si="56"/>
        <v>414.34666458367406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0">
        <f t="shared" si="55"/>
        <v>828.7133714063857</v>
      </c>
      <c r="S115" s="60">
        <f ca="1">AVERAGE(OFFSET($R$3,0,0,'Données projet'!$E$9+1,1))-AVERAGE(OFFSET($H$3,0,0,'Données projet'!$E$9+1,1))</f>
        <v>314.4389771131751</v>
      </c>
      <c r="T115" s="60">
        <f t="shared" si="88"/>
        <v>176.7239677722049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211.59999999999994</v>
      </c>
      <c r="AJ115" s="14">
        <f>AI115*VLOOKUP('Données projet'!$B$10,Paramètres!$A$1:$I$89,3,0)*VLOOKUP('Données projet'!$B$10,Paramètres!$A$1:$I$89,5,0)</f>
        <v>191.45567999999994</v>
      </c>
      <c r="AK115" s="14">
        <f t="shared" si="89"/>
        <v>47.861639935303188</v>
      </c>
      <c r="AL115" s="22">
        <f t="shared" si="58"/>
        <v>416.81099888731961</v>
      </c>
      <c r="AM115" s="60">
        <f t="shared" si="59"/>
        <v>710.14433222065293</v>
      </c>
      <c r="AN115" s="60">
        <f ca="1">AVERAGE(OFFSET($AM$3,0,0,'Données projet'!$E$10+1,1))-AVERAGE(OFFSET($H$3,0,0,'Données projet'!$E$10+1,1))</f>
        <v>210.85498515082651</v>
      </c>
      <c r="AO115" s="60">
        <f t="shared" si="90"/>
        <v>76.413905647258389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456.68544269509601</v>
      </c>
      <c r="BJ115" s="60">
        <f t="shared" si="92"/>
        <v>417.22363874931852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3.4711538461538445</v>
      </c>
      <c r="BY115" s="13">
        <f>IF('Données projet'!$A$114&gt;35,BY114+BX115-CG114,IF(A115&lt;'Données projet'!$A$114,$BV$205^A115,IF(A115='Données projet'!$A$114,'Données projet'!$B$114,BY114+BX115-CG114)))</f>
        <v>364.35384615384646</v>
      </c>
      <c r="BZ115" s="14">
        <f>BY115*VLOOKUP('Données projet'!$B$12,Paramètres!$A$1:$I$89,3,0)*VLOOKUP('Données projet'!$B$12,Paramètres!$A$1:$I$89,5,0)</f>
        <v>203.67380000000017</v>
      </c>
      <c r="CA115" s="14">
        <f t="shared" si="93"/>
        <v>50.550700452988153</v>
      </c>
      <c r="CB115" s="22">
        <f t="shared" si="64"/>
        <v>442.77433828895465</v>
      </c>
      <c r="CC115" s="60">
        <f t="shared" si="65"/>
        <v>736.10767162228797</v>
      </c>
      <c r="CD115" s="60">
        <f ca="1">AVERAGE(OFFSET($CC$3,0,0,'Données projet'!$E$12+1,1))-AVERAGE(OFFSET($H$3,0,0,'Données projet'!$E$12+1,1))</f>
        <v>234.38946271740315</v>
      </c>
      <c r="CE115" s="60">
        <f t="shared" si="94"/>
        <v>123.9494810355684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3.7801485754409545</v>
      </c>
      <c r="CM115" s="23">
        <f>EXP(-LN(2)/2)*CM114+(1-EXP(-LN(2)/2))/(LN(2)/2)*CG115*CJ115*VLOOKUP('Données projet'!$B$12,Paramètres!$A$1:$I$89,3,0)*0.475*44/12</f>
        <v>8.3816029936064617E-10</v>
      </c>
      <c r="CN115" s="24">
        <f t="shared" si="66"/>
        <v>3.7801485762791147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0" t="e">
        <f t="shared" si="68"/>
        <v>#N/A</v>
      </c>
      <c r="CY115" s="60" t="e">
        <f ca="1">AVERAGE(OFFSET($CX$3,0,0,'Données projet'!$E$13+1,1))-AVERAGE(OFFSET($H$3,0,0,'Données projet'!$E$13+1,1))</f>
        <v>#N/A</v>
      </c>
      <c r="CZ115" s="60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8">
        <f t="shared" si="56"/>
        <v>415.39877537461348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0">
        <f t="shared" si="55"/>
        <v>835.79316307617296</v>
      </c>
      <c r="S116" s="60">
        <f ca="1">AVERAGE(OFFSET($R$3,0,0,'Données projet'!$E$9+1,1))-AVERAGE(OFFSET($H$3,0,0,'Données projet'!$E$9+1,1))</f>
        <v>314.4389771131751</v>
      </c>
      <c r="T116" s="60">
        <f t="shared" si="88"/>
        <v>176.7239677722049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214.39999999999995</v>
      </c>
      <c r="AJ116" s="14">
        <f>AI116*VLOOKUP('Données projet'!$B$10,Paramètres!$A$1:$I$89,3,0)*VLOOKUP('Données projet'!$B$10,Paramètres!$A$1:$I$89,5,0)</f>
        <v>193.98911999999996</v>
      </c>
      <c r="AK116" s="14">
        <f t="shared" si="89"/>
        <v>48.420821305775434</v>
      </c>
      <c r="AL116" s="22">
        <f t="shared" si="58"/>
        <v>422.19731444089211</v>
      </c>
      <c r="AM116" s="60">
        <f t="shared" si="59"/>
        <v>715.53064777422537</v>
      </c>
      <c r="AN116" s="60">
        <f ca="1">AVERAGE(OFFSET($AM$3,0,0,'Données projet'!$E$10+1,1))-AVERAGE(OFFSET($H$3,0,0,'Données projet'!$E$10+1,1))</f>
        <v>210.85498515082651</v>
      </c>
      <c r="AO116" s="60">
        <f t="shared" si="90"/>
        <v>76.413905647258389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456.68544269509601</v>
      </c>
      <c r="BJ116" s="60">
        <f t="shared" si="92"/>
        <v>417.22363874931852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3.4711538461538445</v>
      </c>
      <c r="BY116" s="13">
        <f>IF('Données projet'!$A$114&gt;35,BY115+BX116-CG115,IF(A116&lt;'Données projet'!$A$114,$BV$205^A116,IF(A116='Données projet'!$A$114,'Données projet'!$B$114,BY115+BX116-CG115)))</f>
        <v>367.82500000000033</v>
      </c>
      <c r="BZ116" s="14">
        <f>BY116*VLOOKUP('Données projet'!$B$12,Paramètres!$A$1:$I$89,3,0)*VLOOKUP('Données projet'!$B$12,Paramètres!$A$1:$I$89,5,0)</f>
        <v>205.61417500000019</v>
      </c>
      <c r="CA116" s="14">
        <f t="shared" si="93"/>
        <v>50.975998483526425</v>
      </c>
      <c r="CB116" s="22">
        <f t="shared" si="64"/>
        <v>446.89455215047548</v>
      </c>
      <c r="CC116" s="60">
        <f t="shared" si="65"/>
        <v>740.22788548380879</v>
      </c>
      <c r="CD116" s="60">
        <f ca="1">AVERAGE(OFFSET($CC$3,0,0,'Données projet'!$E$12+1,1))-AVERAGE(OFFSET($H$3,0,0,'Données projet'!$E$12+1,1))</f>
        <v>234.38946271740315</v>
      </c>
      <c r="CE116" s="60">
        <f t="shared" si="94"/>
        <v>123.9494810355684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3.6767802138561478</v>
      </c>
      <c r="CM116" s="23">
        <f>EXP(-LN(2)/2)*CM115+(1-EXP(-LN(2)/2))/(LN(2)/2)*CG116*CJ116*VLOOKUP('Données projet'!$B$12,Paramètres!$A$1:$I$89,3,0)*0.475*44/12</f>
        <v>5.9266883139925959E-10</v>
      </c>
      <c r="CN116" s="24">
        <f t="shared" si="66"/>
        <v>3.6767802144488169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0" t="e">
        <f t="shared" si="68"/>
        <v>#N/A</v>
      </c>
      <c r="CY116" s="60" t="e">
        <f ca="1">AVERAGE(OFFSET($CX$3,0,0,'Données projet'!$E$13+1,1))-AVERAGE(OFFSET($H$3,0,0,'Données projet'!$E$13+1,1))</f>
        <v>#N/A</v>
      </c>
      <c r="CZ116" s="60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8">
        <f t="shared" si="56"/>
        <v>416.45066545702986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0">
        <f t="shared" si="55"/>
        <v>842.87101477628994</v>
      </c>
      <c r="S117" s="60">
        <f ca="1">AVERAGE(OFFSET($R$3,0,0,'Données projet'!$E$9+1,1))-AVERAGE(OFFSET($H$3,0,0,'Données projet'!$E$9+1,1))</f>
        <v>314.4389771131751</v>
      </c>
      <c r="T117" s="60">
        <f t="shared" si="88"/>
        <v>176.7239677722049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217.19999999999996</v>
      </c>
      <c r="AJ117" s="14">
        <f>AI117*VLOOKUP('Données projet'!$B$10,Paramètres!$A$1:$I$89,3,0)*VLOOKUP('Données projet'!$B$10,Paramètres!$A$1:$I$89,5,0)</f>
        <v>196.52255999999997</v>
      </c>
      <c r="AK117" s="14">
        <f t="shared" si="89"/>
        <v>48.979153257338155</v>
      </c>
      <c r="AL117" s="22">
        <f t="shared" si="58"/>
        <v>427.58215058986383</v>
      </c>
      <c r="AM117" s="60">
        <f t="shared" si="59"/>
        <v>720.91548392319714</v>
      </c>
      <c r="AN117" s="60">
        <f ca="1">AVERAGE(OFFSET($AM$3,0,0,'Données projet'!$E$10+1,1))-AVERAGE(OFFSET($H$3,0,0,'Données projet'!$E$10+1,1))</f>
        <v>210.85498515082651</v>
      </c>
      <c r="AO117" s="60">
        <f t="shared" si="90"/>
        <v>76.413905647258389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456.68544269509601</v>
      </c>
      <c r="BJ117" s="60">
        <f t="shared" si="92"/>
        <v>417.22363874931852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3.4711538461538445</v>
      </c>
      <c r="BY117" s="13">
        <f>IF('Données projet'!$A$114&gt;35,BY116+BX117-CG116,IF(A117&lt;'Données projet'!$A$114,$BV$205^A117,IF(A117='Données projet'!$A$114,'Données projet'!$B$114,BY116+BX117-CG116)))</f>
        <v>371.2961538461542</v>
      </c>
      <c r="BZ117" s="14">
        <f>BY117*VLOOKUP('Données projet'!$B$12,Paramètres!$A$1:$I$89,3,0)*VLOOKUP('Données projet'!$B$12,Paramètres!$A$1:$I$89,5,0)</f>
        <v>207.55455000000021</v>
      </c>
      <c r="CA117" s="14">
        <f t="shared" si="93"/>
        <v>51.400829588898361</v>
      </c>
      <c r="CB117" s="22">
        <f t="shared" si="64"/>
        <v>451.01395278399832</v>
      </c>
      <c r="CC117" s="60">
        <f t="shared" si="65"/>
        <v>744.34728611733158</v>
      </c>
      <c r="CD117" s="60">
        <f ca="1">AVERAGE(OFFSET($CC$3,0,0,'Données projet'!$E$12+1,1))-AVERAGE(OFFSET($H$3,0,0,'Données projet'!$E$12+1,1))</f>
        <v>234.38946271740315</v>
      </c>
      <c r="CE117" s="60">
        <f t="shared" si="94"/>
        <v>123.9494810355684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3.5762384655547836</v>
      </c>
      <c r="CM117" s="23">
        <f>EXP(-LN(2)/2)*CM116+(1-EXP(-LN(2)/2))/(LN(2)/2)*CG117*CJ117*VLOOKUP('Données projet'!$B$12,Paramètres!$A$1:$I$89,3,0)*0.475*44/12</f>
        <v>4.1908014968032309E-10</v>
      </c>
      <c r="CN117" s="24">
        <f t="shared" si="66"/>
        <v>3.576238465973864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0" t="e">
        <f t="shared" si="68"/>
        <v>#N/A</v>
      </c>
      <c r="CY117" s="60" t="e">
        <f ca="1">AVERAGE(OFFSET($CX$3,0,0,'Données projet'!$E$13+1,1))-AVERAGE(OFFSET($H$3,0,0,'Données projet'!$E$13+1,1))</f>
        <v>#N/A</v>
      </c>
      <c r="CZ117" s="60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8">
        <f t="shared" si="56"/>
        <v>417.5023369912704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0">
        <f t="shared" si="55"/>
        <v>849.94695502425111</v>
      </c>
      <c r="S118" s="60">
        <f ca="1">AVERAGE(OFFSET($R$3,0,0,'Données projet'!$E$9+1,1))-AVERAGE(OFFSET($H$3,0,0,'Données projet'!$E$9+1,1))</f>
        <v>314.4389771131751</v>
      </c>
      <c r="T118" s="60">
        <f t="shared" si="88"/>
        <v>176.7239677722049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219.99999999999997</v>
      </c>
      <c r="AJ118" s="14">
        <f>AI118*VLOOKUP('Données projet'!$B$10,Paramètres!$A$1:$I$89,3,0)*VLOOKUP('Données projet'!$B$10,Paramètres!$A$1:$I$89,5,0)</f>
        <v>199.05599999999998</v>
      </c>
      <c r="AK118" s="14">
        <f t="shared" si="89"/>
        <v>49.536648006253934</v>
      </c>
      <c r="AL118" s="22">
        <f t="shared" si="58"/>
        <v>432.96552861089225</v>
      </c>
      <c r="AM118" s="60">
        <f t="shared" si="59"/>
        <v>726.29886194422556</v>
      </c>
      <c r="AN118" s="60">
        <f ca="1">AVERAGE(OFFSET($AM$3,0,0,'Données projet'!$E$10+1,1))-AVERAGE(OFFSET($H$3,0,0,'Données projet'!$E$10+1,1))</f>
        <v>210.85498515082651</v>
      </c>
      <c r="AO118" s="60">
        <f t="shared" si="90"/>
        <v>76.413905647258389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456.68544269509601</v>
      </c>
      <c r="BJ118" s="60">
        <f t="shared" si="92"/>
        <v>417.22363874931852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3.4711538461538445</v>
      </c>
      <c r="BY118" s="13">
        <f>IF('Données projet'!$A$114&gt;35,BY117+BX118-CG117,IF(A118&lt;'Données projet'!$A$114,$BV$205^A118,IF(A118='Données projet'!$A$114,'Données projet'!$B$114,BY117+BX118-CG117)))</f>
        <v>374.76730769230807</v>
      </c>
      <c r="BZ118" s="14">
        <f>BY118*VLOOKUP('Données projet'!$B$12,Paramètres!$A$1:$I$89,3,0)*VLOOKUP('Données projet'!$B$12,Paramètres!$A$1:$I$89,5,0)</f>
        <v>209.49492500000022</v>
      </c>
      <c r="CA118" s="14">
        <f t="shared" si="93"/>
        <v>51.825198639866514</v>
      </c>
      <c r="CB118" s="22">
        <f t="shared" si="64"/>
        <v>455.13254867276783</v>
      </c>
      <c r="CC118" s="60">
        <f t="shared" si="65"/>
        <v>748.46588200610108</v>
      </c>
      <c r="CD118" s="60">
        <f ca="1">AVERAGE(OFFSET($CC$3,0,0,'Données projet'!$E$12+1,1))-AVERAGE(OFFSET($H$3,0,0,'Données projet'!$E$12+1,1))</f>
        <v>234.38946271740315</v>
      </c>
      <c r="CE118" s="60">
        <f t="shared" si="94"/>
        <v>123.9494810355684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3.4784460366479806</v>
      </c>
      <c r="CM118" s="23">
        <f>EXP(-LN(2)/2)*CM117+(1-EXP(-LN(2)/2))/(LN(2)/2)*CG118*CJ118*VLOOKUP('Données projet'!$B$12,Paramètres!$A$1:$I$89,3,0)*0.475*44/12</f>
        <v>2.963344156996298E-10</v>
      </c>
      <c r="CN118" s="24">
        <f t="shared" si="66"/>
        <v>3.4784460369443151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0" t="e">
        <f t="shared" si="68"/>
        <v>#N/A</v>
      </c>
      <c r="CY118" s="60" t="e">
        <f ca="1">AVERAGE(OFFSET($CX$3,0,0,'Données projet'!$E$13+1,1))-AVERAGE(OFFSET($H$3,0,0,'Données projet'!$E$13+1,1))</f>
        <v>#N/A</v>
      </c>
      <c r="CZ118" s="60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8">
        <f t="shared" si="56"/>
        <v>418.55379209794313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0">
        <f t="shared" si="55"/>
        <v>857.02101155317155</v>
      </c>
      <c r="S119" s="60">
        <f ca="1">AVERAGE(OFFSET($R$3,0,0,'Données projet'!$E$9+1,1))-AVERAGE(OFFSET($H$3,0,0,'Données projet'!$E$9+1,1))</f>
        <v>314.4389771131751</v>
      </c>
      <c r="T119" s="60">
        <f t="shared" si="88"/>
        <v>176.7239677722049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2.8</v>
      </c>
      <c r="AI119" s="14">
        <f>IF('Données projet'!$A$62&gt;35,AI118+AH119-AQ118,IF(A119&lt;'Données projet'!$A$62,$AF$205^A119,IF(A119='Données projet'!$A$62,'Données projet'!$B$62,AI118+AH119-AQ118)))</f>
        <v>222.79999999999998</v>
      </c>
      <c r="AJ119" s="14">
        <f>AI119*VLOOKUP('Données projet'!$B$10,Paramètres!$A$1:$I$89,3,0)*VLOOKUP('Données projet'!$B$10,Paramètres!$A$1:$I$89,5,0)</f>
        <v>201.58944</v>
      </c>
      <c r="AK119" s="14">
        <f t="shared" si="89"/>
        <v>50.093317439945402</v>
      </c>
      <c r="AL119" s="22">
        <f t="shared" si="58"/>
        <v>438.34746920790485</v>
      </c>
      <c r="AM119" s="60">
        <f t="shared" si="59"/>
        <v>731.68080254123811</v>
      </c>
      <c r="AN119" s="60">
        <f ca="1">AVERAGE(OFFSET($AM$3,0,0,'Données projet'!$E$10+1,1))-AVERAGE(OFFSET($H$3,0,0,'Données projet'!$E$10+1,1))</f>
        <v>210.85498515082651</v>
      </c>
      <c r="AO119" s="60">
        <f t="shared" si="90"/>
        <v>76.413905647258389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456.68544269509601</v>
      </c>
      <c r="BJ119" s="60">
        <f t="shared" si="92"/>
        <v>417.22363874931852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3.4711538461538445</v>
      </c>
      <c r="BY119" s="13">
        <f>IF('Données projet'!$A$114&gt;35,BY118+BX119-CG118,IF(A119&lt;'Données projet'!$A$114,$BV$205^A119,IF(A119='Données projet'!$A$114,'Données projet'!$B$114,BY118+BX119-CG118)))</f>
        <v>378.23846153846193</v>
      </c>
      <c r="BZ119" s="14">
        <f>BY119*VLOOKUP('Données projet'!$B$12,Paramètres!$A$1:$I$89,3,0)*VLOOKUP('Données projet'!$B$12,Paramètres!$A$1:$I$89,5,0)</f>
        <v>211.43530000000024</v>
      </c>
      <c r="CA119" s="14">
        <f t="shared" si="93"/>
        <v>52.249110411761883</v>
      </c>
      <c r="CB119" s="22">
        <f t="shared" si="64"/>
        <v>459.25034813381905</v>
      </c>
      <c r="CC119" s="60">
        <f t="shared" si="65"/>
        <v>752.58368146715236</v>
      </c>
      <c r="CD119" s="60">
        <f ca="1">AVERAGE(OFFSET($CC$3,0,0,'Données projet'!$E$12+1,1))-AVERAGE(OFFSET($H$3,0,0,'Données projet'!$E$12+1,1))</f>
        <v>234.38946271740315</v>
      </c>
      <c r="CE119" s="60">
        <f t="shared" si="94"/>
        <v>123.9494810355684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3.3833277468523146</v>
      </c>
      <c r="CM119" s="23">
        <f>EXP(-LN(2)/2)*CM118+(1-EXP(-LN(2)/2))/(LN(2)/2)*CG119*CJ119*VLOOKUP('Données projet'!$B$12,Paramètres!$A$1:$I$89,3,0)*0.475*44/12</f>
        <v>2.0954007484016154E-10</v>
      </c>
      <c r="CN119" s="24">
        <f t="shared" si="66"/>
        <v>3.3833277470618546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0" t="e">
        <f t="shared" si="68"/>
        <v>#N/A</v>
      </c>
      <c r="CY119" s="60" t="e">
        <f ca="1">AVERAGE(OFFSET($CX$3,0,0,'Données projet'!$E$13+1,1))-AVERAGE(OFFSET($H$3,0,0,'Données projet'!$E$13+1,1))</f>
        <v>#N/A</v>
      </c>
      <c r="CZ119" s="60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8">
        <f t="shared" si="56"/>
        <v>419.60503285898386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0">
        <f t="shared" si="55"/>
        <v>864.09321134313223</v>
      </c>
      <c r="S120" s="60">
        <f ca="1">AVERAGE(OFFSET($R$3,0,0,'Données projet'!$E$9+1,1))-AVERAGE(OFFSET($H$3,0,0,'Données projet'!$E$9+1,1))</f>
        <v>314.4389771131751</v>
      </c>
      <c r="T120" s="60">
        <f t="shared" si="88"/>
        <v>176.7239677722049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2.8</v>
      </c>
      <c r="AI120" s="14">
        <f>IF('Données projet'!$A$62&gt;35,AI119+AH120-AQ119,IF(A120&lt;'Données projet'!$A$62,$AF$205^A120,IF(A120='Données projet'!$A$62,'Données projet'!$B$62,AI119+AH120-AQ119)))</f>
        <v>225.6</v>
      </c>
      <c r="AJ120" s="14">
        <f>AI120*VLOOKUP('Données projet'!$B$10,Paramètres!$A$1:$I$89,3,0)*VLOOKUP('Données projet'!$B$10,Paramètres!$A$1:$I$89,5,0)</f>
        <v>204.12287999999998</v>
      </c>
      <c r="AK120" s="14">
        <f t="shared" si="89"/>
        <v>50.649173129865886</v>
      </c>
      <c r="AL120" s="22">
        <f t="shared" si="58"/>
        <v>443.72799253451632</v>
      </c>
      <c r="AM120" s="60">
        <f t="shared" si="59"/>
        <v>737.06132586784963</v>
      </c>
      <c r="AN120" s="60">
        <f ca="1">AVERAGE(OFFSET($AM$3,0,0,'Données projet'!$E$10+1,1))-AVERAGE(OFFSET($H$3,0,0,'Données projet'!$E$10+1,1))</f>
        <v>210.85498515082651</v>
      </c>
      <c r="AO120" s="60">
        <f t="shared" si="90"/>
        <v>76.413905647258389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456.68544269509601</v>
      </c>
      <c r="BJ120" s="60">
        <f t="shared" si="92"/>
        <v>417.22363874931852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3.4711538461538445</v>
      </c>
      <c r="BY120" s="13">
        <f>IF('Données projet'!$A$114&gt;35,BY119+BX120-CG119,IF(A120&lt;'Données projet'!$A$114,$BV$205^A120,IF(A120='Données projet'!$A$114,'Données projet'!$B$114,BY119+BX120-CG119)))</f>
        <v>381.7096153846158</v>
      </c>
      <c r="BZ120" s="14">
        <f>BY120*VLOOKUP('Données projet'!$B$12,Paramètres!$A$1:$I$89,3,0)*VLOOKUP('Données projet'!$B$12,Paramètres!$A$1:$I$89,5,0)</f>
        <v>213.37567500000026</v>
      </c>
      <c r="CA120" s="14">
        <f t="shared" si="93"/>
        <v>52.672569587212166</v>
      </c>
      <c r="CB120" s="22">
        <f t="shared" si="64"/>
        <v>463.3673593227283</v>
      </c>
      <c r="CC120" s="60">
        <f t="shared" si="65"/>
        <v>756.70069265606162</v>
      </c>
      <c r="CD120" s="60">
        <f ca="1">AVERAGE(OFFSET($CC$3,0,0,'Données projet'!$E$12+1,1))-AVERAGE(OFFSET($H$3,0,0,'Données projet'!$E$12+1,1))</f>
        <v>234.38946271740315</v>
      </c>
      <c r="CE120" s="60">
        <f t="shared" si="94"/>
        <v>123.9494810355684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3.2908104716931645</v>
      </c>
      <c r="CM120" s="23">
        <f>EXP(-LN(2)/2)*CM119+(1-EXP(-LN(2)/2))/(LN(2)/2)*CG120*CJ120*VLOOKUP('Données projet'!$B$12,Paramètres!$A$1:$I$89,3,0)*0.475*44/12</f>
        <v>1.481672078498149E-10</v>
      </c>
      <c r="CN120" s="24">
        <f t="shared" si="66"/>
        <v>3.2908104718413318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0" t="e">
        <f t="shared" si="68"/>
        <v>#N/A</v>
      </c>
      <c r="CY120" s="60" t="e">
        <f ca="1">AVERAGE(OFFSET($CX$3,0,0,'Données projet'!$E$13+1,1))-AVERAGE(OFFSET($H$3,0,0,'Données projet'!$E$13+1,1))</f>
        <v>#N/A</v>
      </c>
      <c r="CZ120" s="60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8">
        <f t="shared" si="56"/>
        <v>420.65606131868589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0">
        <f t="shared" si="55"/>
        <v>871.16358065090617</v>
      </c>
      <c r="S121" s="60">
        <f ca="1">AVERAGE(OFFSET($R$3,0,0,'Données projet'!$E$9+1,1))-AVERAGE(OFFSET($H$3,0,0,'Données projet'!$E$9+1,1))</f>
        <v>314.4389771131751</v>
      </c>
      <c r="T121" s="60">
        <f t="shared" si="88"/>
        <v>176.7239677722049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2.8</v>
      </c>
      <c r="AI121" s="14">
        <f>IF('Données projet'!$A$62&gt;35,AI120+AH121-AQ120,IF(A121&lt;'Données projet'!$A$62,$AF$205^A121,IF(A121='Données projet'!$A$62,'Données projet'!$B$62,AI120+AH121-AQ120)))</f>
        <v>228.4</v>
      </c>
      <c r="AJ121" s="14">
        <f>AI121*VLOOKUP('Données projet'!$B$10,Paramètres!$A$1:$I$89,3,0)*VLOOKUP('Données projet'!$B$10,Paramètres!$A$1:$I$89,5,0)</f>
        <v>206.65631999999997</v>
      </c>
      <c r="AK121" s="14">
        <f t="shared" si="89"/>
        <v>51.20422634371338</v>
      </c>
      <c r="AL121" s="22">
        <f t="shared" si="58"/>
        <v>449.10711821530072</v>
      </c>
      <c r="AM121" s="60">
        <f t="shared" si="59"/>
        <v>742.44045154863397</v>
      </c>
      <c r="AN121" s="60">
        <f ca="1">AVERAGE(OFFSET($AM$3,0,0,'Données projet'!$E$10+1,1))-AVERAGE(OFFSET($H$3,0,0,'Données projet'!$E$10+1,1))</f>
        <v>210.85498515082651</v>
      </c>
      <c r="AO121" s="60">
        <f t="shared" si="90"/>
        <v>76.413905647258389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456.68544269509601</v>
      </c>
      <c r="BJ121" s="60">
        <f t="shared" si="92"/>
        <v>417.22363874931852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3.4711538461538445</v>
      </c>
      <c r="BY121" s="13">
        <f>IF('Données projet'!$A$114&gt;35,BY120+BX121-CG120,IF(A121&lt;'Données projet'!$A$114,$BV$205^A121,IF(A121='Données projet'!$A$114,'Données projet'!$B$114,BY120+BX121-CG120)))</f>
        <v>385.18076923076967</v>
      </c>
      <c r="BZ121" s="14">
        <f>BY121*VLOOKUP('Données projet'!$B$12,Paramètres!$A$1:$I$89,3,0)*VLOOKUP('Données projet'!$B$12,Paramètres!$A$1:$I$89,5,0)</f>
        <v>215.31605000000027</v>
      </c>
      <c r="CA121" s="14">
        <f t="shared" si="93"/>
        <v>53.095580758767674</v>
      </c>
      <c r="CB121" s="22">
        <f t="shared" si="64"/>
        <v>467.48359023818756</v>
      </c>
      <c r="CC121" s="60">
        <f t="shared" si="65"/>
        <v>760.81692357152087</v>
      </c>
      <c r="CD121" s="60">
        <f ca="1">AVERAGE(OFFSET($CC$3,0,0,'Données projet'!$E$12+1,1))-AVERAGE(OFFSET($H$3,0,0,'Données projet'!$E$12+1,1))</f>
        <v>234.38946271740315</v>
      </c>
      <c r="CE121" s="60">
        <f t="shared" si="94"/>
        <v>123.9494810355684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3.2008230862885134</v>
      </c>
      <c r="CM121" s="23">
        <f>EXP(-LN(2)/2)*CM120+(1-EXP(-LN(2)/2))/(LN(2)/2)*CG121*CJ121*VLOOKUP('Données projet'!$B$12,Paramètres!$A$1:$I$89,3,0)*0.475*44/12</f>
        <v>1.0477003742008077E-10</v>
      </c>
      <c r="CN121" s="24">
        <f t="shared" si="66"/>
        <v>3.2008230863932834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0" t="e">
        <f t="shared" si="68"/>
        <v>#N/A</v>
      </c>
      <c r="CY121" s="60" t="e">
        <f ca="1">AVERAGE(OFFSET($CX$3,0,0,'Données projet'!$E$13+1,1))-AVERAGE(OFFSET($H$3,0,0,'Données projet'!$E$13+1,1))</f>
        <v>#N/A</v>
      </c>
      <c r="CZ121" s="60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8">
        <f t="shared" si="56"/>
        <v>421.70687948469367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0">
        <f t="shared" si="55"/>
        <v>878.23214503815643</v>
      </c>
      <c r="S122" s="60">
        <f ca="1">AVERAGE(OFFSET($R$3,0,0,'Données projet'!$E$9+1,1))-AVERAGE(OFFSET($H$3,0,0,'Données projet'!$E$9+1,1))</f>
        <v>314.4389771131751</v>
      </c>
      <c r="T122" s="60">
        <f t="shared" si="88"/>
        <v>176.7239677722049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2.8</v>
      </c>
      <c r="AI122" s="14">
        <f>IF('Données projet'!$A$62&gt;35,AI121+AH122-AQ121,IF(A122&lt;'Données projet'!$A$62,$AF$205^A122,IF(A122='Données projet'!$A$62,'Données projet'!$B$62,AI121+AH122-AQ121)))</f>
        <v>231.20000000000002</v>
      </c>
      <c r="AJ122" s="14">
        <f>AI122*VLOOKUP('Données projet'!$B$10,Paramètres!$A$1:$I$89,3,0)*VLOOKUP('Données projet'!$B$10,Paramètres!$A$1:$I$89,5,0)</f>
        <v>209.18976000000001</v>
      </c>
      <c r="AK122" s="14">
        <f t="shared" si="89"/>
        <v>51.758488057028018</v>
      </c>
      <c r="AL122" s="22">
        <f t="shared" si="58"/>
        <v>454.4848653659904</v>
      </c>
      <c r="AM122" s="60">
        <f t="shared" si="59"/>
        <v>747.81819869932372</v>
      </c>
      <c r="AN122" s="60">
        <f ca="1">AVERAGE(OFFSET($AM$3,0,0,'Données projet'!$E$10+1,1))-AVERAGE(OFFSET($H$3,0,0,'Données projet'!$E$10+1,1))</f>
        <v>210.85498515082651</v>
      </c>
      <c r="AO122" s="60">
        <f t="shared" si="90"/>
        <v>76.413905647258389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456.68544269509601</v>
      </c>
      <c r="BJ122" s="60">
        <f t="shared" si="92"/>
        <v>417.22363874931852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3.4711538461538445</v>
      </c>
      <c r="BY122" s="13">
        <f>IF('Données projet'!$A$114&gt;35,BY121+BX122-CG121,IF(A122&lt;'Données projet'!$A$114,$BV$205^A122,IF(A122='Données projet'!$A$114,'Données projet'!$B$114,BY121+BX122-CG121)))</f>
        <v>388.65192307692354</v>
      </c>
      <c r="BZ122" s="14">
        <f>BY122*VLOOKUP('Données projet'!$B$12,Paramètres!$A$1:$I$89,3,0)*VLOOKUP('Données projet'!$B$12,Paramètres!$A$1:$I$89,5,0)</f>
        <v>217.25642500000026</v>
      </c>
      <c r="CA122" s="14">
        <f t="shared" si="93"/>
        <v>53.518148431429744</v>
      </c>
      <c r="CB122" s="22">
        <f t="shared" si="64"/>
        <v>471.59904872640726</v>
      </c>
      <c r="CC122" s="60">
        <f t="shared" si="65"/>
        <v>764.93238205974058</v>
      </c>
      <c r="CD122" s="60">
        <f ca="1">AVERAGE(OFFSET($CC$3,0,0,'Données projet'!$E$12+1,1))-AVERAGE(OFFSET($H$3,0,0,'Données projet'!$E$12+1,1))</f>
        <v>234.38946271740315</v>
      </c>
      <c r="CE122" s="60">
        <f t="shared" si="94"/>
        <v>123.9494810355684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3.1132964106699834</v>
      </c>
      <c r="CM122" s="23">
        <f>EXP(-LN(2)/2)*CM121+(1-EXP(-LN(2)/2))/(LN(2)/2)*CG122*CJ122*VLOOKUP('Données projet'!$B$12,Paramètres!$A$1:$I$89,3,0)*0.475*44/12</f>
        <v>7.4083603924907449E-11</v>
      </c>
      <c r="CN122" s="24">
        <f t="shared" si="66"/>
        <v>3.1132964107440668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0" t="e">
        <f t="shared" si="68"/>
        <v>#N/A</v>
      </c>
      <c r="CY122" s="60" t="e">
        <f ca="1">AVERAGE(OFFSET($CX$3,0,0,'Données projet'!$E$13+1,1))-AVERAGE(OFFSET($H$3,0,0,'Données projet'!$E$13+1,1))</f>
        <v>#N/A</v>
      </c>
      <c r="CZ122" s="60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8">
        <f t="shared" si="56"/>
        <v>422.75748932896221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0">
        <f t="shared" si="55"/>
        <v>885.29892939819752</v>
      </c>
      <c r="S123" s="60">
        <f ca="1">AVERAGE(OFFSET($R$3,0,0,'Données projet'!$E$9+1,1))-AVERAGE(OFFSET($H$3,0,0,'Données projet'!$E$9+1,1))</f>
        <v>314.4389771131751</v>
      </c>
      <c r="T123" s="60">
        <f t="shared" si="88"/>
        <v>176.7239677722049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234</v>
      </c>
      <c r="AG123" s="13">
        <f>VLOOKUP(A123,'Données projet'!$A$61:$I$81,9,0)</f>
        <v>2.8</v>
      </c>
      <c r="AH123" s="13">
        <f t="array" ref="AH123">INDEX(AG:AG,MIN(IF(ISNUMBER(AG123:AG319),ROW(AG123:AG319),"")))</f>
        <v>2.8</v>
      </c>
      <c r="AI123" s="14">
        <f>IF('Données projet'!$A$62&gt;35,AI122+AH123-AQ122,IF(A123&lt;'Données projet'!$A$62,$AF$205^A123,IF(A123='Données projet'!$A$62,'Données projet'!$B$62,AI122+AH123-AQ122)))</f>
        <v>234.00000000000003</v>
      </c>
      <c r="AJ123" s="14">
        <f>AI123*VLOOKUP('Données projet'!$B$10,Paramètres!$A$1:$I$89,3,0)*VLOOKUP('Données projet'!$B$10,Paramètres!$A$1:$I$89,5,0)</f>
        <v>211.72319999999999</v>
      </c>
      <c r="AK123" s="14">
        <f t="shared" si="89"/>
        <v>52.311968964212078</v>
      </c>
      <c r="AL123" s="22">
        <f t="shared" si="58"/>
        <v>459.86125261266926</v>
      </c>
      <c r="AM123" s="60">
        <f t="shared" si="59"/>
        <v>753.19458594600258</v>
      </c>
      <c r="AN123" s="60">
        <f ca="1">AVERAGE(OFFSET($AM$3,0,0,'Données projet'!$E$10+1,1))-AVERAGE(OFFSET($H$3,0,0,'Données projet'!$E$10+1,1))</f>
        <v>210.85498515082651</v>
      </c>
      <c r="AO123" s="60">
        <f t="shared" si="90"/>
        <v>76.413905647258389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25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456.68544269509601</v>
      </c>
      <c r="BJ123" s="60">
        <f t="shared" si="92"/>
        <v>417.22363874931852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392.12307692307689</v>
      </c>
      <c r="BW123" s="13">
        <f>VLOOKUP(A123,'Données projet'!$A$113:$I$133,9,0)</f>
        <v>3.4711538461538445</v>
      </c>
      <c r="BX123" s="13">
        <f t="array" ref="BX123">INDEX(BW:BW,MIN(IF(ISNUMBER(BW123:BW319),ROW(BW123:BW319),"")))</f>
        <v>3.4711538461538445</v>
      </c>
      <c r="BY123" s="13">
        <f>IF('Données projet'!$A$114&gt;35,BY122+BX123-CG122,IF(A123&lt;'Données projet'!$A$114,$BV$205^A123,IF(A123='Données projet'!$A$114,'Données projet'!$B$114,BY122+BX123-CG122)))</f>
        <v>392.12307692307741</v>
      </c>
      <c r="BZ123" s="14">
        <f>BY123*VLOOKUP('Données projet'!$B$12,Paramètres!$A$1:$I$89,3,0)*VLOOKUP('Données projet'!$B$12,Paramètres!$A$1:$I$89,5,0)</f>
        <v>219.19680000000028</v>
      </c>
      <c r="CA123" s="14">
        <f t="shared" si="93"/>
        <v>53.940277025086473</v>
      </c>
      <c r="CB123" s="22">
        <f t="shared" si="64"/>
        <v>475.71374248535932</v>
      </c>
      <c r="CC123" s="60">
        <f t="shared" si="65"/>
        <v>769.04707581869263</v>
      </c>
      <c r="CD123" s="60">
        <f ca="1">AVERAGE(OFFSET($CC$3,0,0,'Données projet'!$E$12+1,1))-AVERAGE(OFFSET($H$3,0,0,'Données projet'!$E$12+1,1))</f>
        <v>234.38946271740315</v>
      </c>
      <c r="CE123" s="60">
        <f t="shared" si="94"/>
        <v>123.9494810355684</v>
      </c>
      <c r="CF123" s="16">
        <f>IF(ISNA(VLOOKUP(A123,'Données projet'!$A$113:$I$133,3,0)),0,VLOOKUP(A123,'Données projet'!$A$113:$I$133,3,0))</f>
        <v>9</v>
      </c>
      <c r="CG123" s="16">
        <f>IF(ISNA(VLOOKUP(A123,'Données projet'!$A$113:$I$133,4,0)),0,VLOOKUP(A123,'Données projet'!$A$113:$I$133,4,0))</f>
        <v>392.12307692307689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3.0281631565990699</v>
      </c>
      <c r="CM123" s="23">
        <f>EXP(-LN(2)/2)*CM122+(1-EXP(-LN(2)/2))/(LN(2)/2)*CG123*CJ123*VLOOKUP('Données projet'!$B$12,Paramètres!$A$1:$I$89,3,0)*0.475*44/12</f>
        <v>5.2385018710040386E-11</v>
      </c>
      <c r="CN123" s="24">
        <f t="shared" si="66"/>
        <v>3.0281631566514551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0" t="e">
        <f t="shared" si="68"/>
        <v>#N/A</v>
      </c>
      <c r="CY123" s="60" t="e">
        <f ca="1">AVERAGE(OFFSET($CX$3,0,0,'Données projet'!$E$13+1,1))-AVERAGE(OFFSET($H$3,0,0,'Données projet'!$E$13+1,1))</f>
        <v>#N/A</v>
      </c>
      <c r="CZ123" s="60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8">
        <f t="shared" si="56"/>
        <v>423.80789278868326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0">
        <f t="shared" si="55"/>
        <v>824.50283387733225</v>
      </c>
      <c r="S124" s="60">
        <f ca="1">AVERAGE(OFFSET($R$3,0,0,'Données projet'!$E$9+1,1))-AVERAGE(OFFSET($H$3,0,0,'Données projet'!$E$9+1,1))</f>
        <v>314.4389771131751</v>
      </c>
      <c r="T124" s="60">
        <f t="shared" si="88"/>
        <v>176.7239677722049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2.2000000000000002</v>
      </c>
      <c r="AI124" s="14">
        <f>IF('Données projet'!$A$62&gt;35,AI123+AH124-AQ123,IF(A124&lt;'Données projet'!$A$62,$AF$205^A124,IF(A124='Données projet'!$A$62,'Données projet'!$B$62,AI123+AH124-AQ123)))</f>
        <v>211.20000000000002</v>
      </c>
      <c r="AJ124" s="14">
        <f>AI124*VLOOKUP('Données projet'!$B$10,Paramètres!$A$1:$I$89,3,0)*VLOOKUP('Données projet'!$B$10,Paramètres!$A$1:$I$89,5,0)</f>
        <v>191.09376</v>
      </c>
      <c r="AK124" s="14">
        <f t="shared" si="89"/>
        <v>47.781686814164104</v>
      </c>
      <c r="AL124" s="22">
        <f t="shared" si="58"/>
        <v>416.04140320133575</v>
      </c>
      <c r="AM124" s="60">
        <f t="shared" si="59"/>
        <v>709.37473653466907</v>
      </c>
      <c r="AN124" s="60">
        <f ca="1">AVERAGE(OFFSET($AM$3,0,0,'Données projet'!$E$10+1,1))-AVERAGE(OFFSET($H$3,0,0,'Données projet'!$E$10+1,1))</f>
        <v>210.85498515082651</v>
      </c>
      <c r="AO124" s="60">
        <f t="shared" si="90"/>
        <v>76.413905647258389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456.68544269509601</v>
      </c>
      <c r="BJ124" s="60">
        <f t="shared" si="92"/>
        <v>417.22363874931852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5.1159076974727213E-13</v>
      </c>
      <c r="BZ124" s="14">
        <f>BY124*VLOOKUP('Données projet'!$B$12,Paramètres!$A$1:$I$89,3,0)*VLOOKUP('Données projet'!$B$12,Paramètres!$A$1:$I$89,5,0)</f>
        <v>2.8597924028872516E-13</v>
      </c>
      <c r="CA124" s="14">
        <f t="shared" si="93"/>
        <v>3.8016246610825715E-12</v>
      </c>
      <c r="CB124" s="22">
        <f t="shared" si="64"/>
        <v>7.1192434615550094E-12</v>
      </c>
      <c r="CC124" s="60">
        <f t="shared" si="65"/>
        <v>293.33333333334042</v>
      </c>
      <c r="CD124" s="60">
        <f ca="1">AVERAGE(OFFSET($CC$3,0,0,'Données projet'!$E$12+1,1))-AVERAGE(OFFSET($H$3,0,0,'Données projet'!$E$12+1,1))</f>
        <v>234.38946271740315</v>
      </c>
      <c r="CE124" s="60">
        <f t="shared" si="94"/>
        <v>123.9494810355684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2.945357875837689</v>
      </c>
      <c r="CM124" s="23">
        <f>EXP(-LN(2)/2)*CM123+(1-EXP(-LN(2)/2))/(LN(2)/2)*CG124*CJ124*VLOOKUP('Données projet'!$B$12,Paramètres!$A$1:$I$89,3,0)*0.475*44/12</f>
        <v>3.7041801962453725E-11</v>
      </c>
      <c r="CN124" s="24">
        <f t="shared" si="66"/>
        <v>2.945357875874731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0" t="e">
        <f t="shared" si="68"/>
        <v>#N/A</v>
      </c>
      <c r="CY124" s="60" t="e">
        <f ca="1">AVERAGE(OFFSET($CX$3,0,0,'Données projet'!$E$13+1,1))-AVERAGE(OFFSET($H$3,0,0,'Données projet'!$E$13+1,1))</f>
        <v>#N/A</v>
      </c>
      <c r="CZ124" s="60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8">
        <f t="shared" si="56"/>
        <v>424.85809176718089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0">
        <f t="shared" si="55"/>
        <v>830.62702157178478</v>
      </c>
      <c r="S125" s="60">
        <f ca="1">AVERAGE(OFFSET($R$3,0,0,'Données projet'!$E$9+1,1))-AVERAGE(OFFSET($H$3,0,0,'Données projet'!$E$9+1,1))</f>
        <v>314.4389771131751</v>
      </c>
      <c r="T125" s="60">
        <f t="shared" si="88"/>
        <v>176.7239677722049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2.2000000000000002</v>
      </c>
      <c r="AI125" s="14">
        <f>IF('Données projet'!$A$62&gt;35,AI124+AH125-AQ124,IF(A125&lt;'Données projet'!$A$62,$AF$205^A125,IF(A125='Données projet'!$A$62,'Données projet'!$B$62,AI124+AH125-AQ124)))</f>
        <v>213.4</v>
      </c>
      <c r="AJ125" s="14">
        <f>AI125*VLOOKUP('Données projet'!$B$10,Paramètres!$A$1:$I$89,3,0)*VLOOKUP('Données projet'!$B$10,Paramètres!$A$1:$I$89,5,0)</f>
        <v>193.08431999999999</v>
      </c>
      <c r="AK125" s="14">
        <f t="shared" si="89"/>
        <v>48.221211828034484</v>
      </c>
      <c r="AL125" s="22">
        <f t="shared" si="58"/>
        <v>420.27380126716002</v>
      </c>
      <c r="AM125" s="60">
        <f t="shared" si="59"/>
        <v>713.60713460049328</v>
      </c>
      <c r="AN125" s="60">
        <f ca="1">AVERAGE(OFFSET($AM$3,0,0,'Données projet'!$E$10+1,1))-AVERAGE(OFFSET($H$3,0,0,'Données projet'!$E$10+1,1))</f>
        <v>210.85498515082651</v>
      </c>
      <c r="AO125" s="60">
        <f t="shared" si="90"/>
        <v>76.413905647258389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456.68544269509601</v>
      </c>
      <c r="BJ125" s="60">
        <f t="shared" si="92"/>
        <v>417.22363874931852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5.1159076974727213E-13</v>
      </c>
      <c r="BZ125" s="14">
        <f>BY125*VLOOKUP('Données projet'!$B$12,Paramètres!$A$1:$I$89,3,0)*VLOOKUP('Données projet'!$B$12,Paramètres!$A$1:$I$89,5,0)</f>
        <v>2.8597924028872516E-13</v>
      </c>
      <c r="CA125" s="14">
        <f t="shared" si="93"/>
        <v>3.8016246610825715E-12</v>
      </c>
      <c r="CB125" s="22">
        <f t="shared" si="64"/>
        <v>7.1192434615550094E-12</v>
      </c>
      <c r="CC125" s="60">
        <f t="shared" si="65"/>
        <v>293.33333333334042</v>
      </c>
      <c r="CD125" s="60">
        <f ca="1">AVERAGE(OFFSET($CC$3,0,0,'Données projet'!$E$12+1,1))-AVERAGE(OFFSET($H$3,0,0,'Données projet'!$E$12+1,1))</f>
        <v>234.38946271740315</v>
      </c>
      <c r="CE125" s="60">
        <f t="shared" si="94"/>
        <v>123.9494810355684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2.8648169098332685</v>
      </c>
      <c r="CM125" s="23">
        <f>EXP(-LN(2)/2)*CM124+(1-EXP(-LN(2)/2))/(LN(2)/2)*CG125*CJ125*VLOOKUP('Données projet'!$B$12,Paramètres!$A$1:$I$89,3,0)*0.475*44/12</f>
        <v>2.6192509355020193E-11</v>
      </c>
      <c r="CN125" s="24">
        <f t="shared" si="66"/>
        <v>2.8648169098594609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0" t="e">
        <f t="shared" si="68"/>
        <v>#N/A</v>
      </c>
      <c r="CY125" s="60" t="e">
        <f ca="1">AVERAGE(OFFSET($CX$3,0,0,'Données projet'!$E$13+1,1))-AVERAGE(OFFSET($H$3,0,0,'Données projet'!$E$13+1,1))</f>
        <v>#N/A</v>
      </c>
      <c r="CZ125" s="60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8">
        <f t="shared" si="56"/>
        <v>425.90808813477543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0">
        <f t="shared" si="55"/>
        <v>836.74974224894845</v>
      </c>
      <c r="S126" s="60">
        <f ca="1">AVERAGE(OFFSET($R$3,0,0,'Données projet'!$E$9+1,1))-AVERAGE(OFFSET($H$3,0,0,'Données projet'!$E$9+1,1))</f>
        <v>314.4389771131751</v>
      </c>
      <c r="T126" s="60">
        <f t="shared" si="88"/>
        <v>176.7239677722049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2.2000000000000002</v>
      </c>
      <c r="AI126" s="14">
        <f>IF('Données projet'!$A$62&gt;35,AI125+AH126-AQ125,IF(A126&lt;'Données projet'!$A$62,$AF$205^A126,IF(A126='Données projet'!$A$62,'Données projet'!$B$62,AI125+AH126-AQ125)))</f>
        <v>215.6</v>
      </c>
      <c r="AJ126" s="14">
        <f>AI126*VLOOKUP('Données projet'!$B$10,Paramètres!$A$1:$I$89,3,0)*VLOOKUP('Données projet'!$B$10,Paramètres!$A$1:$I$89,5,0)</f>
        <v>195.07487999999998</v>
      </c>
      <c r="AK126" s="14">
        <f t="shared" si="89"/>
        <v>48.660209718344753</v>
      </c>
      <c r="AL126" s="22">
        <f t="shared" si="58"/>
        <v>424.50528125945038</v>
      </c>
      <c r="AM126" s="60">
        <f t="shared" si="59"/>
        <v>717.83861459278364</v>
      </c>
      <c r="AN126" s="60">
        <f ca="1">AVERAGE(OFFSET($AM$3,0,0,'Données projet'!$E$10+1,1))-AVERAGE(OFFSET($H$3,0,0,'Données projet'!$E$10+1,1))</f>
        <v>210.85498515082651</v>
      </c>
      <c r="AO126" s="60">
        <f t="shared" si="90"/>
        <v>76.413905647258389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456.68544269509601</v>
      </c>
      <c r="BJ126" s="60">
        <f t="shared" si="92"/>
        <v>417.22363874931852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5.1159076974727213E-13</v>
      </c>
      <c r="BZ126" s="14">
        <f>BY126*VLOOKUP('Données projet'!$B$12,Paramètres!$A$1:$I$89,3,0)*VLOOKUP('Données projet'!$B$12,Paramètres!$A$1:$I$89,5,0)</f>
        <v>2.8597924028872516E-13</v>
      </c>
      <c r="CA126" s="14">
        <f t="shared" si="93"/>
        <v>3.8016246610825715E-12</v>
      </c>
      <c r="CB126" s="22">
        <f t="shared" si="64"/>
        <v>7.1192434615550094E-12</v>
      </c>
      <c r="CC126" s="60">
        <f t="shared" si="65"/>
        <v>293.33333333334042</v>
      </c>
      <c r="CD126" s="60">
        <f ca="1">AVERAGE(OFFSET($CC$3,0,0,'Données projet'!$E$12+1,1))-AVERAGE(OFFSET($H$3,0,0,'Données projet'!$E$12+1,1))</f>
        <v>234.38946271740315</v>
      </c>
      <c r="CE126" s="60">
        <f t="shared" si="94"/>
        <v>123.9494810355684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2.7864783407797042</v>
      </c>
      <c r="CM126" s="23">
        <f>EXP(-LN(2)/2)*CM125+(1-EXP(-LN(2)/2))/(LN(2)/2)*CG126*CJ126*VLOOKUP('Données projet'!$B$12,Paramètres!$A$1:$I$89,3,0)*0.475*44/12</f>
        <v>1.8520900981226862E-11</v>
      </c>
      <c r="CN126" s="24">
        <f t="shared" si="66"/>
        <v>2.786478340798225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0" t="e">
        <f t="shared" si="68"/>
        <v>#N/A</v>
      </c>
      <c r="CY126" s="60" t="e">
        <f ca="1">AVERAGE(OFFSET($CX$3,0,0,'Données projet'!$E$13+1,1))-AVERAGE(OFFSET($H$3,0,0,'Données projet'!$E$13+1,1))</f>
        <v>#N/A</v>
      </c>
      <c r="CZ126" s="60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8">
        <f t="shared" si="56"/>
        <v>426.95788372961988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0">
        <f t="shared" si="55"/>
        <v>842.87101477628971</v>
      </c>
      <c r="S127" s="60">
        <f ca="1">AVERAGE(OFFSET($R$3,0,0,'Données projet'!$E$9+1,1))-AVERAGE(OFFSET($H$3,0,0,'Données projet'!$E$9+1,1))</f>
        <v>314.4389771131751</v>
      </c>
      <c r="T127" s="60">
        <f t="shared" si="88"/>
        <v>176.7239677722049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2.2000000000000002</v>
      </c>
      <c r="AI127" s="14">
        <f>IF('Données projet'!$A$62&gt;35,AI126+AH127-AQ126,IF(A127&lt;'Données projet'!$A$62,$AF$205^A127,IF(A127='Données projet'!$A$62,'Données projet'!$B$62,AI126+AH127-AQ126)))</f>
        <v>217.79999999999998</v>
      </c>
      <c r="AJ127" s="14">
        <f>AI127*VLOOKUP('Données projet'!$B$10,Paramètres!$A$1:$I$89,3,0)*VLOOKUP('Données projet'!$B$10,Paramètres!$A$1:$I$89,5,0)</f>
        <v>197.06544</v>
      </c>
      <c r="AK127" s="14">
        <f t="shared" si="89"/>
        <v>49.098686486644802</v>
      </c>
      <c r="AL127" s="22">
        <f t="shared" si="58"/>
        <v>428.73585363090632</v>
      </c>
      <c r="AM127" s="60">
        <f t="shared" si="59"/>
        <v>722.06918696423963</v>
      </c>
      <c r="AN127" s="60">
        <f ca="1">AVERAGE(OFFSET($AM$3,0,0,'Données projet'!$E$10+1,1))-AVERAGE(OFFSET($H$3,0,0,'Données projet'!$E$10+1,1))</f>
        <v>210.85498515082651</v>
      </c>
      <c r="AO127" s="60">
        <f t="shared" si="90"/>
        <v>76.413905647258389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456.68544269509601</v>
      </c>
      <c r="BJ127" s="60">
        <f t="shared" si="92"/>
        <v>417.22363874931852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5.1159076974727213E-13</v>
      </c>
      <c r="BZ127" s="14">
        <f>BY127*VLOOKUP('Données projet'!$B$12,Paramètres!$A$1:$I$89,3,0)*VLOOKUP('Données projet'!$B$12,Paramètres!$A$1:$I$89,5,0)</f>
        <v>2.8597924028872516E-13</v>
      </c>
      <c r="CA127" s="14">
        <f t="shared" si="93"/>
        <v>3.8016246610825715E-12</v>
      </c>
      <c r="CB127" s="22">
        <f t="shared" si="64"/>
        <v>7.1192434615550094E-12</v>
      </c>
      <c r="CC127" s="60">
        <f t="shared" si="65"/>
        <v>293.33333333334042</v>
      </c>
      <c r="CD127" s="60">
        <f ca="1">AVERAGE(OFFSET($CC$3,0,0,'Données projet'!$E$12+1,1))-AVERAGE(OFFSET($H$3,0,0,'Données projet'!$E$12+1,1))</f>
        <v>234.38946271740315</v>
      </c>
      <c r="CE127" s="60">
        <f t="shared" si="94"/>
        <v>123.9494810355684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2.7102819440165558</v>
      </c>
      <c r="CM127" s="23">
        <f>EXP(-LN(2)/2)*CM126+(1-EXP(-LN(2)/2))/(LN(2)/2)*CG127*CJ127*VLOOKUP('Données projet'!$B$12,Paramètres!$A$1:$I$89,3,0)*0.475*44/12</f>
        <v>1.3096254677510096E-11</v>
      </c>
      <c r="CN127" s="24">
        <f t="shared" si="66"/>
        <v>2.7102819440296519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0" t="e">
        <f t="shared" si="68"/>
        <v>#N/A</v>
      </c>
      <c r="CY127" s="60" t="e">
        <f ca="1">AVERAGE(OFFSET($CX$3,0,0,'Données projet'!$E$13+1,1))-AVERAGE(OFFSET($H$3,0,0,'Données projet'!$E$13+1,1))</f>
        <v>#N/A</v>
      </c>
      <c r="CZ127" s="60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8">
        <f t="shared" si="56"/>
        <v>428.00748035850785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0">
        <f t="shared" si="55"/>
        <v>848.99085756649174</v>
      </c>
      <c r="S128" s="60">
        <f ca="1">AVERAGE(OFFSET($R$3,0,0,'Données projet'!$E$9+1,1))-AVERAGE(OFFSET($H$3,0,0,'Données projet'!$E$9+1,1))</f>
        <v>314.4389771131751</v>
      </c>
      <c r="T128" s="60">
        <f t="shared" si="88"/>
        <v>176.7239677722049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2.2000000000000002</v>
      </c>
      <c r="AI128" s="14">
        <f>IF('Données projet'!$A$62&gt;35,AI127+AH128-AQ127,IF(A128&lt;'Données projet'!$A$62,$AF$205^A128,IF(A128='Données projet'!$A$62,'Données projet'!$B$62,AI127+AH128-AQ127)))</f>
        <v>219.99999999999997</v>
      </c>
      <c r="AJ128" s="14">
        <f>AI128*VLOOKUP('Données projet'!$B$10,Paramètres!$A$1:$I$89,3,0)*VLOOKUP('Données projet'!$B$10,Paramètres!$A$1:$I$89,5,0)</f>
        <v>199.05599999999998</v>
      </c>
      <c r="AK128" s="14">
        <f t="shared" si="89"/>
        <v>49.536648006253934</v>
      </c>
      <c r="AL128" s="22">
        <f t="shared" si="58"/>
        <v>432.96552861089225</v>
      </c>
      <c r="AM128" s="60">
        <f t="shared" si="59"/>
        <v>726.29886194422556</v>
      </c>
      <c r="AN128" s="60">
        <f ca="1">AVERAGE(OFFSET($AM$3,0,0,'Données projet'!$E$10+1,1))-AVERAGE(OFFSET($H$3,0,0,'Données projet'!$E$10+1,1))</f>
        <v>210.85498515082651</v>
      </c>
      <c r="AO128" s="60">
        <f t="shared" si="90"/>
        <v>76.413905647258389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456.68544269509601</v>
      </c>
      <c r="BJ128" s="60">
        <f t="shared" si="92"/>
        <v>417.22363874931852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5.1159076974727213E-13</v>
      </c>
      <c r="BZ128" s="14">
        <f>BY128*VLOOKUP('Données projet'!$B$12,Paramètres!$A$1:$I$89,3,0)*VLOOKUP('Données projet'!$B$12,Paramètres!$A$1:$I$89,5,0)</f>
        <v>2.8597924028872516E-13</v>
      </c>
      <c r="CA128" s="14">
        <f t="shared" si="93"/>
        <v>3.8016246610825715E-12</v>
      </c>
      <c r="CB128" s="22">
        <f t="shared" si="64"/>
        <v>7.1192434615550094E-12</v>
      </c>
      <c r="CC128" s="60">
        <f t="shared" si="65"/>
        <v>293.33333333334042</v>
      </c>
      <c r="CD128" s="60">
        <f ca="1">AVERAGE(OFFSET($CC$3,0,0,'Données projet'!$E$12+1,1))-AVERAGE(OFFSET($H$3,0,0,'Données projet'!$E$12+1,1))</f>
        <v>234.38946271740315</v>
      </c>
      <c r="CE128" s="60">
        <f t="shared" si="94"/>
        <v>123.9494810355684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2.6361691417298903</v>
      </c>
      <c r="CM128" s="23">
        <f>EXP(-LN(2)/2)*CM127+(1-EXP(-LN(2)/2))/(LN(2)/2)*CG128*CJ128*VLOOKUP('Données projet'!$B$12,Paramètres!$A$1:$I$89,3,0)*0.475*44/12</f>
        <v>9.2604504906134312E-12</v>
      </c>
      <c r="CN128" s="24">
        <f t="shared" si="66"/>
        <v>2.6361691417391508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0" t="e">
        <f t="shared" si="68"/>
        <v>#N/A</v>
      </c>
      <c r="CY128" s="60" t="e">
        <f ca="1">AVERAGE(OFFSET($CX$3,0,0,'Données projet'!$E$13+1,1))-AVERAGE(OFFSET($H$3,0,0,'Données projet'!$E$13+1,1))</f>
        <v>#N/A</v>
      </c>
      <c r="CZ128" s="60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8">
        <f t="shared" si="56"/>
        <v>429.05687979765503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0">
        <f t="shared" si="55"/>
        <v>855.10928859341493</v>
      </c>
      <c r="S129" s="60">
        <f ca="1">AVERAGE(OFFSET($R$3,0,0,'Données projet'!$E$9+1,1))-AVERAGE(OFFSET($H$3,0,0,'Données projet'!$E$9+1,1))</f>
        <v>314.4389771131751</v>
      </c>
      <c r="T129" s="60">
        <f t="shared" si="88"/>
        <v>176.7239677722049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2.2000000000000002</v>
      </c>
      <c r="AI129" s="14">
        <f>IF('Données projet'!$A$62&gt;35,AI128+AH129-AQ128,IF(A129&lt;'Données projet'!$A$62,$AF$205^A129,IF(A129='Données projet'!$A$62,'Données projet'!$B$62,AI128+AH129-AQ128)))</f>
        <v>222.19999999999996</v>
      </c>
      <c r="AJ129" s="14">
        <f>AI129*VLOOKUP('Données projet'!$B$10,Paramètres!$A$1:$I$89,3,0)*VLOOKUP('Données projet'!$B$10,Paramètres!$A$1:$I$89,5,0)</f>
        <v>201.04655999999997</v>
      </c>
      <c r="AK129" s="14">
        <f t="shared" si="89"/>
        <v>49.974100026254405</v>
      </c>
      <c r="AL129" s="22">
        <f t="shared" si="58"/>
        <v>437.19431621239301</v>
      </c>
      <c r="AM129" s="60">
        <f t="shared" si="59"/>
        <v>730.52764954572626</v>
      </c>
      <c r="AN129" s="60">
        <f ca="1">AVERAGE(OFFSET($AM$3,0,0,'Données projet'!$E$10+1,1))-AVERAGE(OFFSET($H$3,0,0,'Données projet'!$E$10+1,1))</f>
        <v>210.85498515082651</v>
      </c>
      <c r="AO129" s="60">
        <f t="shared" si="90"/>
        <v>76.413905647258389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456.68544269509601</v>
      </c>
      <c r="BJ129" s="60">
        <f t="shared" si="92"/>
        <v>417.22363874931852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5.1159076974727213E-13</v>
      </c>
      <c r="BZ129" s="14">
        <f>BY129*VLOOKUP('Données projet'!$B$12,Paramètres!$A$1:$I$89,3,0)*VLOOKUP('Données projet'!$B$12,Paramètres!$A$1:$I$89,5,0)</f>
        <v>2.8597924028872516E-13</v>
      </c>
      <c r="CA129" s="14">
        <f t="shared" si="93"/>
        <v>3.8016246610825715E-12</v>
      </c>
      <c r="CB129" s="22">
        <f t="shared" si="64"/>
        <v>7.1192434615550094E-12</v>
      </c>
      <c r="CC129" s="60">
        <f t="shared" si="65"/>
        <v>293.33333333334042</v>
      </c>
      <c r="CD129" s="60">
        <f ca="1">AVERAGE(OFFSET($CC$3,0,0,'Données projet'!$E$12+1,1))-AVERAGE(OFFSET($H$3,0,0,'Données projet'!$E$12+1,1))</f>
        <v>234.38946271740315</v>
      </c>
      <c r="CE129" s="60">
        <f t="shared" si="94"/>
        <v>123.9494810355684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2.5640829579191764</v>
      </c>
      <c r="CM129" s="23">
        <f>EXP(-LN(2)/2)*CM128+(1-EXP(-LN(2)/2))/(LN(2)/2)*CG129*CJ129*VLOOKUP('Données projet'!$B$12,Paramètres!$A$1:$I$89,3,0)*0.475*44/12</f>
        <v>6.5481273387550482E-12</v>
      </c>
      <c r="CN129" s="24">
        <f t="shared" si="66"/>
        <v>2.5640829579257245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0" t="e">
        <f t="shared" si="68"/>
        <v>#N/A</v>
      </c>
      <c r="CY129" s="60" t="e">
        <f ca="1">AVERAGE(OFFSET($CX$3,0,0,'Données projet'!$E$13+1,1))-AVERAGE(OFFSET($H$3,0,0,'Données projet'!$E$13+1,1))</f>
        <v>#N/A</v>
      </c>
      <c r="CZ129" s="60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8">
        <f t="shared" si="56"/>
        <v>430.10608379345501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0">
        <f t="shared" si="55"/>
        <v>861.22632540732639</v>
      </c>
      <c r="S130" s="60">
        <f ca="1">AVERAGE(OFFSET($R$3,0,0,'Données projet'!$E$9+1,1))-AVERAGE(OFFSET($H$3,0,0,'Données projet'!$E$9+1,1))</f>
        <v>314.4389771131751</v>
      </c>
      <c r="T130" s="60">
        <f t="shared" si="88"/>
        <v>176.7239677722049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2.2000000000000002</v>
      </c>
      <c r="AI130" s="14">
        <f>IF('Données projet'!$A$62&gt;35,AI129+AH130-AQ129,IF(A130&lt;'Données projet'!$A$62,$AF$205^A130,IF(A130='Données projet'!$A$62,'Données projet'!$B$62,AI129+AH130-AQ129)))</f>
        <v>224.39999999999995</v>
      </c>
      <c r="AJ130" s="14">
        <f>AI130*VLOOKUP('Données projet'!$B$10,Paramètres!$A$1:$I$89,3,0)*VLOOKUP('Données projet'!$B$10,Paramètres!$A$1:$I$89,5,0)</f>
        <v>203.03711999999993</v>
      </c>
      <c r="AK130" s="14">
        <f t="shared" si="89"/>
        <v>50.411048175323288</v>
      </c>
      <c r="AL130" s="22">
        <f t="shared" si="58"/>
        <v>441.42222623868793</v>
      </c>
      <c r="AM130" s="60">
        <f t="shared" si="59"/>
        <v>734.75555957202118</v>
      </c>
      <c r="AN130" s="60">
        <f ca="1">AVERAGE(OFFSET($AM$3,0,0,'Données projet'!$E$10+1,1))-AVERAGE(OFFSET($H$3,0,0,'Données projet'!$E$10+1,1))</f>
        <v>210.85498515082651</v>
      </c>
      <c r="AO130" s="60">
        <f t="shared" si="90"/>
        <v>76.413905647258389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456.68544269509601</v>
      </c>
      <c r="BJ130" s="60">
        <f t="shared" si="92"/>
        <v>417.22363874931852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5.1159076974727213E-13</v>
      </c>
      <c r="BZ130" s="14">
        <f>BY130*VLOOKUP('Données projet'!$B$12,Paramètres!$A$1:$I$89,3,0)*VLOOKUP('Données projet'!$B$12,Paramètres!$A$1:$I$89,5,0)</f>
        <v>2.8597924028872516E-13</v>
      </c>
      <c r="CA130" s="14">
        <f t="shared" si="93"/>
        <v>3.8016246610825715E-12</v>
      </c>
      <c r="CB130" s="22">
        <f t="shared" si="64"/>
        <v>7.1192434615550094E-12</v>
      </c>
      <c r="CC130" s="60">
        <f t="shared" si="65"/>
        <v>293.33333333334042</v>
      </c>
      <c r="CD130" s="60">
        <f ca="1">AVERAGE(OFFSET($CC$3,0,0,'Données projet'!$E$12+1,1))-AVERAGE(OFFSET($H$3,0,0,'Données projet'!$E$12+1,1))</f>
        <v>234.38946271740315</v>
      </c>
      <c r="CE130" s="60">
        <f t="shared" si="94"/>
        <v>123.9494810355684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2.493967974595614</v>
      </c>
      <c r="CM130" s="23">
        <f>EXP(-LN(2)/2)*CM129+(1-EXP(-LN(2)/2))/(LN(2)/2)*CG130*CJ130*VLOOKUP('Données projet'!$B$12,Paramètres!$A$1:$I$89,3,0)*0.475*44/12</f>
        <v>4.6302252453067156E-12</v>
      </c>
      <c r="CN130" s="24">
        <f t="shared" si="66"/>
        <v>2.4939679746002441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0" t="e">
        <f t="shared" si="68"/>
        <v>#N/A</v>
      </c>
      <c r="CY130" s="60" t="e">
        <f ca="1">AVERAGE(OFFSET($CX$3,0,0,'Données projet'!$E$13+1,1))-AVERAGE(OFFSET($H$3,0,0,'Données projet'!$E$13+1,1))</f>
        <v>#N/A</v>
      </c>
      <c r="CZ130" s="60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8">
        <f t="shared" si="56"/>
        <v>431.15509406321121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0">
        <f t="shared" ref="R131:R194" si="109">Q131+(I131+J131)*44/12</f>
        <v>867.3419851494366</v>
      </c>
      <c r="S131" s="60">
        <f ca="1">AVERAGE(OFFSET($R$3,0,0,'Données projet'!$E$9+1,1))-AVERAGE(OFFSET($H$3,0,0,'Données projet'!$E$9+1,1))</f>
        <v>314.4389771131751</v>
      </c>
      <c r="T131" s="60">
        <f t="shared" si="88"/>
        <v>176.7239677722049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2.2000000000000002</v>
      </c>
      <c r="AI131" s="14">
        <f>IF('Données projet'!$A$62&gt;35,AI130+AH131-AQ130,IF(A131&lt;'Données projet'!$A$62,$AF$205^A131,IF(A131='Données projet'!$A$62,'Données projet'!$B$62,AI130+AH131-AQ130)))</f>
        <v>226.59999999999994</v>
      </c>
      <c r="AJ131" s="14">
        <f>AI131*VLOOKUP('Données projet'!$B$10,Paramètres!$A$1:$I$89,3,0)*VLOOKUP('Données projet'!$B$10,Paramètres!$A$1:$I$89,5,0)</f>
        <v>205.02767999999995</v>
      </c>
      <c r="AK131" s="14">
        <f t="shared" si="89"/>
        <v>50.847497965409232</v>
      </c>
      <c r="AL131" s="22">
        <f t="shared" si="58"/>
        <v>445.64926828975427</v>
      </c>
      <c r="AM131" s="60">
        <f t="shared" si="59"/>
        <v>738.98260162308759</v>
      </c>
      <c r="AN131" s="60">
        <f ca="1">AVERAGE(OFFSET($AM$3,0,0,'Données projet'!$E$10+1,1))-AVERAGE(OFFSET($H$3,0,0,'Données projet'!$E$10+1,1))</f>
        <v>210.85498515082651</v>
      </c>
      <c r="AO131" s="60">
        <f t="shared" si="90"/>
        <v>76.413905647258389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456.68544269509601</v>
      </c>
      <c r="BJ131" s="60">
        <f t="shared" si="92"/>
        <v>417.22363874931852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5.1159076974727213E-13</v>
      </c>
      <c r="BZ131" s="14">
        <f>BY131*VLOOKUP('Données projet'!$B$12,Paramètres!$A$1:$I$89,3,0)*VLOOKUP('Données projet'!$B$12,Paramètres!$A$1:$I$89,5,0)</f>
        <v>2.8597924028872516E-13</v>
      </c>
      <c r="CA131" s="14">
        <f t="shared" si="93"/>
        <v>3.8016246610825715E-12</v>
      </c>
      <c r="CB131" s="22">
        <f t="shared" si="64"/>
        <v>7.1192434615550094E-12</v>
      </c>
      <c r="CC131" s="60">
        <f t="shared" si="65"/>
        <v>293.33333333334042</v>
      </c>
      <c r="CD131" s="60">
        <f ca="1">AVERAGE(OFFSET($CC$3,0,0,'Données projet'!$E$12+1,1))-AVERAGE(OFFSET($H$3,0,0,'Données projet'!$E$12+1,1))</f>
        <v>234.38946271740315</v>
      </c>
      <c r="CE131" s="60">
        <f t="shared" si="94"/>
        <v>123.9494810355684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2.4257702891782214</v>
      </c>
      <c r="CM131" s="23">
        <f>EXP(-LN(2)/2)*CM130+(1-EXP(-LN(2)/2))/(LN(2)/2)*CG131*CJ131*VLOOKUP('Données projet'!$B$12,Paramètres!$A$1:$I$89,3,0)*0.475*44/12</f>
        <v>3.2740636693775241E-12</v>
      </c>
      <c r="CN131" s="24">
        <f t="shared" si="66"/>
        <v>2.4257702891814956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0" t="e">
        <f t="shared" si="68"/>
        <v>#N/A</v>
      </c>
      <c r="CY131" s="60" t="e">
        <f ca="1">AVERAGE(OFFSET($CX$3,0,0,'Données projet'!$E$13+1,1))-AVERAGE(OFFSET($H$3,0,0,'Données projet'!$E$13+1,1))</f>
        <v>#N/A</v>
      </c>
      <c r="CZ131" s="60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8">
        <f t="shared" ref="H132:H195" si="110">(B132+E132+F132)*44/12+(C132+D132)*0.475*44/12</f>
        <v>432.20391229584436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0">
        <f t="shared" si="109"/>
        <v>873.4562845657872</v>
      </c>
      <c r="S132" s="60">
        <f ca="1">AVERAGE(OFFSET($R$3,0,0,'Données projet'!$E$9+1,1))-AVERAGE(OFFSET($H$3,0,0,'Données projet'!$E$9+1,1))</f>
        <v>314.4389771131751</v>
      </c>
      <c r="T132" s="60">
        <f t="shared" si="88"/>
        <v>176.7239677722049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2.2000000000000002</v>
      </c>
      <c r="AI132" s="14">
        <f>IF('Données projet'!$A$62&gt;35,AI131+AH132-AQ131,IF(A132&lt;'Données projet'!$A$62,$AF$205^A132,IF(A132='Données projet'!$A$62,'Données projet'!$B$62,AI131+AH132-AQ131)))</f>
        <v>228.79999999999993</v>
      </c>
      <c r="AJ132" s="14">
        <f>AI132*VLOOKUP('Données projet'!$B$10,Paramètres!$A$1:$I$89,3,0)*VLOOKUP('Données projet'!$B$10,Paramètres!$A$1:$I$89,5,0)</f>
        <v>207.01823999999993</v>
      </c>
      <c r="AK132" s="14">
        <f t="shared" si="89"/>
        <v>51.283454795262195</v>
      </c>
      <c r="AL132" s="22">
        <f t="shared" ref="AL132:AL153" si="112">(AJ132+AK132)*0.475*44/12</f>
        <v>449.87545176841485</v>
      </c>
      <c r="AM132" s="60">
        <f t="shared" ref="AM132:AM195" si="113">AL132+(AD132+AE132)*44/12</f>
        <v>743.20878510174816</v>
      </c>
      <c r="AN132" s="60">
        <f ca="1">AVERAGE(OFFSET($AM$3,0,0,'Données projet'!$E$10+1,1))-AVERAGE(OFFSET($H$3,0,0,'Données projet'!$E$10+1,1))</f>
        <v>210.85498515082651</v>
      </c>
      <c r="AO132" s="60">
        <f t="shared" si="90"/>
        <v>76.413905647258389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456.68544269509601</v>
      </c>
      <c r="BJ132" s="60">
        <f t="shared" si="92"/>
        <v>417.22363874931852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5.1159076974727213E-13</v>
      </c>
      <c r="BZ132" s="14">
        <f>BY132*VLOOKUP('Données projet'!$B$12,Paramètres!$A$1:$I$89,3,0)*VLOOKUP('Données projet'!$B$12,Paramètres!$A$1:$I$89,5,0)</f>
        <v>2.8597924028872516E-13</v>
      </c>
      <c r="CA132" s="14">
        <f t="shared" si="93"/>
        <v>3.8016246610825715E-12</v>
      </c>
      <c r="CB132" s="22">
        <f t="shared" ref="CB132:CB153" si="118">(BZ132+CA132)*0.475*44/12</f>
        <v>7.1192434615550094E-12</v>
      </c>
      <c r="CC132" s="60">
        <f t="shared" ref="CC132:CC195" si="119">CB132+(BT132+BU132)*44/12</f>
        <v>293.33333333334042</v>
      </c>
      <c r="CD132" s="60">
        <f ca="1">AVERAGE(OFFSET($CC$3,0,0,'Données projet'!$E$12+1,1))-AVERAGE(OFFSET($H$3,0,0,'Données projet'!$E$12+1,1))</f>
        <v>234.38946271740315</v>
      </c>
      <c r="CE132" s="60">
        <f t="shared" si="94"/>
        <v>123.9494810355684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2.3594374730549275</v>
      </c>
      <c r="CM132" s="23">
        <f>EXP(-LN(2)/2)*CM131+(1-EXP(-LN(2)/2))/(LN(2)/2)*CG132*CJ132*VLOOKUP('Données projet'!$B$12,Paramètres!$A$1:$I$89,3,0)*0.475*44/12</f>
        <v>2.3151126226533578E-12</v>
      </c>
      <c r="CN132" s="24">
        <f t="shared" ref="CN132:CN153" si="120">SUM(CK132:CM132)</f>
        <v>2.3594374730572425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0" t="e">
        <f t="shared" ref="CX132:CX195" si="122">CW132+(CO132+CP132)*44/12</f>
        <v>#N/A</v>
      </c>
      <c r="CY132" s="60" t="e">
        <f ca="1">AVERAGE(OFFSET($CX$3,0,0,'Données projet'!$E$13+1,1))-AVERAGE(OFFSET($H$3,0,0,'Données projet'!$E$13+1,1))</f>
        <v>#N/A</v>
      </c>
      <c r="CZ132" s="60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8">
        <f t="shared" si="110"/>
        <v>433.25254015257815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0">
        <f t="shared" si="109"/>
        <v>879.56924002052051</v>
      </c>
      <c r="S133" s="60">
        <f ca="1">AVERAGE(OFFSET($R$3,0,0,'Données projet'!$E$9+1,1))-AVERAGE(OFFSET($H$3,0,0,'Données projet'!$E$9+1,1))</f>
        <v>314.4389771131751</v>
      </c>
      <c r="T133" s="60">
        <f t="shared" ref="T133:T196" si="142">$T$3</f>
        <v>176.7239677722049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231</v>
      </c>
      <c r="AG133" s="13">
        <f>VLOOKUP(A133,'Données projet'!$A$61:$I$81,9,0)</f>
        <v>2.2000000000000002</v>
      </c>
      <c r="AH133" s="13">
        <f t="array" ref="AH133">INDEX(AG:AG,MIN(IF(ISNUMBER(AG133:AG329),ROW(AG133:AG329),"")))</f>
        <v>2.2000000000000002</v>
      </c>
      <c r="AI133" s="14">
        <f>IF('Données projet'!$A$62&gt;35,AI132+AH133-AQ132,IF(A133&lt;'Données projet'!$A$62,$AF$205^A133,IF(A133='Données projet'!$A$62,'Données projet'!$B$62,AI132+AH133-AQ132)))</f>
        <v>230.99999999999991</v>
      </c>
      <c r="AJ133" s="14">
        <f>AI133*VLOOKUP('Données projet'!$B$10,Paramètres!$A$1:$I$89,3,0)*VLOOKUP('Données projet'!$B$10,Paramètres!$A$1:$I$89,5,0)</f>
        <v>209.00879999999989</v>
      </c>
      <c r="AK133" s="14">
        <f t="shared" ref="AK133:AK153" si="143">EXP(-1.0587+0.8836*LN(AJ133)+0.284)</f>
        <v>51.718923953824202</v>
      </c>
      <c r="AL133" s="22">
        <f t="shared" si="112"/>
        <v>454.10078588624361</v>
      </c>
      <c r="AM133" s="60">
        <f t="shared" si="113"/>
        <v>747.43411921957693</v>
      </c>
      <c r="AN133" s="60">
        <f ca="1">AVERAGE(OFFSET($AM$3,0,0,'Données projet'!$E$10+1,1))-AVERAGE(OFFSET($H$3,0,0,'Données projet'!$E$10+1,1))</f>
        <v>210.85498515082651</v>
      </c>
      <c r="AO133" s="60">
        <f t="shared" ref="AO133:AO196" si="144">$AO$3</f>
        <v>76.413905647258389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21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456.68544269509601</v>
      </c>
      <c r="BJ133" s="60">
        <f t="shared" ref="BJ133:BJ196" si="146">$BJ$3</f>
        <v>417.22363874931852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5.1159076974727213E-13</v>
      </c>
      <c r="BZ133" s="14">
        <f>BY133*VLOOKUP('Données projet'!$B$12,Paramètres!$A$1:$I$89,3,0)*VLOOKUP('Données projet'!$B$12,Paramètres!$A$1:$I$89,5,0)</f>
        <v>2.8597924028872516E-13</v>
      </c>
      <c r="CA133" s="14">
        <f t="shared" ref="CA133:CA153" si="147">EXP(-1.0587+0.8836*LN(BZ133)+0.284)</f>
        <v>3.8016246610825715E-12</v>
      </c>
      <c r="CB133" s="22">
        <f t="shared" si="118"/>
        <v>7.1192434615550094E-12</v>
      </c>
      <c r="CC133" s="60">
        <f t="shared" si="119"/>
        <v>293.33333333334042</v>
      </c>
      <c r="CD133" s="60">
        <f ca="1">AVERAGE(OFFSET($CC$3,0,0,'Données projet'!$E$12+1,1))-AVERAGE(OFFSET($H$3,0,0,'Données projet'!$E$12+1,1))</f>
        <v>234.38946271740315</v>
      </c>
      <c r="CE133" s="60">
        <f t="shared" ref="CE133:CE196" si="148">$CE$3</f>
        <v>123.9494810355684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2.2949185312768163</v>
      </c>
      <c r="CM133" s="23">
        <f>EXP(-LN(2)/2)*CM132+(1-EXP(-LN(2)/2))/(LN(2)/2)*CG133*CJ133*VLOOKUP('Données projet'!$B$12,Paramètres!$A$1:$I$89,3,0)*0.475*44/12</f>
        <v>1.6370318346887621E-12</v>
      </c>
      <c r="CN133" s="24">
        <f t="shared" si="120"/>
        <v>2.2949185312784532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0" t="e">
        <f t="shared" si="122"/>
        <v>#N/A</v>
      </c>
      <c r="CY133" s="60" t="e">
        <f ca="1">AVERAGE(OFFSET($CX$3,0,0,'Données projet'!$E$13+1,1))-AVERAGE(OFFSET($H$3,0,0,'Données projet'!$E$13+1,1))</f>
        <v>#N/A</v>
      </c>
      <c r="CZ133" s="60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8">
        <f t="shared" si="110"/>
        <v>434.30097926760288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0">
        <f t="shared" si="109"/>
        <v>825.45983568521592</v>
      </c>
      <c r="S134" s="60">
        <f ca="1">AVERAGE(OFFSET($R$3,0,0,'Données projet'!$E$9+1,1))-AVERAGE(OFFSET($H$3,0,0,'Données projet'!$E$9+1,1))</f>
        <v>314.4389771131751</v>
      </c>
      <c r="T134" s="60">
        <f t="shared" si="142"/>
        <v>176.7239677722049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1.7</v>
      </c>
      <c r="AI134" s="14">
        <f>IF('Données projet'!$A$62&gt;35,AI133+AH134-AQ133,IF(A134&lt;'Données projet'!$A$62,$AF$205^A134,IF(A134='Données projet'!$A$62,'Données projet'!$B$62,AI133+AH134-AQ133)))</f>
        <v>211.6999999999999</v>
      </c>
      <c r="AJ134" s="14">
        <f>AI134*VLOOKUP('Données projet'!$B$10,Paramètres!$A$1:$I$89,3,0)*VLOOKUP('Données projet'!$B$10,Paramètres!$A$1:$I$89,5,0)</f>
        <v>191.5461599999999</v>
      </c>
      <c r="AK134" s="14">
        <f t="shared" si="143"/>
        <v>47.881625465577962</v>
      </c>
      <c r="AL134" s="22">
        <f t="shared" si="112"/>
        <v>417.0033930192148</v>
      </c>
      <c r="AM134" s="60">
        <f t="shared" si="113"/>
        <v>710.33672635254811</v>
      </c>
      <c r="AN134" s="60">
        <f ca="1">AVERAGE(OFFSET($AM$3,0,0,'Données projet'!$E$10+1,1))-AVERAGE(OFFSET($H$3,0,0,'Données projet'!$E$10+1,1))</f>
        <v>210.85498515082651</v>
      </c>
      <c r="AO134" s="60">
        <f t="shared" si="144"/>
        <v>76.413905647258389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456.68544269509601</v>
      </c>
      <c r="BJ134" s="60">
        <f t="shared" si="146"/>
        <v>417.22363874931852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5.1159076974727213E-13</v>
      </c>
      <c r="BZ134" s="14">
        <f>BY134*VLOOKUP('Données projet'!$B$12,Paramètres!$A$1:$I$89,3,0)*VLOOKUP('Données projet'!$B$12,Paramètres!$A$1:$I$89,5,0)</f>
        <v>2.8597924028872516E-13</v>
      </c>
      <c r="CA134" s="14">
        <f t="shared" si="147"/>
        <v>3.8016246610825715E-12</v>
      </c>
      <c r="CB134" s="22">
        <f t="shared" si="118"/>
        <v>7.1192434615550094E-12</v>
      </c>
      <c r="CC134" s="60">
        <f t="shared" si="119"/>
        <v>293.33333333334042</v>
      </c>
      <c r="CD134" s="60">
        <f ca="1">AVERAGE(OFFSET($CC$3,0,0,'Données projet'!$E$12+1,1))-AVERAGE(OFFSET($H$3,0,0,'Données projet'!$E$12+1,1))</f>
        <v>234.38946271740315</v>
      </c>
      <c r="CE134" s="60">
        <f t="shared" si="148"/>
        <v>123.9494810355684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2.2321638633545313</v>
      </c>
      <c r="CM134" s="23">
        <f>EXP(-LN(2)/2)*CM133+(1-EXP(-LN(2)/2))/(LN(2)/2)*CG134*CJ134*VLOOKUP('Données projet'!$B$12,Paramètres!$A$1:$I$89,3,0)*0.475*44/12</f>
        <v>1.1575563113266789E-12</v>
      </c>
      <c r="CN134" s="24">
        <f t="shared" si="120"/>
        <v>2.2321638633556891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0" t="e">
        <f t="shared" si="122"/>
        <v>#N/A</v>
      </c>
      <c r="CY134" s="60" t="e">
        <f ca="1">AVERAGE(OFFSET($CX$3,0,0,'Données projet'!$E$13+1,1))-AVERAGE(OFFSET($H$3,0,0,'Données projet'!$E$13+1,1))</f>
        <v>#N/A</v>
      </c>
      <c r="CZ134" s="60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8">
        <f t="shared" si="110"/>
        <v>435.34923124871818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0">
        <f t="shared" si="109"/>
        <v>830.62702157178455</v>
      </c>
      <c r="S135" s="60">
        <f ca="1">AVERAGE(OFFSET($R$3,0,0,'Données projet'!$E$9+1,1))-AVERAGE(OFFSET($H$3,0,0,'Données projet'!$E$9+1,1))</f>
        <v>314.4389771131751</v>
      </c>
      <c r="T135" s="60">
        <f t="shared" si="142"/>
        <v>176.7239677722049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1.7</v>
      </c>
      <c r="AI135" s="14">
        <f>IF('Données projet'!$A$62&gt;35,AI134+AH135-AQ134,IF(A135&lt;'Données projet'!$A$62,$AF$205^A135,IF(A135='Données projet'!$A$62,'Données projet'!$B$62,AI134+AH135-AQ134)))</f>
        <v>213.39999999999989</v>
      </c>
      <c r="AJ135" s="14">
        <f>AI135*VLOOKUP('Données projet'!$B$10,Paramètres!$A$1:$I$89,3,0)*VLOOKUP('Données projet'!$B$10,Paramètres!$A$1:$I$89,5,0)</f>
        <v>193.08431999999991</v>
      </c>
      <c r="AK135" s="14">
        <f t="shared" si="143"/>
        <v>48.221211828034484</v>
      </c>
      <c r="AL135" s="22">
        <f t="shared" si="112"/>
        <v>420.27380126715985</v>
      </c>
      <c r="AM135" s="60">
        <f t="shared" si="113"/>
        <v>713.60713460049317</v>
      </c>
      <c r="AN135" s="60">
        <f ca="1">AVERAGE(OFFSET($AM$3,0,0,'Données projet'!$E$10+1,1))-AVERAGE(OFFSET($H$3,0,0,'Données projet'!$E$10+1,1))</f>
        <v>210.85498515082651</v>
      </c>
      <c r="AO135" s="60">
        <f t="shared" si="144"/>
        <v>76.413905647258389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456.68544269509601</v>
      </c>
      <c r="BJ135" s="60">
        <f t="shared" si="146"/>
        <v>417.22363874931852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5.1159076974727213E-13</v>
      </c>
      <c r="BZ135" s="14">
        <f>BY135*VLOOKUP('Données projet'!$B$12,Paramètres!$A$1:$I$89,3,0)*VLOOKUP('Données projet'!$B$12,Paramètres!$A$1:$I$89,5,0)</f>
        <v>2.8597924028872516E-13</v>
      </c>
      <c r="CA135" s="14">
        <f t="shared" si="147"/>
        <v>3.8016246610825715E-12</v>
      </c>
      <c r="CB135" s="22">
        <f t="shared" si="118"/>
        <v>7.1192434615550094E-12</v>
      </c>
      <c r="CC135" s="60">
        <f t="shared" si="119"/>
        <v>293.33333333334042</v>
      </c>
      <c r="CD135" s="60">
        <f ca="1">AVERAGE(OFFSET($CC$3,0,0,'Données projet'!$E$12+1,1))-AVERAGE(OFFSET($H$3,0,0,'Données projet'!$E$12+1,1))</f>
        <v>234.38946271740315</v>
      </c>
      <c r="CE135" s="60">
        <f t="shared" si="148"/>
        <v>123.9494810355684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2.1711252251267057</v>
      </c>
      <c r="CM135" s="23">
        <f>EXP(-LN(2)/2)*CM134+(1-EXP(-LN(2)/2))/(LN(2)/2)*CG135*CJ135*VLOOKUP('Données projet'!$B$12,Paramètres!$A$1:$I$89,3,0)*0.475*44/12</f>
        <v>8.1851591734438103E-13</v>
      </c>
      <c r="CN135" s="24">
        <f t="shared" si="120"/>
        <v>2.1711252251275241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0" t="e">
        <f t="shared" si="122"/>
        <v>#N/A</v>
      </c>
      <c r="CY135" s="60" t="e">
        <f ca="1">AVERAGE(OFFSET($CX$3,0,0,'Données projet'!$E$13+1,1))-AVERAGE(OFFSET($H$3,0,0,'Données projet'!$E$13+1,1))</f>
        <v>#N/A</v>
      </c>
      <c r="CZ135" s="60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8">
        <f t="shared" si="110"/>
        <v>436.39729767795615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0">
        <f t="shared" si="109"/>
        <v>835.7931630761725</v>
      </c>
      <c r="S136" s="60">
        <f ca="1">AVERAGE(OFFSET($R$3,0,0,'Données projet'!$E$9+1,1))-AVERAGE(OFFSET($H$3,0,0,'Données projet'!$E$9+1,1))</f>
        <v>314.4389771131751</v>
      </c>
      <c r="T136" s="60">
        <f t="shared" si="142"/>
        <v>176.7239677722049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1.7</v>
      </c>
      <c r="AI136" s="14">
        <f>IF('Données projet'!$A$62&gt;35,AI135+AH136-AQ135,IF(A136&lt;'Données projet'!$A$62,$AF$205^A136,IF(A136='Données projet'!$A$62,'Données projet'!$B$62,AI135+AH136-AQ135)))</f>
        <v>215.09999999999988</v>
      </c>
      <c r="AJ136" s="14">
        <f>AI136*VLOOKUP('Données projet'!$B$10,Paramètres!$A$1:$I$89,3,0)*VLOOKUP('Données projet'!$B$10,Paramètres!$A$1:$I$89,5,0)</f>
        <v>194.62247999999988</v>
      </c>
      <c r="AK136" s="14">
        <f t="shared" si="143"/>
        <v>48.560483443746278</v>
      </c>
      <c r="AL136" s="22">
        <f t="shared" si="112"/>
        <v>423.54366133119123</v>
      </c>
      <c r="AM136" s="60">
        <f t="shared" si="113"/>
        <v>716.87699466452455</v>
      </c>
      <c r="AN136" s="60">
        <f ca="1">AVERAGE(OFFSET($AM$3,0,0,'Données projet'!$E$10+1,1))-AVERAGE(OFFSET($H$3,0,0,'Données projet'!$E$10+1,1))</f>
        <v>210.85498515082651</v>
      </c>
      <c r="AO136" s="60">
        <f t="shared" si="144"/>
        <v>76.413905647258389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456.68544269509601</v>
      </c>
      <c r="BJ136" s="60">
        <f t="shared" si="146"/>
        <v>417.22363874931852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5.1159076974727213E-13</v>
      </c>
      <c r="BZ136" s="14">
        <f>BY136*VLOOKUP('Données projet'!$B$12,Paramètres!$A$1:$I$89,3,0)*VLOOKUP('Données projet'!$B$12,Paramètres!$A$1:$I$89,5,0)</f>
        <v>2.8597924028872516E-13</v>
      </c>
      <c r="CA136" s="14">
        <f t="shared" si="147"/>
        <v>3.8016246610825715E-12</v>
      </c>
      <c r="CB136" s="22">
        <f t="shared" si="118"/>
        <v>7.1192434615550094E-12</v>
      </c>
      <c r="CC136" s="60">
        <f t="shared" si="119"/>
        <v>293.33333333334042</v>
      </c>
      <c r="CD136" s="60">
        <f ca="1">AVERAGE(OFFSET($CC$3,0,0,'Données projet'!$E$12+1,1))-AVERAGE(OFFSET($H$3,0,0,'Données projet'!$E$12+1,1))</f>
        <v>234.38946271740315</v>
      </c>
      <c r="CE136" s="60">
        <f t="shared" si="148"/>
        <v>123.9494810355684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2.1117556916711027</v>
      </c>
      <c r="CM136" s="23">
        <f>EXP(-LN(2)/2)*CM135+(1-EXP(-LN(2)/2))/(LN(2)/2)*CG136*CJ136*VLOOKUP('Données projet'!$B$12,Paramètres!$A$1:$I$89,3,0)*0.475*44/12</f>
        <v>5.7877815566333945E-13</v>
      </c>
      <c r="CN136" s="24">
        <f t="shared" si="120"/>
        <v>2.1117556916716813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0" t="e">
        <f t="shared" si="122"/>
        <v>#N/A</v>
      </c>
      <c r="CY136" s="60" t="e">
        <f ca="1">AVERAGE(OFFSET($CX$3,0,0,'Données projet'!$E$13+1,1))-AVERAGE(OFFSET($H$3,0,0,'Données projet'!$E$13+1,1))</f>
        <v>#N/A</v>
      </c>
      <c r="CZ136" s="60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8">
        <f t="shared" si="110"/>
        <v>437.4451801121844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0">
        <f t="shared" si="109"/>
        <v>840.958271553038</v>
      </c>
      <c r="S137" s="60">
        <f ca="1">AVERAGE(OFFSET($R$3,0,0,'Données projet'!$E$9+1,1))-AVERAGE(OFFSET($H$3,0,0,'Données projet'!$E$9+1,1))</f>
        <v>314.4389771131751</v>
      </c>
      <c r="T137" s="60">
        <f t="shared" si="142"/>
        <v>176.7239677722049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1.7</v>
      </c>
      <c r="AI137" s="14">
        <f>IF('Données projet'!$A$62&gt;35,AI136+AH137-AQ136,IF(A137&lt;'Données projet'!$A$62,$AF$205^A137,IF(A137='Données projet'!$A$62,'Données projet'!$B$62,AI136+AH137-AQ136)))</f>
        <v>216.79999999999987</v>
      </c>
      <c r="AJ137" s="14">
        <f>AI137*VLOOKUP('Données projet'!$B$10,Paramètres!$A$1:$I$89,3,0)*VLOOKUP('Données projet'!$B$10,Paramètres!$A$1:$I$89,5,0)</f>
        <v>196.16063999999989</v>
      </c>
      <c r="AK137" s="14">
        <f t="shared" si="143"/>
        <v>48.899443088581982</v>
      </c>
      <c r="AL137" s="22">
        <f t="shared" si="112"/>
        <v>426.81297804594675</v>
      </c>
      <c r="AM137" s="60">
        <f t="shared" si="113"/>
        <v>720.14631137928006</v>
      </c>
      <c r="AN137" s="60">
        <f ca="1">AVERAGE(OFFSET($AM$3,0,0,'Données projet'!$E$10+1,1))-AVERAGE(OFFSET($H$3,0,0,'Données projet'!$E$10+1,1))</f>
        <v>210.85498515082651</v>
      </c>
      <c r="AO137" s="60">
        <f t="shared" si="144"/>
        <v>76.413905647258389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456.68544269509601</v>
      </c>
      <c r="BJ137" s="60">
        <f t="shared" si="146"/>
        <v>417.22363874931852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5.1159076974727213E-13</v>
      </c>
      <c r="BZ137" s="14">
        <f>BY137*VLOOKUP('Données projet'!$B$12,Paramètres!$A$1:$I$89,3,0)*VLOOKUP('Données projet'!$B$12,Paramètres!$A$1:$I$89,5,0)</f>
        <v>2.8597924028872516E-13</v>
      </c>
      <c r="CA137" s="14">
        <f t="shared" si="147"/>
        <v>3.8016246610825715E-12</v>
      </c>
      <c r="CB137" s="22">
        <f t="shared" si="118"/>
        <v>7.1192434615550094E-12</v>
      </c>
      <c r="CC137" s="60">
        <f t="shared" si="119"/>
        <v>293.33333333334042</v>
      </c>
      <c r="CD137" s="60">
        <f ca="1">AVERAGE(OFFSET($CC$3,0,0,'Données projet'!$E$12+1,1))-AVERAGE(OFFSET($H$3,0,0,'Données projet'!$E$12+1,1))</f>
        <v>234.38946271740315</v>
      </c>
      <c r="CE137" s="60">
        <f t="shared" si="148"/>
        <v>123.9494810355684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2.0540096212299512</v>
      </c>
      <c r="CM137" s="23">
        <f>EXP(-LN(2)/2)*CM136+(1-EXP(-LN(2)/2))/(LN(2)/2)*CG137*CJ137*VLOOKUP('Données projet'!$B$12,Paramètres!$A$1:$I$89,3,0)*0.475*44/12</f>
        <v>4.0925795867219051E-13</v>
      </c>
      <c r="CN137" s="24">
        <f t="shared" si="120"/>
        <v>2.0540096212303607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0" t="e">
        <f t="shared" si="122"/>
        <v>#N/A</v>
      </c>
      <c r="CY137" s="60" t="e">
        <f ca="1">AVERAGE(OFFSET($CX$3,0,0,'Données projet'!$E$13+1,1))-AVERAGE(OFFSET($H$3,0,0,'Données projet'!$E$13+1,1))</f>
        <v>#N/A</v>
      </c>
      <c r="CZ137" s="60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8">
        <f t="shared" si="110"/>
        <v>438.49288008369155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0">
        <f t="shared" si="109"/>
        <v>846.12235812526569</v>
      </c>
      <c r="S138" s="60">
        <f ca="1">AVERAGE(OFFSET($R$3,0,0,'Données projet'!$E$9+1,1))-AVERAGE(OFFSET($H$3,0,0,'Données projet'!$E$9+1,1))</f>
        <v>314.4389771131751</v>
      </c>
      <c r="T138" s="60">
        <f t="shared" si="142"/>
        <v>176.7239677722049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1.7</v>
      </c>
      <c r="AI138" s="14">
        <f>IF('Données projet'!$A$62&gt;35,AI137+AH138-AQ137,IF(A138&lt;'Données projet'!$A$62,$AF$205^A138,IF(A138='Données projet'!$A$62,'Données projet'!$B$62,AI137+AH138-AQ137)))</f>
        <v>218.49999999999986</v>
      </c>
      <c r="AJ138" s="14">
        <f>AI138*VLOOKUP('Données projet'!$B$10,Paramètres!$A$1:$I$89,3,0)*VLOOKUP('Données projet'!$B$10,Paramètres!$A$1:$I$89,5,0)</f>
        <v>197.69879999999986</v>
      </c>
      <c r="AK138" s="14">
        <f t="shared" si="143"/>
        <v>49.238093492363312</v>
      </c>
      <c r="AL138" s="22">
        <f t="shared" si="112"/>
        <v>430.08175616586578</v>
      </c>
      <c r="AM138" s="60">
        <f t="shared" si="113"/>
        <v>723.4150894991991</v>
      </c>
      <c r="AN138" s="60">
        <f ca="1">AVERAGE(OFFSET($AM$3,0,0,'Données projet'!$E$10+1,1))-AVERAGE(OFFSET($H$3,0,0,'Données projet'!$E$10+1,1))</f>
        <v>210.85498515082651</v>
      </c>
      <c r="AO138" s="60">
        <f t="shared" si="144"/>
        <v>76.413905647258389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456.68544269509601</v>
      </c>
      <c r="BJ138" s="60">
        <f t="shared" si="146"/>
        <v>417.22363874931852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5.1159076974727213E-13</v>
      </c>
      <c r="BZ138" s="14">
        <f>BY138*VLOOKUP('Données projet'!$B$12,Paramètres!$A$1:$I$89,3,0)*VLOOKUP('Données projet'!$B$12,Paramètres!$A$1:$I$89,5,0)</f>
        <v>2.8597924028872516E-13</v>
      </c>
      <c r="CA138" s="14">
        <f t="shared" si="147"/>
        <v>3.8016246610825715E-12</v>
      </c>
      <c r="CB138" s="22">
        <f t="shared" si="118"/>
        <v>7.1192434615550094E-12</v>
      </c>
      <c r="CC138" s="60">
        <f t="shared" si="119"/>
        <v>293.33333333334042</v>
      </c>
      <c r="CD138" s="60">
        <f ca="1">AVERAGE(OFFSET($CC$3,0,0,'Données projet'!$E$12+1,1))-AVERAGE(OFFSET($H$3,0,0,'Données projet'!$E$12+1,1))</f>
        <v>234.38946271740315</v>
      </c>
      <c r="CE138" s="60">
        <f t="shared" si="148"/>
        <v>123.9494810355684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1.9978426201217467</v>
      </c>
      <c r="CM138" s="23">
        <f>EXP(-LN(2)/2)*CM137+(1-EXP(-LN(2)/2))/(LN(2)/2)*CG138*CJ138*VLOOKUP('Données projet'!$B$12,Paramètres!$A$1:$I$89,3,0)*0.475*44/12</f>
        <v>2.8938907783166972E-13</v>
      </c>
      <c r="CN138" s="24">
        <f t="shared" si="120"/>
        <v>1.9978426201220361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0" t="e">
        <f t="shared" si="122"/>
        <v>#N/A</v>
      </c>
      <c r="CY138" s="60" t="e">
        <f ca="1">AVERAGE(OFFSET($CX$3,0,0,'Données projet'!$E$13+1,1))-AVERAGE(OFFSET($H$3,0,0,'Données projet'!$E$13+1,1))</f>
        <v>#N/A</v>
      </c>
      <c r="CZ138" s="60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8">
        <f t="shared" si="110"/>
        <v>439.54039910075409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0">
        <f t="shared" si="109"/>
        <v>851.28543369086674</v>
      </c>
      <c r="S139" s="60">
        <f ca="1">AVERAGE(OFFSET($R$3,0,0,'Données projet'!$E$9+1,1))-AVERAGE(OFFSET($H$3,0,0,'Données projet'!$E$9+1,1))</f>
        <v>314.4389771131751</v>
      </c>
      <c r="T139" s="60">
        <f t="shared" si="142"/>
        <v>176.7239677722049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1.7</v>
      </c>
      <c r="AI139" s="14">
        <f>IF('Données projet'!$A$62&gt;35,AI138+AH139-AQ138,IF(A139&lt;'Données projet'!$A$62,$AF$205^A139,IF(A139='Données projet'!$A$62,'Données projet'!$B$62,AI138+AH139-AQ138)))</f>
        <v>220.19999999999985</v>
      </c>
      <c r="AJ139" s="14">
        <f>AI139*VLOOKUP('Données projet'!$B$10,Paramètres!$A$1:$I$89,3,0)*VLOOKUP('Données projet'!$B$10,Paramètres!$A$1:$I$89,5,0)</f>
        <v>199.23695999999987</v>
      </c>
      <c r="AK139" s="14">
        <f t="shared" si="143"/>
        <v>49.576437339980899</v>
      </c>
      <c r="AL139" s="22">
        <f t="shared" si="112"/>
        <v>433.35000036713313</v>
      </c>
      <c r="AM139" s="60">
        <f t="shared" si="113"/>
        <v>726.68333370046639</v>
      </c>
      <c r="AN139" s="60">
        <f ca="1">AVERAGE(OFFSET($AM$3,0,0,'Données projet'!$E$10+1,1))-AVERAGE(OFFSET($H$3,0,0,'Données projet'!$E$10+1,1))</f>
        <v>210.85498515082651</v>
      </c>
      <c r="AO139" s="60">
        <f t="shared" si="144"/>
        <v>76.413905647258389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456.68544269509601</v>
      </c>
      <c r="BJ139" s="60">
        <f t="shared" si="146"/>
        <v>417.22363874931852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5.1159076974727213E-13</v>
      </c>
      <c r="BZ139" s="14">
        <f>BY139*VLOOKUP('Données projet'!$B$12,Paramètres!$A$1:$I$89,3,0)*VLOOKUP('Données projet'!$B$12,Paramètres!$A$1:$I$89,5,0)</f>
        <v>2.8597924028872516E-13</v>
      </c>
      <c r="CA139" s="14">
        <f t="shared" si="147"/>
        <v>3.8016246610825715E-12</v>
      </c>
      <c r="CB139" s="22">
        <f t="shared" si="118"/>
        <v>7.1192434615550094E-12</v>
      </c>
      <c r="CC139" s="60">
        <f t="shared" si="119"/>
        <v>293.33333333334042</v>
      </c>
      <c r="CD139" s="60">
        <f ca="1">AVERAGE(OFFSET($CC$3,0,0,'Données projet'!$E$12+1,1))-AVERAGE(OFFSET($H$3,0,0,'Données projet'!$E$12+1,1))</f>
        <v>234.38946271740315</v>
      </c>
      <c r="CE139" s="60">
        <f t="shared" si="148"/>
        <v>123.9494810355684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1.9432115086125403</v>
      </c>
      <c r="CM139" s="23">
        <f>EXP(-LN(2)/2)*CM138+(1-EXP(-LN(2)/2))/(LN(2)/2)*CG139*CJ139*VLOOKUP('Données projet'!$B$12,Paramètres!$A$1:$I$89,3,0)*0.475*44/12</f>
        <v>2.0462897933609526E-13</v>
      </c>
      <c r="CN139" s="24">
        <f t="shared" si="120"/>
        <v>1.9432115086127451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0" t="e">
        <f t="shared" si="122"/>
        <v>#N/A</v>
      </c>
      <c r="CY139" s="60" t="e">
        <f ca="1">AVERAGE(OFFSET($CX$3,0,0,'Données projet'!$E$13+1,1))-AVERAGE(OFFSET($H$3,0,0,'Données projet'!$E$13+1,1))</f>
        <v>#N/A</v>
      </c>
      <c r="CZ139" s="60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8">
        <f t="shared" si="110"/>
        <v>440.58773864818636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0">
        <f t="shared" si="109"/>
        <v>856.44750892960883</v>
      </c>
      <c r="S140" s="60">
        <f ca="1">AVERAGE(OFFSET($R$3,0,0,'Données projet'!$E$9+1,1))-AVERAGE(OFFSET($H$3,0,0,'Données projet'!$E$9+1,1))</f>
        <v>314.4389771131751</v>
      </c>
      <c r="T140" s="60">
        <f t="shared" si="142"/>
        <v>176.7239677722049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1.7</v>
      </c>
      <c r="AI140" s="14">
        <f>IF('Données projet'!$A$62&gt;35,AI139+AH140-AQ139,IF(A140&lt;'Données projet'!$A$62,$AF$205^A140,IF(A140='Données projet'!$A$62,'Données projet'!$B$62,AI139+AH140-AQ139)))</f>
        <v>221.89999999999984</v>
      </c>
      <c r="AJ140" s="14">
        <f>AI140*VLOOKUP('Données projet'!$B$10,Paramètres!$A$1:$I$89,3,0)*VLOOKUP('Données projet'!$B$10,Paramètres!$A$1:$I$89,5,0)</f>
        <v>200.77511999999982</v>
      </c>
      <c r="AK140" s="14">
        <f t="shared" si="143"/>
        <v>49.914477272475025</v>
      </c>
      <c r="AL140" s="22">
        <f t="shared" si="112"/>
        <v>436.61771524956038</v>
      </c>
      <c r="AM140" s="60">
        <f t="shared" si="113"/>
        <v>729.95104858289369</v>
      </c>
      <c r="AN140" s="60">
        <f ca="1">AVERAGE(OFFSET($AM$3,0,0,'Données projet'!$E$10+1,1))-AVERAGE(OFFSET($H$3,0,0,'Données projet'!$E$10+1,1))</f>
        <v>210.85498515082651</v>
      </c>
      <c r="AO140" s="60">
        <f t="shared" si="144"/>
        <v>76.413905647258389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456.68544269509601</v>
      </c>
      <c r="BJ140" s="60">
        <f t="shared" si="146"/>
        <v>417.22363874931852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5.1159076974727213E-13</v>
      </c>
      <c r="BZ140" s="14">
        <f>BY140*VLOOKUP('Données projet'!$B$12,Paramètres!$A$1:$I$89,3,0)*VLOOKUP('Données projet'!$B$12,Paramètres!$A$1:$I$89,5,0)</f>
        <v>2.8597924028872516E-13</v>
      </c>
      <c r="CA140" s="14">
        <f t="shared" si="147"/>
        <v>3.8016246610825715E-12</v>
      </c>
      <c r="CB140" s="22">
        <f t="shared" si="118"/>
        <v>7.1192434615550094E-12</v>
      </c>
      <c r="CC140" s="60">
        <f t="shared" si="119"/>
        <v>293.33333333334042</v>
      </c>
      <c r="CD140" s="60">
        <f ca="1">AVERAGE(OFFSET($CC$3,0,0,'Données projet'!$E$12+1,1))-AVERAGE(OFFSET($H$3,0,0,'Données projet'!$E$12+1,1))</f>
        <v>234.38946271740315</v>
      </c>
      <c r="CE140" s="60">
        <f t="shared" si="148"/>
        <v>123.9494810355684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1.8900742877204784</v>
      </c>
      <c r="CM140" s="23">
        <f>EXP(-LN(2)/2)*CM139+(1-EXP(-LN(2)/2))/(LN(2)/2)*CG140*CJ140*VLOOKUP('Données projet'!$B$12,Paramètres!$A$1:$I$89,3,0)*0.475*44/12</f>
        <v>1.4469453891583486E-13</v>
      </c>
      <c r="CN140" s="24">
        <f t="shared" si="120"/>
        <v>1.8900742877206231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0" t="e">
        <f t="shared" si="122"/>
        <v>#N/A</v>
      </c>
      <c r="CY140" s="60" t="e">
        <f ca="1">AVERAGE(OFFSET($CX$3,0,0,'Données projet'!$E$13+1,1))-AVERAGE(OFFSET($H$3,0,0,'Données projet'!$E$13+1,1))</f>
        <v>#N/A</v>
      </c>
      <c r="CZ140" s="60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8">
        <f t="shared" si="110"/>
        <v>441.63490018787445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0">
        <f t="shared" si="109"/>
        <v>861.60859430939399</v>
      </c>
      <c r="S141" s="60">
        <f ca="1">AVERAGE(OFFSET($R$3,0,0,'Données projet'!$E$9+1,1))-AVERAGE(OFFSET($H$3,0,0,'Données projet'!$E$9+1,1))</f>
        <v>314.4389771131751</v>
      </c>
      <c r="T141" s="60">
        <f t="shared" si="142"/>
        <v>176.7239677722049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1.7</v>
      </c>
      <c r="AI141" s="14">
        <f>IF('Données projet'!$A$62&gt;35,AI140+AH141-AQ140,IF(A141&lt;'Données projet'!$A$62,$AF$205^A141,IF(A141='Données projet'!$A$62,'Données projet'!$B$62,AI140+AH141-AQ140)))</f>
        <v>223.59999999999982</v>
      </c>
      <c r="AJ141" s="14">
        <f>AI141*VLOOKUP('Données projet'!$B$10,Paramètres!$A$1:$I$89,3,0)*VLOOKUP('Données projet'!$B$10,Paramètres!$A$1:$I$89,5,0)</f>
        <v>202.31327999999985</v>
      </c>
      <c r="AK141" s="14">
        <f t="shared" si="143"/>
        <v>50.252215888082027</v>
      </c>
      <c r="AL141" s="22">
        <f t="shared" si="112"/>
        <v>439.88490533840923</v>
      </c>
      <c r="AM141" s="60">
        <f t="shared" si="113"/>
        <v>733.21823867174248</v>
      </c>
      <c r="AN141" s="60">
        <f ca="1">AVERAGE(OFFSET($AM$3,0,0,'Données projet'!$E$10+1,1))-AVERAGE(OFFSET($H$3,0,0,'Données projet'!$E$10+1,1))</f>
        <v>210.85498515082651</v>
      </c>
      <c r="AO141" s="60">
        <f t="shared" si="144"/>
        <v>76.413905647258389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456.68544269509601</v>
      </c>
      <c r="BJ141" s="60">
        <f t="shared" si="146"/>
        <v>417.22363874931852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5.1159076974727213E-13</v>
      </c>
      <c r="BZ141" s="14">
        <f>BY141*VLOOKUP('Données projet'!$B$12,Paramètres!$A$1:$I$89,3,0)*VLOOKUP('Données projet'!$B$12,Paramètres!$A$1:$I$89,5,0)</f>
        <v>2.8597924028872516E-13</v>
      </c>
      <c r="CA141" s="14">
        <f t="shared" si="147"/>
        <v>3.8016246610825715E-12</v>
      </c>
      <c r="CB141" s="22">
        <f t="shared" si="118"/>
        <v>7.1192434615550094E-12</v>
      </c>
      <c r="CC141" s="60">
        <f t="shared" si="119"/>
        <v>293.33333333334042</v>
      </c>
      <c r="CD141" s="60">
        <f ca="1">AVERAGE(OFFSET($CC$3,0,0,'Données projet'!$E$12+1,1))-AVERAGE(OFFSET($H$3,0,0,'Données projet'!$E$12+1,1))</f>
        <v>234.38946271740315</v>
      </c>
      <c r="CE141" s="60">
        <f t="shared" si="148"/>
        <v>123.9494810355684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1.8383901069280748</v>
      </c>
      <c r="CM141" s="23">
        <f>EXP(-LN(2)/2)*CM140+(1-EXP(-LN(2)/2))/(LN(2)/2)*CG141*CJ141*VLOOKUP('Données projet'!$B$12,Paramètres!$A$1:$I$89,3,0)*0.475*44/12</f>
        <v>1.0231448966804763E-13</v>
      </c>
      <c r="CN141" s="24">
        <f t="shared" si="120"/>
        <v>1.8383901069281772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0" t="e">
        <f t="shared" si="122"/>
        <v>#N/A</v>
      </c>
      <c r="CY141" s="60" t="e">
        <f ca="1">AVERAGE(OFFSET($CX$3,0,0,'Données projet'!$E$13+1,1))-AVERAGE(OFFSET($H$3,0,0,'Données projet'!$E$13+1,1))</f>
        <v>#N/A</v>
      </c>
      <c r="CZ141" s="60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8">
        <f t="shared" si="110"/>
        <v>442.68188515929319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0">
        <f t="shared" si="109"/>
        <v>866.76870009238769</v>
      </c>
      <c r="S142" s="60">
        <f ca="1">AVERAGE(OFFSET($R$3,0,0,'Données projet'!$E$9+1,1))-AVERAGE(OFFSET($H$3,0,0,'Données projet'!$E$9+1,1))</f>
        <v>314.4389771131751</v>
      </c>
      <c r="T142" s="60">
        <f t="shared" si="142"/>
        <v>176.7239677722049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1.7</v>
      </c>
      <c r="AI142" s="14">
        <f>IF('Données projet'!$A$62&gt;35,AI141+AH142-AQ141,IF(A142&lt;'Données projet'!$A$62,$AF$205^A142,IF(A142='Données projet'!$A$62,'Données projet'!$B$62,AI141+AH142-AQ141)))</f>
        <v>225.29999999999981</v>
      </c>
      <c r="AJ142" s="14">
        <f>AI142*VLOOKUP('Données projet'!$B$10,Paramètres!$A$1:$I$89,3,0)*VLOOKUP('Données projet'!$B$10,Paramètres!$A$1:$I$89,5,0)</f>
        <v>203.85143999999983</v>
      </c>
      <c r="AK142" s="14">
        <f t="shared" si="143"/>
        <v>50.589655743248208</v>
      </c>
      <c r="AL142" s="22">
        <f t="shared" si="112"/>
        <v>443.15157508615698</v>
      </c>
      <c r="AM142" s="60">
        <f t="shared" si="113"/>
        <v>736.48490841949024</v>
      </c>
      <c r="AN142" s="60">
        <f ca="1">AVERAGE(OFFSET($AM$3,0,0,'Données projet'!$E$10+1,1))-AVERAGE(OFFSET($H$3,0,0,'Données projet'!$E$10+1,1))</f>
        <v>210.85498515082651</v>
      </c>
      <c r="AO142" s="60">
        <f t="shared" si="144"/>
        <v>76.413905647258389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456.68544269509601</v>
      </c>
      <c r="BJ142" s="60">
        <f t="shared" si="146"/>
        <v>417.22363874931852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5.1159076974727213E-13</v>
      </c>
      <c r="BZ142" s="14">
        <f>BY142*VLOOKUP('Données projet'!$B$12,Paramètres!$A$1:$I$89,3,0)*VLOOKUP('Données projet'!$B$12,Paramètres!$A$1:$I$89,5,0)</f>
        <v>2.8597924028872516E-13</v>
      </c>
      <c r="CA142" s="14">
        <f t="shared" si="147"/>
        <v>3.8016246610825715E-12</v>
      </c>
      <c r="CB142" s="22">
        <f t="shared" si="118"/>
        <v>7.1192434615550094E-12</v>
      </c>
      <c r="CC142" s="60">
        <f t="shared" si="119"/>
        <v>293.33333333334042</v>
      </c>
      <c r="CD142" s="60">
        <f ca="1">AVERAGE(OFFSET($CC$3,0,0,'Données projet'!$E$12+1,1))-AVERAGE(OFFSET($H$3,0,0,'Données projet'!$E$12+1,1))</f>
        <v>234.38946271740315</v>
      </c>
      <c r="CE142" s="60">
        <f t="shared" si="148"/>
        <v>123.9494810355684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1.7881192327773925</v>
      </c>
      <c r="CM142" s="23">
        <f>EXP(-LN(2)/2)*CM141+(1-EXP(-LN(2)/2))/(LN(2)/2)*CG142*CJ142*VLOOKUP('Données projet'!$B$12,Paramètres!$A$1:$I$89,3,0)*0.475*44/12</f>
        <v>7.2347269457917431E-14</v>
      </c>
      <c r="CN142" s="24">
        <f t="shared" si="120"/>
        <v>1.7881192327774649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0" t="e">
        <f t="shared" si="122"/>
        <v>#N/A</v>
      </c>
      <c r="CY142" s="60" t="e">
        <f ca="1">AVERAGE(OFFSET($CX$3,0,0,'Données projet'!$E$13+1,1))-AVERAGE(OFFSET($H$3,0,0,'Données projet'!$E$13+1,1))</f>
        <v>#N/A</v>
      </c>
      <c r="CZ142" s="60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8">
        <f t="shared" si="110"/>
        <v>443.72869498000898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0">
        <f t="shared" si="109"/>
        <v>871.92783634091984</v>
      </c>
      <c r="S143" s="60">
        <f ca="1">AVERAGE(OFFSET($R$3,0,0,'Données projet'!$E$9+1,1))-AVERAGE(OFFSET($H$3,0,0,'Données projet'!$E$9+1,1))</f>
        <v>314.4389771131751</v>
      </c>
      <c r="T143" s="60">
        <f t="shared" si="142"/>
        <v>176.7239677722049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227</v>
      </c>
      <c r="AG143" s="13">
        <f>VLOOKUP(A143,'Données projet'!$A$61:$I$81,9,0)</f>
        <v>1.7</v>
      </c>
      <c r="AH143" s="13">
        <f t="array" ref="AH143">INDEX(AG:AG,MIN(IF(ISNUMBER(AG143:AG339),ROW(AG143:AG339),"")))</f>
        <v>1.7</v>
      </c>
      <c r="AI143" s="14">
        <f>IF('Données projet'!$A$62&gt;35,AI142+AH143-AQ142,IF(A143&lt;'Données projet'!$A$62,$AF$205^A143,IF(A143='Données projet'!$A$62,'Données projet'!$B$62,AI142+AH143-AQ142)))</f>
        <v>226.9999999999998</v>
      </c>
      <c r="AJ143" s="14">
        <f>AI143*VLOOKUP('Données projet'!$B$10,Paramètres!$A$1:$I$89,3,0)*VLOOKUP('Données projet'!$B$10,Paramètres!$A$1:$I$89,5,0)</f>
        <v>205.38959999999983</v>
      </c>
      <c r="AK143" s="14">
        <f t="shared" si="143"/>
        <v>50.926799353611912</v>
      </c>
      <c r="AL143" s="22">
        <f t="shared" si="112"/>
        <v>446.41772887420711</v>
      </c>
      <c r="AM143" s="60">
        <f t="shared" si="113"/>
        <v>739.75106220754037</v>
      </c>
      <c r="AN143" s="60">
        <f ca="1">AVERAGE(OFFSET($AM$3,0,0,'Données projet'!$E$10+1,1))-AVERAGE(OFFSET($H$3,0,0,'Données projet'!$E$10+1,1))</f>
        <v>210.85498515082651</v>
      </c>
      <c r="AO143" s="60">
        <f t="shared" si="144"/>
        <v>76.413905647258389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17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456.68544269509601</v>
      </c>
      <c r="BJ143" s="60">
        <f t="shared" si="146"/>
        <v>417.22363874931852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5.1159076974727213E-13</v>
      </c>
      <c r="BZ143" s="14">
        <f>BY143*VLOOKUP('Données projet'!$B$12,Paramètres!$A$1:$I$89,3,0)*VLOOKUP('Données projet'!$B$12,Paramètres!$A$1:$I$89,5,0)</f>
        <v>2.8597924028872516E-13</v>
      </c>
      <c r="CA143" s="14">
        <f t="shared" si="147"/>
        <v>3.8016246610825715E-12</v>
      </c>
      <c r="CB143" s="22">
        <f t="shared" si="118"/>
        <v>7.1192434615550094E-12</v>
      </c>
      <c r="CC143" s="60">
        <f t="shared" si="119"/>
        <v>293.33333333334042</v>
      </c>
      <c r="CD143" s="60">
        <f ca="1">AVERAGE(OFFSET($CC$3,0,0,'Données projet'!$E$12+1,1))-AVERAGE(OFFSET($H$3,0,0,'Données projet'!$E$12+1,1))</f>
        <v>234.38946271740315</v>
      </c>
      <c r="CE143" s="60">
        <f t="shared" si="148"/>
        <v>123.9494810355684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1.739223018323991</v>
      </c>
      <c r="CM143" s="23">
        <f>EXP(-LN(2)/2)*CM142+(1-EXP(-LN(2)/2))/(LN(2)/2)*CG143*CJ143*VLOOKUP('Données projet'!$B$12,Paramètres!$A$1:$I$89,3,0)*0.475*44/12</f>
        <v>5.1157244834023814E-14</v>
      </c>
      <c r="CN143" s="24">
        <f t="shared" si="120"/>
        <v>1.739223018324042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0" t="e">
        <f t="shared" si="122"/>
        <v>#N/A</v>
      </c>
      <c r="CY143" s="60" t="e">
        <f ca="1">AVERAGE(OFFSET($CX$3,0,0,'Données projet'!$E$13+1,1))-AVERAGE(OFFSET($H$3,0,0,'Données projet'!$E$13+1,1))</f>
        <v>#N/A</v>
      </c>
      <c r="CZ143" s="60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8">
        <f t="shared" si="110"/>
        <v>444.7753310461668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0">
        <f t="shared" si="109"/>
        <v>824.88563895074731</v>
      </c>
      <c r="S144" s="60">
        <f ca="1">AVERAGE(OFFSET($R$3,0,0,'Données projet'!$E$9+1,1))-AVERAGE(OFFSET($H$3,0,0,'Données projet'!$E$9+1,1))</f>
        <v>314.4389771131751</v>
      </c>
      <c r="T144" s="60">
        <f t="shared" si="142"/>
        <v>176.7239677722049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1.4</v>
      </c>
      <c r="AI144" s="14">
        <f>IF('Données projet'!$A$62&gt;35,AI143+AH144-AQ143,IF(A144&lt;'Données projet'!$A$62,$AF$205^A144,IF(A144='Données projet'!$A$62,'Données projet'!$B$62,AI143+AH144-AQ143)))</f>
        <v>211.39999999999981</v>
      </c>
      <c r="AJ144" s="14">
        <f>AI144*VLOOKUP('Données projet'!$B$10,Paramètres!$A$1:$I$89,3,0)*VLOOKUP('Données projet'!$B$10,Paramètres!$A$1:$I$89,5,0)</f>
        <v>191.27471999999983</v>
      </c>
      <c r="AK144" s="14">
        <f t="shared" si="143"/>
        <v>47.821665575903104</v>
      </c>
      <c r="AL144" s="22">
        <f t="shared" si="112"/>
        <v>416.42620487803089</v>
      </c>
      <c r="AM144" s="60">
        <f t="shared" si="113"/>
        <v>709.7595382113642</v>
      </c>
      <c r="AN144" s="60">
        <f ca="1">AVERAGE(OFFSET($AM$3,0,0,'Données projet'!$E$10+1,1))-AVERAGE(OFFSET($H$3,0,0,'Données projet'!$E$10+1,1))</f>
        <v>210.85498515082651</v>
      </c>
      <c r="AO144" s="60">
        <f t="shared" si="144"/>
        <v>76.413905647258389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456.68544269509601</v>
      </c>
      <c r="BJ144" s="60">
        <f t="shared" si="146"/>
        <v>417.22363874931852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5.1159076974727213E-13</v>
      </c>
      <c r="BZ144" s="14">
        <f>BY144*VLOOKUP('Données projet'!$B$12,Paramètres!$A$1:$I$89,3,0)*VLOOKUP('Données projet'!$B$12,Paramètres!$A$1:$I$89,5,0)</f>
        <v>2.8597924028872516E-13</v>
      </c>
      <c r="CA144" s="14">
        <f t="shared" si="147"/>
        <v>3.8016246610825715E-12</v>
      </c>
      <c r="CB144" s="22">
        <f t="shared" si="118"/>
        <v>7.1192434615550094E-12</v>
      </c>
      <c r="CC144" s="60">
        <f t="shared" si="119"/>
        <v>293.33333333334042</v>
      </c>
      <c r="CD144" s="60">
        <f ca="1">AVERAGE(OFFSET($CC$3,0,0,'Données projet'!$E$12+1,1))-AVERAGE(OFFSET($H$3,0,0,'Données projet'!$E$12+1,1))</f>
        <v>234.38946271740315</v>
      </c>
      <c r="CE144" s="60">
        <f t="shared" si="148"/>
        <v>123.9494810355684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1.691663873426158</v>
      </c>
      <c r="CM144" s="23">
        <f>EXP(-LN(2)/2)*CM143+(1-EXP(-LN(2)/2))/(LN(2)/2)*CG144*CJ144*VLOOKUP('Données projet'!$B$12,Paramètres!$A$1:$I$89,3,0)*0.475*44/12</f>
        <v>3.6173634728958715E-14</v>
      </c>
      <c r="CN144" s="24">
        <f t="shared" si="120"/>
        <v>1.6916638734261942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0" t="e">
        <f t="shared" si="122"/>
        <v>#N/A</v>
      </c>
      <c r="CY144" s="60" t="e">
        <f ca="1">AVERAGE(OFFSET($CX$3,0,0,'Données projet'!$E$13+1,1))-AVERAGE(OFFSET($H$3,0,0,'Données projet'!$E$13+1,1))</f>
        <v>#N/A</v>
      </c>
      <c r="CZ144" s="60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8">
        <f t="shared" si="110"/>
        <v>445.82179473296389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0">
        <f t="shared" si="109"/>
        <v>829.47884870108419</v>
      </c>
      <c r="S145" s="60">
        <f ca="1">AVERAGE(OFFSET($R$3,0,0,'Données projet'!$E$9+1,1))-AVERAGE(OFFSET($H$3,0,0,'Données projet'!$E$9+1,1))</f>
        <v>314.4389771131751</v>
      </c>
      <c r="T145" s="60">
        <f t="shared" si="142"/>
        <v>176.7239677722049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1.4</v>
      </c>
      <c r="AI145" s="14">
        <f>IF('Données projet'!$A$62&gt;35,AI144+AH145-AQ144,IF(A145&lt;'Données projet'!$A$62,$AF$205^A145,IF(A145='Données projet'!$A$62,'Données projet'!$B$62,AI144+AH145-AQ144)))</f>
        <v>212.79999999999981</v>
      </c>
      <c r="AJ145" s="14">
        <f>AI145*VLOOKUP('Données projet'!$B$10,Paramètres!$A$1:$I$89,3,0)*VLOOKUP('Données projet'!$B$10,Paramètres!$A$1:$I$89,5,0)</f>
        <v>192.54143999999982</v>
      </c>
      <c r="AK145" s="14">
        <f t="shared" si="143"/>
        <v>48.101393902059655</v>
      </c>
      <c r="AL145" s="22">
        <f t="shared" si="112"/>
        <v>419.11960237942026</v>
      </c>
      <c r="AM145" s="60">
        <f t="shared" si="113"/>
        <v>712.45293571275351</v>
      </c>
      <c r="AN145" s="60">
        <f ca="1">AVERAGE(OFFSET($AM$3,0,0,'Données projet'!$E$10+1,1))-AVERAGE(OFFSET($H$3,0,0,'Données projet'!$E$10+1,1))</f>
        <v>210.85498515082651</v>
      </c>
      <c r="AO145" s="60">
        <f t="shared" si="144"/>
        <v>76.413905647258389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456.68544269509601</v>
      </c>
      <c r="BJ145" s="60">
        <f t="shared" si="146"/>
        <v>417.22363874931852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5.1159076974727213E-13</v>
      </c>
      <c r="BZ145" s="14">
        <f>BY145*VLOOKUP('Données projet'!$B$12,Paramètres!$A$1:$I$89,3,0)*VLOOKUP('Données projet'!$B$12,Paramètres!$A$1:$I$89,5,0)</f>
        <v>2.8597924028872516E-13</v>
      </c>
      <c r="CA145" s="14">
        <f t="shared" si="147"/>
        <v>3.8016246610825715E-12</v>
      </c>
      <c r="CB145" s="22">
        <f t="shared" si="118"/>
        <v>7.1192434615550094E-12</v>
      </c>
      <c r="CC145" s="60">
        <f t="shared" si="119"/>
        <v>293.33333333334042</v>
      </c>
      <c r="CD145" s="60">
        <f ca="1">AVERAGE(OFFSET($CC$3,0,0,'Données projet'!$E$12+1,1))-AVERAGE(OFFSET($H$3,0,0,'Données projet'!$E$12+1,1))</f>
        <v>234.38946271740315</v>
      </c>
      <c r="CE145" s="60">
        <f t="shared" si="148"/>
        <v>123.9494810355684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1.6454052358465829</v>
      </c>
      <c r="CM145" s="23">
        <f>EXP(-LN(2)/2)*CM144+(1-EXP(-LN(2)/2))/(LN(2)/2)*CG145*CJ145*VLOOKUP('Données projet'!$B$12,Paramètres!$A$1:$I$89,3,0)*0.475*44/12</f>
        <v>2.5578622417011907E-14</v>
      </c>
      <c r="CN145" s="24">
        <f t="shared" si="120"/>
        <v>1.6454052358466085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0" t="e">
        <f t="shared" si="122"/>
        <v>#N/A</v>
      </c>
      <c r="CY145" s="60" t="e">
        <f ca="1">AVERAGE(OFFSET($CX$3,0,0,'Données projet'!$E$13+1,1))-AVERAGE(OFFSET($H$3,0,0,'Données projet'!$E$13+1,1))</f>
        <v>#N/A</v>
      </c>
      <c r="CZ145" s="60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8">
        <f t="shared" si="110"/>
        <v>446.86808739510911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0">
        <f t="shared" si="109"/>
        <v>834.07123124476584</v>
      </c>
      <c r="S146" s="60">
        <f ca="1">AVERAGE(OFFSET($R$3,0,0,'Données projet'!$E$9+1,1))-AVERAGE(OFFSET($H$3,0,0,'Données projet'!$E$9+1,1))</f>
        <v>314.4389771131751</v>
      </c>
      <c r="T146" s="60">
        <f t="shared" si="142"/>
        <v>176.7239677722049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1.4</v>
      </c>
      <c r="AI146" s="14">
        <f>IF('Données projet'!$A$62&gt;35,AI145+AH146-AQ145,IF(A146&lt;'Données projet'!$A$62,$AF$205^A146,IF(A146='Données projet'!$A$62,'Données projet'!$B$62,AI145+AH146-AQ145)))</f>
        <v>214.19999999999982</v>
      </c>
      <c r="AJ146" s="14">
        <f>AI146*VLOOKUP('Données projet'!$B$10,Paramètres!$A$1:$I$89,3,0)*VLOOKUP('Données projet'!$B$10,Paramètres!$A$1:$I$89,5,0)</f>
        <v>193.80815999999984</v>
      </c>
      <c r="AK146" s="14">
        <f t="shared" si="143"/>
        <v>48.380908095574647</v>
      </c>
      <c r="AL146" s="22">
        <f t="shared" si="112"/>
        <v>421.81262693312556</v>
      </c>
      <c r="AM146" s="60">
        <f t="shared" si="113"/>
        <v>715.14596026645881</v>
      </c>
      <c r="AN146" s="60">
        <f ca="1">AVERAGE(OFFSET($AM$3,0,0,'Données projet'!$E$10+1,1))-AVERAGE(OFFSET($H$3,0,0,'Données projet'!$E$10+1,1))</f>
        <v>210.85498515082651</v>
      </c>
      <c r="AO146" s="60">
        <f t="shared" si="144"/>
        <v>76.413905647258389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456.68544269509601</v>
      </c>
      <c r="BJ146" s="60">
        <f t="shared" si="146"/>
        <v>417.22363874931852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5.1159076974727213E-13</v>
      </c>
      <c r="BZ146" s="14">
        <f>BY146*VLOOKUP('Données projet'!$B$12,Paramètres!$A$1:$I$89,3,0)*VLOOKUP('Données projet'!$B$12,Paramètres!$A$1:$I$89,5,0)</f>
        <v>2.8597924028872516E-13</v>
      </c>
      <c r="CA146" s="14">
        <f t="shared" si="147"/>
        <v>3.8016246610825715E-12</v>
      </c>
      <c r="CB146" s="22">
        <f t="shared" si="118"/>
        <v>7.1192434615550094E-12</v>
      </c>
      <c r="CC146" s="60">
        <f t="shared" si="119"/>
        <v>293.33333333334042</v>
      </c>
      <c r="CD146" s="60">
        <f ca="1">AVERAGE(OFFSET($CC$3,0,0,'Données projet'!$E$12+1,1))-AVERAGE(OFFSET($H$3,0,0,'Données projet'!$E$12+1,1))</f>
        <v>234.38946271740315</v>
      </c>
      <c r="CE146" s="60">
        <f t="shared" si="148"/>
        <v>123.9494810355684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1.6004115431442574</v>
      </c>
      <c r="CM146" s="23">
        <f>EXP(-LN(2)/2)*CM145+(1-EXP(-LN(2)/2))/(LN(2)/2)*CG146*CJ146*VLOOKUP('Données projet'!$B$12,Paramètres!$A$1:$I$89,3,0)*0.475*44/12</f>
        <v>1.8086817364479358E-14</v>
      </c>
      <c r="CN146" s="24">
        <f t="shared" si="120"/>
        <v>1.6004115431442754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0" t="e">
        <f t="shared" si="122"/>
        <v>#N/A</v>
      </c>
      <c r="CY146" s="60" t="e">
        <f ca="1">AVERAGE(OFFSET($CX$3,0,0,'Données projet'!$E$13+1,1))-AVERAGE(OFFSET($H$3,0,0,'Données projet'!$E$13+1,1))</f>
        <v>#N/A</v>
      </c>
      <c r="CZ146" s="60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8">
        <f t="shared" si="110"/>
        <v>447.91421036726933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0">
        <f t="shared" si="109"/>
        <v>838.66279460250166</v>
      </c>
      <c r="S147" s="60">
        <f ca="1">AVERAGE(OFFSET($R$3,0,0,'Données projet'!$E$9+1,1))-AVERAGE(OFFSET($H$3,0,0,'Données projet'!$E$9+1,1))</f>
        <v>314.4389771131751</v>
      </c>
      <c r="T147" s="60">
        <f t="shared" si="142"/>
        <v>176.7239677722049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1.4</v>
      </c>
      <c r="AI147" s="14">
        <f>IF('Données projet'!$A$62&gt;35,AI146+AH147-AQ146,IF(A147&lt;'Données projet'!$A$62,$AF$205^A147,IF(A147='Données projet'!$A$62,'Données projet'!$B$62,AI146+AH147-AQ146)))</f>
        <v>215.59999999999982</v>
      </c>
      <c r="AJ147" s="14">
        <f>AI147*VLOOKUP('Données projet'!$B$10,Paramètres!$A$1:$I$89,3,0)*VLOOKUP('Données projet'!$B$10,Paramètres!$A$1:$I$89,5,0)</f>
        <v>195.07487999999984</v>
      </c>
      <c r="AK147" s="14">
        <f t="shared" si="143"/>
        <v>48.66020971834471</v>
      </c>
      <c r="AL147" s="22">
        <f t="shared" si="112"/>
        <v>424.50528125944999</v>
      </c>
      <c r="AM147" s="60">
        <f t="shared" si="113"/>
        <v>717.8386145927833</v>
      </c>
      <c r="AN147" s="60">
        <f ca="1">AVERAGE(OFFSET($AM$3,0,0,'Données projet'!$E$10+1,1))-AVERAGE(OFFSET($H$3,0,0,'Données projet'!$E$10+1,1))</f>
        <v>210.85498515082651</v>
      </c>
      <c r="AO147" s="60">
        <f t="shared" si="144"/>
        <v>76.413905647258389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456.68544269509601</v>
      </c>
      <c r="BJ147" s="60">
        <f t="shared" si="146"/>
        <v>417.22363874931852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5.1159076974727213E-13</v>
      </c>
      <c r="BZ147" s="14">
        <f>BY147*VLOOKUP('Données projet'!$B$12,Paramètres!$A$1:$I$89,3,0)*VLOOKUP('Données projet'!$B$12,Paramètres!$A$1:$I$89,5,0)</f>
        <v>2.8597924028872516E-13</v>
      </c>
      <c r="CA147" s="14">
        <f t="shared" si="147"/>
        <v>3.8016246610825715E-12</v>
      </c>
      <c r="CB147" s="22">
        <f t="shared" si="118"/>
        <v>7.1192434615550094E-12</v>
      </c>
      <c r="CC147" s="60">
        <f t="shared" si="119"/>
        <v>293.33333333334042</v>
      </c>
      <c r="CD147" s="60">
        <f ca="1">AVERAGE(OFFSET($CC$3,0,0,'Données projet'!$E$12+1,1))-AVERAGE(OFFSET($H$3,0,0,'Données projet'!$E$12+1,1))</f>
        <v>234.38946271740315</v>
      </c>
      <c r="CE147" s="60">
        <f t="shared" si="148"/>
        <v>123.9494810355684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1.5566482053349924</v>
      </c>
      <c r="CM147" s="23">
        <f>EXP(-LN(2)/2)*CM146+(1-EXP(-LN(2)/2))/(LN(2)/2)*CG147*CJ147*VLOOKUP('Données projet'!$B$12,Paramètres!$A$1:$I$89,3,0)*0.475*44/12</f>
        <v>1.2789311208505954E-14</v>
      </c>
      <c r="CN147" s="24">
        <f t="shared" si="120"/>
        <v>1.5566482053350053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0" t="e">
        <f t="shared" si="122"/>
        <v>#N/A</v>
      </c>
      <c r="CY147" s="60" t="e">
        <f ca="1">AVERAGE(OFFSET($CX$3,0,0,'Données projet'!$E$13+1,1))-AVERAGE(OFFSET($H$3,0,0,'Données projet'!$E$13+1,1))</f>
        <v>#N/A</v>
      </c>
      <c r="CZ147" s="60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8">
        <f t="shared" si="110"/>
        <v>448.96016496450284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0">
        <f t="shared" si="109"/>
        <v>843.25354664883753</v>
      </c>
      <c r="S148" s="60">
        <f ca="1">AVERAGE(OFFSET($R$3,0,0,'Données projet'!$E$9+1,1))-AVERAGE(OFFSET($H$3,0,0,'Données projet'!$E$9+1,1))</f>
        <v>314.4389771131751</v>
      </c>
      <c r="T148" s="60">
        <f t="shared" si="142"/>
        <v>176.7239677722049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1.4</v>
      </c>
      <c r="AI148" s="14">
        <f>IF('Données projet'!$A$62&gt;35,AI147+AH148-AQ147,IF(A148&lt;'Données projet'!$A$62,$AF$205^A148,IF(A148='Données projet'!$A$62,'Données projet'!$B$62,AI147+AH148-AQ147)))</f>
        <v>216.99999999999983</v>
      </c>
      <c r="AJ148" s="14">
        <f>AI148*VLOOKUP('Données projet'!$B$10,Paramètres!$A$1:$I$89,3,0)*VLOOKUP('Données projet'!$B$10,Paramètres!$A$1:$I$89,5,0)</f>
        <v>196.34159999999983</v>
      </c>
      <c r="AK148" s="14">
        <f t="shared" si="143"/>
        <v>48.939300310809116</v>
      </c>
      <c r="AL148" s="22">
        <f t="shared" si="112"/>
        <v>427.1975680413255</v>
      </c>
      <c r="AM148" s="60">
        <f t="shared" si="113"/>
        <v>720.53090137465881</v>
      </c>
      <c r="AN148" s="60">
        <f ca="1">AVERAGE(OFFSET($AM$3,0,0,'Données projet'!$E$10+1,1))-AVERAGE(OFFSET($H$3,0,0,'Données projet'!$E$10+1,1))</f>
        <v>210.85498515082651</v>
      </c>
      <c r="AO148" s="60">
        <f t="shared" si="144"/>
        <v>76.413905647258389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456.68544269509601</v>
      </c>
      <c r="BJ148" s="60">
        <f t="shared" si="146"/>
        <v>417.22363874931852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5.1159076974727213E-13</v>
      </c>
      <c r="BZ148" s="14">
        <f>BY148*VLOOKUP('Données projet'!$B$12,Paramètres!$A$1:$I$89,3,0)*VLOOKUP('Données projet'!$B$12,Paramètres!$A$1:$I$89,5,0)</f>
        <v>2.8597924028872516E-13</v>
      </c>
      <c r="CA148" s="14">
        <f t="shared" si="147"/>
        <v>3.8016246610825715E-12</v>
      </c>
      <c r="CB148" s="22">
        <f t="shared" si="118"/>
        <v>7.1192434615550094E-12</v>
      </c>
      <c r="CC148" s="60">
        <f t="shared" si="119"/>
        <v>293.33333333334042</v>
      </c>
      <c r="CD148" s="60">
        <f ca="1">AVERAGE(OFFSET($CC$3,0,0,'Données projet'!$E$12+1,1))-AVERAGE(OFFSET($H$3,0,0,'Données projet'!$E$12+1,1))</f>
        <v>234.38946271740315</v>
      </c>
      <c r="CE148" s="60">
        <f t="shared" si="148"/>
        <v>123.9494810355684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1.5140815782995356</v>
      </c>
      <c r="CM148" s="23">
        <f>EXP(-LN(2)/2)*CM147+(1-EXP(-LN(2)/2))/(LN(2)/2)*CG148*CJ148*VLOOKUP('Données projet'!$B$12,Paramètres!$A$1:$I$89,3,0)*0.475*44/12</f>
        <v>9.0434086822396789E-15</v>
      </c>
      <c r="CN148" s="24">
        <f t="shared" si="120"/>
        <v>1.5140815782995447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0" t="e">
        <f t="shared" si="122"/>
        <v>#N/A</v>
      </c>
      <c r="CY148" s="60" t="e">
        <f ca="1">AVERAGE(OFFSET($CX$3,0,0,'Données projet'!$E$13+1,1))-AVERAGE(OFFSET($H$3,0,0,'Données projet'!$E$13+1,1))</f>
        <v>#N/A</v>
      </c>
      <c r="CZ148" s="60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8">
        <f t="shared" si="110"/>
        <v>450.00595248268087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0">
        <f t="shared" si="109"/>
        <v>847.84349511604432</v>
      </c>
      <c r="S149" s="60">
        <f ca="1">AVERAGE(OFFSET($R$3,0,0,'Données projet'!$E$9+1,1))-AVERAGE(OFFSET($H$3,0,0,'Données projet'!$E$9+1,1))</f>
        <v>314.4389771131751</v>
      </c>
      <c r="T149" s="60">
        <f t="shared" si="142"/>
        <v>176.7239677722049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1.4</v>
      </c>
      <c r="AI149" s="14">
        <f>IF('Données projet'!$A$62&gt;35,AI148+AH149-AQ148,IF(A149&lt;'Données projet'!$A$62,$AF$205^A149,IF(A149='Données projet'!$A$62,'Données projet'!$B$62,AI148+AH149-AQ148)))</f>
        <v>218.39999999999984</v>
      </c>
      <c r="AJ149" s="14">
        <f>AI149*VLOOKUP('Données projet'!$B$10,Paramètres!$A$1:$I$89,3,0)*VLOOKUP('Données projet'!$B$10,Paramètres!$A$1:$I$89,5,0)</f>
        <v>197.60831999999985</v>
      </c>
      <c r="AK149" s="14">
        <f t="shared" si="143"/>
        <v>49.218181392381318</v>
      </c>
      <c r="AL149" s="22">
        <f t="shared" si="112"/>
        <v>429.88948992506386</v>
      </c>
      <c r="AM149" s="60">
        <f t="shared" si="113"/>
        <v>723.22282325839717</v>
      </c>
      <c r="AN149" s="60">
        <f ca="1">AVERAGE(OFFSET($AM$3,0,0,'Données projet'!$E$10+1,1))-AVERAGE(OFFSET($H$3,0,0,'Données projet'!$E$10+1,1))</f>
        <v>210.85498515082651</v>
      </c>
      <c r="AO149" s="60">
        <f t="shared" si="144"/>
        <v>76.413905647258389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456.68544269509601</v>
      </c>
      <c r="BJ149" s="60">
        <f t="shared" si="146"/>
        <v>417.22363874931852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5.1159076974727213E-13</v>
      </c>
      <c r="BZ149" s="14">
        <f>BY149*VLOOKUP('Données projet'!$B$12,Paramètres!$A$1:$I$89,3,0)*VLOOKUP('Données projet'!$B$12,Paramètres!$A$1:$I$89,5,0)</f>
        <v>2.8597924028872516E-13</v>
      </c>
      <c r="CA149" s="14">
        <f t="shared" si="147"/>
        <v>3.8016246610825715E-12</v>
      </c>
      <c r="CB149" s="22">
        <f t="shared" si="118"/>
        <v>7.1192434615550094E-12</v>
      </c>
      <c r="CC149" s="60">
        <f t="shared" si="119"/>
        <v>293.33333333334042</v>
      </c>
      <c r="CD149" s="60">
        <f ca="1">AVERAGE(OFFSET($CC$3,0,0,'Données projet'!$E$12+1,1))-AVERAGE(OFFSET($H$3,0,0,'Données projet'!$E$12+1,1))</f>
        <v>234.38946271740315</v>
      </c>
      <c r="CE149" s="60">
        <f t="shared" si="148"/>
        <v>123.9494810355684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1.4726789379188452</v>
      </c>
      <c r="CM149" s="23">
        <f>EXP(-LN(2)/2)*CM148+(1-EXP(-LN(2)/2))/(LN(2)/2)*CG149*CJ149*VLOOKUP('Données projet'!$B$12,Paramètres!$A$1:$I$89,3,0)*0.475*44/12</f>
        <v>6.3946556042529768E-15</v>
      </c>
      <c r="CN149" s="24">
        <f t="shared" si="120"/>
        <v>1.4726789379188516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0" t="e">
        <f t="shared" si="122"/>
        <v>#N/A</v>
      </c>
      <c r="CY149" s="60" t="e">
        <f ca="1">AVERAGE(OFFSET($CX$3,0,0,'Données projet'!$E$13+1,1))-AVERAGE(OFFSET($H$3,0,0,'Données projet'!$E$13+1,1))</f>
        <v>#N/A</v>
      </c>
      <c r="CZ149" s="60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8">
        <f t="shared" si="110"/>
        <v>451.05157419889701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0">
        <f t="shared" si="109"/>
        <v>852.43264759787166</v>
      </c>
      <c r="S150" s="60">
        <f ca="1">AVERAGE(OFFSET($R$3,0,0,'Données projet'!$E$9+1,1))-AVERAGE(OFFSET($H$3,0,0,'Données projet'!$E$9+1,1))</f>
        <v>314.4389771131751</v>
      </c>
      <c r="T150" s="60">
        <f t="shared" si="142"/>
        <v>176.7239677722049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1.4</v>
      </c>
      <c r="AI150" s="14">
        <f>IF('Données projet'!$A$62&gt;35,AI149+AH150-AQ149,IF(A150&lt;'Données projet'!$A$62,$AF$205^A150,IF(A150='Données projet'!$A$62,'Données projet'!$B$62,AI149+AH150-AQ149)))</f>
        <v>219.79999999999984</v>
      </c>
      <c r="AJ150" s="14">
        <f>AI150*VLOOKUP('Données projet'!$B$10,Paramètres!$A$1:$I$89,3,0)*VLOOKUP('Données projet'!$B$10,Paramètres!$A$1:$I$89,5,0)</f>
        <v>198.87503999999984</v>
      </c>
      <c r="AK150" s="14">
        <f t="shared" si="143"/>
        <v>49.496854461868558</v>
      </c>
      <c r="AL150" s="22">
        <f t="shared" si="112"/>
        <v>432.58104952108744</v>
      </c>
      <c r="AM150" s="60">
        <f t="shared" si="113"/>
        <v>725.91438285442075</v>
      </c>
      <c r="AN150" s="60">
        <f ca="1">AVERAGE(OFFSET($AM$3,0,0,'Données projet'!$E$10+1,1))-AVERAGE(OFFSET($H$3,0,0,'Données projet'!$E$10+1,1))</f>
        <v>210.85498515082651</v>
      </c>
      <c r="AO150" s="60">
        <f t="shared" si="144"/>
        <v>76.413905647258389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456.68544269509601</v>
      </c>
      <c r="BJ150" s="60">
        <f t="shared" si="146"/>
        <v>417.22363874931852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5.1159076974727213E-13</v>
      </c>
      <c r="BZ150" s="14">
        <f>BY150*VLOOKUP('Données projet'!$B$12,Paramètres!$A$1:$I$89,3,0)*VLOOKUP('Données projet'!$B$12,Paramètres!$A$1:$I$89,5,0)</f>
        <v>2.8597924028872516E-13</v>
      </c>
      <c r="CA150" s="14">
        <f t="shared" si="147"/>
        <v>3.8016246610825715E-12</v>
      </c>
      <c r="CB150" s="22">
        <f t="shared" si="118"/>
        <v>7.1192434615550094E-12</v>
      </c>
      <c r="CC150" s="60">
        <f t="shared" si="119"/>
        <v>293.33333333334042</v>
      </c>
      <c r="CD150" s="60">
        <f ca="1">AVERAGE(OFFSET($CC$3,0,0,'Données projet'!$E$12+1,1))-AVERAGE(OFFSET($H$3,0,0,'Données projet'!$E$12+1,1))</f>
        <v>234.38946271740315</v>
      </c>
      <c r="CE150" s="60">
        <f t="shared" si="148"/>
        <v>123.9494810355684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1.4324084549166349</v>
      </c>
      <c r="CM150" s="23">
        <f>EXP(-LN(2)/2)*CM149+(1-EXP(-LN(2)/2))/(LN(2)/2)*CG150*CJ150*VLOOKUP('Données projet'!$B$12,Paramètres!$A$1:$I$89,3,0)*0.475*44/12</f>
        <v>4.5217043411198394E-15</v>
      </c>
      <c r="CN150" s="24">
        <f t="shared" si="120"/>
        <v>1.4324084549166394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0" t="e">
        <f t="shared" si="122"/>
        <v>#N/A</v>
      </c>
      <c r="CY150" s="60" t="e">
        <f ca="1">AVERAGE(OFFSET($CX$3,0,0,'Données projet'!$E$13+1,1))-AVERAGE(OFFSET($H$3,0,0,'Données projet'!$E$13+1,1))</f>
        <v>#N/A</v>
      </c>
      <c r="CZ150" s="60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8">
        <f t="shared" si="110"/>
        <v>452.09703137186477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0">
        <f t="shared" si="109"/>
        <v>857.02101155317064</v>
      </c>
      <c r="S151" s="60">
        <f ca="1">AVERAGE(OFFSET($R$3,0,0,'Données projet'!$E$9+1,1))-AVERAGE(OFFSET($H$3,0,0,'Données projet'!$E$9+1,1))</f>
        <v>314.4389771131751</v>
      </c>
      <c r="T151" s="60">
        <f t="shared" si="142"/>
        <v>176.7239677722049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1.4</v>
      </c>
      <c r="AI151" s="14">
        <f>IF('Données projet'!$A$62&gt;35,AI150+AH151-AQ150,IF(A151&lt;'Données projet'!$A$62,$AF$205^A151,IF(A151='Données projet'!$A$62,'Données projet'!$B$62,AI150+AH151-AQ150)))</f>
        <v>221.19999999999985</v>
      </c>
      <c r="AJ151" s="14">
        <f>AI151*VLOOKUP('Données projet'!$B$10,Paramètres!$A$1:$I$89,3,0)*VLOOKUP('Données projet'!$B$10,Paramètres!$A$1:$I$89,5,0)</f>
        <v>200.14175999999986</v>
      </c>
      <c r="AK151" s="14">
        <f t="shared" si="143"/>
        <v>49.775320997880797</v>
      </c>
      <c r="AL151" s="22">
        <f t="shared" si="112"/>
        <v>435.27224940464208</v>
      </c>
      <c r="AM151" s="60">
        <f t="shared" si="113"/>
        <v>728.6055827379754</v>
      </c>
      <c r="AN151" s="60">
        <f ca="1">AVERAGE(OFFSET($AM$3,0,0,'Données projet'!$E$10+1,1))-AVERAGE(OFFSET($H$3,0,0,'Données projet'!$E$10+1,1))</f>
        <v>210.85498515082651</v>
      </c>
      <c r="AO151" s="60">
        <f t="shared" si="144"/>
        <v>76.413905647258389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456.68544269509601</v>
      </c>
      <c r="BJ151" s="60">
        <f t="shared" si="146"/>
        <v>417.22363874931852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5.1159076974727213E-13</v>
      </c>
      <c r="BZ151" s="14">
        <f>BY151*VLOOKUP('Données projet'!$B$12,Paramètres!$A$1:$I$89,3,0)*VLOOKUP('Données projet'!$B$12,Paramètres!$A$1:$I$89,5,0)</f>
        <v>2.8597924028872516E-13</v>
      </c>
      <c r="CA151" s="14">
        <f t="shared" si="147"/>
        <v>3.8016246610825715E-12</v>
      </c>
      <c r="CB151" s="22">
        <f t="shared" si="118"/>
        <v>7.1192434615550094E-12</v>
      </c>
      <c r="CC151" s="60">
        <f t="shared" si="119"/>
        <v>293.33333333334042</v>
      </c>
      <c r="CD151" s="60">
        <f ca="1">AVERAGE(OFFSET($CC$3,0,0,'Données projet'!$E$12+1,1))-AVERAGE(OFFSET($H$3,0,0,'Données projet'!$E$12+1,1))</f>
        <v>234.38946271740315</v>
      </c>
      <c r="CE151" s="60">
        <f t="shared" si="148"/>
        <v>123.9494810355684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1.3932391703898528</v>
      </c>
      <c r="CM151" s="23">
        <f>EXP(-LN(2)/2)*CM150+(1-EXP(-LN(2)/2))/(LN(2)/2)*CG151*CJ151*VLOOKUP('Données projet'!$B$12,Paramètres!$A$1:$I$89,3,0)*0.475*44/12</f>
        <v>3.1973278021264884E-15</v>
      </c>
      <c r="CN151" s="24">
        <f t="shared" si="120"/>
        <v>1.3932391703898559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0" t="e">
        <f t="shared" si="122"/>
        <v>#N/A</v>
      </c>
      <c r="CY151" s="60" t="e">
        <f ca="1">AVERAGE(OFFSET($CX$3,0,0,'Données projet'!$E$13+1,1))-AVERAGE(OFFSET($H$3,0,0,'Données projet'!$E$13+1,1))</f>
        <v>#N/A</v>
      </c>
      <c r="CZ151" s="60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8">
        <f t="shared" si="110"/>
        <v>453.14232524230488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0">
        <f t="shared" si="109"/>
        <v>861.60859430939354</v>
      </c>
      <c r="S152" s="60">
        <f ca="1">AVERAGE(OFFSET($R$3,0,0,'Données projet'!$E$9+1,1))-AVERAGE(OFFSET($H$3,0,0,'Données projet'!$E$9+1,1))</f>
        <v>314.4389771131751</v>
      </c>
      <c r="T152" s="60">
        <f t="shared" si="142"/>
        <v>176.7239677722049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1.4</v>
      </c>
      <c r="AI152" s="14">
        <f>IF('Données projet'!$A$62&gt;35,AI151+AH152-AQ151,IF(A152&lt;'Données projet'!$A$62,$AF$205^A152,IF(A152='Données projet'!$A$62,'Données projet'!$B$62,AI151+AH152-AQ151)))</f>
        <v>222.59999999999985</v>
      </c>
      <c r="AJ152" s="14">
        <f>AI152*VLOOKUP('Données projet'!$B$10,Paramètres!$A$1:$I$89,3,0)*VLOOKUP('Données projet'!$B$10,Paramètres!$A$1:$I$89,5,0)</f>
        <v>201.40847999999988</v>
      </c>
      <c r="AK152" s="14">
        <f t="shared" si="143"/>
        <v>50.053582459229212</v>
      </c>
      <c r="AL152" s="22">
        <f t="shared" si="112"/>
        <v>437.9630921164906</v>
      </c>
      <c r="AM152" s="60">
        <f t="shared" si="113"/>
        <v>731.29642544982391</v>
      </c>
      <c r="AN152" s="60">
        <f ca="1">AVERAGE(OFFSET($AM$3,0,0,'Données projet'!$E$10+1,1))-AVERAGE(OFFSET($H$3,0,0,'Données projet'!$E$10+1,1))</f>
        <v>210.85498515082651</v>
      </c>
      <c r="AO152" s="60">
        <f t="shared" si="144"/>
        <v>76.413905647258389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456.68544269509601</v>
      </c>
      <c r="BJ152" s="60">
        <f t="shared" si="146"/>
        <v>417.22363874931852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5.1159076974727213E-13</v>
      </c>
      <c r="BZ152" s="14">
        <f>BY152*VLOOKUP('Données projet'!$B$12,Paramètres!$A$1:$I$89,3,0)*VLOOKUP('Données projet'!$B$12,Paramètres!$A$1:$I$89,5,0)</f>
        <v>2.8597924028872516E-13</v>
      </c>
      <c r="CA152" s="14">
        <f t="shared" si="147"/>
        <v>3.8016246610825715E-12</v>
      </c>
      <c r="CB152" s="22">
        <f t="shared" si="118"/>
        <v>7.1192434615550094E-12</v>
      </c>
      <c r="CC152" s="60">
        <f t="shared" si="119"/>
        <v>293.33333333334042</v>
      </c>
      <c r="CD152" s="60">
        <f ca="1">AVERAGE(OFFSET($CC$3,0,0,'Données projet'!$E$12+1,1))-AVERAGE(OFFSET($H$3,0,0,'Données projet'!$E$12+1,1))</f>
        <v>234.38946271740315</v>
      </c>
      <c r="CE152" s="60">
        <f t="shared" si="148"/>
        <v>123.9494810355684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1.3551409720082785</v>
      </c>
      <c r="CM152" s="23">
        <f>EXP(-LN(2)/2)*CM151+(1-EXP(-LN(2)/2))/(LN(2)/2)*CG152*CJ152*VLOOKUP('Données projet'!$B$12,Paramètres!$A$1:$I$89,3,0)*0.475*44/12</f>
        <v>2.2608521705599197E-15</v>
      </c>
      <c r="CN152" s="24">
        <f t="shared" si="120"/>
        <v>1.3551409720082808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0" t="e">
        <f t="shared" si="122"/>
        <v>#N/A</v>
      </c>
      <c r="CY152" s="60" t="e">
        <f ca="1">AVERAGE(OFFSET($CX$3,0,0,'Données projet'!$E$13+1,1))-AVERAGE(OFFSET($H$3,0,0,'Données projet'!$E$13+1,1))</f>
        <v>#N/A</v>
      </c>
      <c r="CZ152" s="60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8">
        <f t="shared" si="110"/>
        <v>454.18745703332144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0">
        <f t="shared" si="109"/>
        <v>866.19540306597469</v>
      </c>
      <c r="S153" s="60">
        <f ca="1">AVERAGE(OFFSET($R$3,0,0,'Données projet'!$E$9+1,1))-AVERAGE(OFFSET($H$3,0,0,'Données projet'!$E$9+1,1))</f>
        <v>314.4389771131751</v>
      </c>
      <c r="T153" s="60">
        <f t="shared" si="142"/>
        <v>176.7239677722049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224</v>
      </c>
      <c r="AG153" s="13">
        <f>VLOOKUP(A153,'Données projet'!$A$61:$I$81,9,0)</f>
        <v>1.4</v>
      </c>
      <c r="AH153" s="13">
        <f t="array" ref="AH153">INDEX(AG:AG,MIN(IF(ISNUMBER(AG153:AG349),ROW(AG153:AG349),"")))</f>
        <v>1.4</v>
      </c>
      <c r="AI153" s="14">
        <f>IF('Données projet'!$A$62&gt;35,AI152+AH153-AQ152,IF(A153&lt;'Données projet'!$A$62,$AF$205^A153,IF(A153='Données projet'!$A$62,'Données projet'!$B$62,AI152+AH153-AQ152)))</f>
        <v>223.99999999999986</v>
      </c>
      <c r="AJ153" s="14">
        <f>AI153*VLOOKUP('Données projet'!$B$10,Paramètres!$A$1:$I$89,3,0)*VLOOKUP('Données projet'!$B$10,Paramètres!$A$1:$I$89,5,0)</f>
        <v>202.67519999999985</v>
      </c>
      <c r="AK153" s="14">
        <f t="shared" si="143"/>
        <v>50.33164028531364</v>
      </c>
      <c r="AL153" s="22">
        <f t="shared" si="112"/>
        <v>440.65358016358772</v>
      </c>
      <c r="AM153" s="60">
        <f t="shared" si="113"/>
        <v>733.98691349692103</v>
      </c>
      <c r="AN153" s="60">
        <f ca="1">AVERAGE(OFFSET($AM$3,0,0,'Données projet'!$E$10+1,1))-AVERAGE(OFFSET($H$3,0,0,'Données projet'!$E$10+1,1))</f>
        <v>210.85498515082651</v>
      </c>
      <c r="AO153" s="60">
        <f t="shared" si="144"/>
        <v>76.413905647258389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224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456.68544269509601</v>
      </c>
      <c r="BJ153" s="60">
        <f t="shared" si="146"/>
        <v>417.22363874931852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5.1159076974727213E-13</v>
      </c>
      <c r="BZ153" s="14">
        <f>BY153*VLOOKUP('Données projet'!$B$12,Paramètres!$A$1:$I$89,3,0)*VLOOKUP('Données projet'!$B$12,Paramètres!$A$1:$I$89,5,0)</f>
        <v>2.8597924028872516E-13</v>
      </c>
      <c r="CA153" s="14">
        <f t="shared" si="147"/>
        <v>3.8016246610825715E-12</v>
      </c>
      <c r="CB153" s="22">
        <f t="shared" si="118"/>
        <v>7.1192434615550094E-12</v>
      </c>
      <c r="CC153" s="60">
        <f t="shared" si="119"/>
        <v>293.33333333334042</v>
      </c>
      <c r="CD153" s="60">
        <f ca="1">AVERAGE(OFFSET($CC$3,0,0,'Données projet'!$E$12+1,1))-AVERAGE(OFFSET($H$3,0,0,'Données projet'!$E$12+1,1))</f>
        <v>234.38946271740315</v>
      </c>
      <c r="CE153" s="60">
        <f t="shared" si="148"/>
        <v>123.9494810355684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1.3180845708649456</v>
      </c>
      <c r="CM153" s="23">
        <f>EXP(-LN(2)/2)*CM152+(1-EXP(-LN(2)/2))/(LN(2)/2)*CG153*CJ153*VLOOKUP('Données projet'!$B$12,Paramètres!$A$1:$I$89,3,0)*0.475*44/12</f>
        <v>1.5986639010632442E-15</v>
      </c>
      <c r="CN153" s="24">
        <f t="shared" si="120"/>
        <v>1.3180845708649471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0" t="e">
        <f t="shared" si="122"/>
        <v>#N/A</v>
      </c>
      <c r="CY153" s="60" t="e">
        <f ca="1">AVERAGE(OFFSET($CX$3,0,0,'Données projet'!$E$13+1,1))-AVERAGE(OFFSET($H$3,0,0,'Données projet'!$E$13+1,1))</f>
        <v>#N/A</v>
      </c>
      <c r="CZ153" s="60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8">
        <f t="shared" si="110"/>
        <v>455.23242795076749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314.4389771131751</v>
      </c>
      <c r="T154" s="60">
        <f t="shared" si="142"/>
        <v>176.7239677722049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-1.4210854715202004E-13</v>
      </c>
      <c r="AJ154" s="14">
        <f>AI154*VLOOKUP('Données projet'!$B$10,Paramètres!$A$1:$I$89,3,0)*VLOOKUP('Données projet'!$B$10,Paramètres!$A$1:$I$89,5,0)</f>
        <v>-1.2857981346314773E-13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210.85498515082651</v>
      </c>
      <c r="AO154" s="60">
        <f t="shared" si="144"/>
        <v>76.413905647258389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456.68544269509601</v>
      </c>
      <c r="BJ154" s="60">
        <f t="shared" si="146"/>
        <v>417.22363874931852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5.1159076974727213E-13</v>
      </c>
      <c r="BZ154" s="14">
        <f>BY154*VLOOKUP('Données projet'!$B$12,Paramètres!$A$1:$I$89,3,0)*VLOOKUP('Données projet'!$B$12,Paramètres!$A$1:$I$89,5,0)</f>
        <v>2.8597924028872516E-13</v>
      </c>
      <c r="CA154" s="14">
        <f t="shared" ref="CA154:CA203" si="170">EXP(-1.0587+0.8836*LN(BZ154)+0.284)</f>
        <v>3.8016246610825715E-12</v>
      </c>
      <c r="CB154" s="22">
        <f t="shared" ref="CB154:CB203" si="171">(BZ154+CA154)*0.475*44/12</f>
        <v>7.1192434615550094E-12</v>
      </c>
      <c r="CC154" s="60">
        <f t="shared" si="119"/>
        <v>293.33333333334042</v>
      </c>
      <c r="CD154" s="60">
        <f ca="1">AVERAGE(OFFSET($CC$3,0,0,'Données projet'!$E$12+1,1))-AVERAGE(OFFSET($H$3,0,0,'Données projet'!$E$12+1,1))</f>
        <v>234.38946271740315</v>
      </c>
      <c r="CE154" s="60">
        <f t="shared" si="148"/>
        <v>123.9494810355684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1.2820414789595886</v>
      </c>
      <c r="CM154" s="23">
        <f>EXP(-LN(2)/2)*CM153+(1-EXP(-LN(2)/2))/(LN(2)/2)*CG154*CJ154*VLOOKUP('Données projet'!$B$12,Paramètres!$A$1:$I$89,3,0)*0.475*44/12</f>
        <v>1.1304260852799599E-15</v>
      </c>
      <c r="CN154" s="24">
        <f t="shared" ref="CN154:CN203" si="172">SUM(CK154:CM154)</f>
        <v>1.2820414789595898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0" t="e">
        <f t="shared" si="122"/>
        <v>#N/A</v>
      </c>
      <c r="CY154" s="60" t="e">
        <f ca="1">AVERAGE(OFFSET($CX$3,0,0,'Données projet'!$E$13+1,1))-AVERAGE(OFFSET($H$3,0,0,'Données projet'!$E$13+1,1))</f>
        <v>#N/A</v>
      </c>
      <c r="CZ154" s="60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8">
        <f t="shared" si="110"/>
        <v>456.27723918360118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314.4389771131751</v>
      </c>
      <c r="T155" s="60">
        <f t="shared" si="142"/>
        <v>176.7239677722049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-1.4210854715202004E-13</v>
      </c>
      <c r="AJ155" s="14">
        <f>AI155*VLOOKUP('Données projet'!$B$10,Paramètres!$A$1:$I$89,3,0)*VLOOKUP('Données projet'!$B$10,Paramètres!$A$1:$I$89,5,0)</f>
        <v>-1.2857981346314773E-13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210.85498515082651</v>
      </c>
      <c r="AO155" s="60">
        <f t="shared" si="144"/>
        <v>76.413905647258389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456.68544269509601</v>
      </c>
      <c r="BJ155" s="60">
        <f t="shared" si="146"/>
        <v>417.22363874931852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5.1159076974727213E-13</v>
      </c>
      <c r="BZ155" s="14">
        <f>BY155*VLOOKUP('Données projet'!$B$12,Paramètres!$A$1:$I$89,3,0)*VLOOKUP('Données projet'!$B$12,Paramètres!$A$1:$I$89,5,0)</f>
        <v>2.8597924028872516E-13</v>
      </c>
      <c r="CA155" s="14">
        <f t="shared" si="170"/>
        <v>3.8016246610825715E-12</v>
      </c>
      <c r="CB155" s="22">
        <f t="shared" si="171"/>
        <v>7.1192434615550094E-12</v>
      </c>
      <c r="CC155" s="60">
        <f t="shared" si="119"/>
        <v>293.33333333334042</v>
      </c>
      <c r="CD155" s="60">
        <f ca="1">AVERAGE(OFFSET($CC$3,0,0,'Données projet'!$E$12+1,1))-AVERAGE(OFFSET($H$3,0,0,'Données projet'!$E$12+1,1))</f>
        <v>234.38946271740315</v>
      </c>
      <c r="CE155" s="60">
        <f t="shared" si="148"/>
        <v>123.9494810355684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1.2469839872978075</v>
      </c>
      <c r="CM155" s="23">
        <f>EXP(-LN(2)/2)*CM154+(1-EXP(-LN(2)/2))/(LN(2)/2)*CG155*CJ155*VLOOKUP('Données projet'!$B$12,Paramètres!$A$1:$I$89,3,0)*0.475*44/12</f>
        <v>7.993319505316221E-16</v>
      </c>
      <c r="CN155" s="24">
        <f t="shared" si="172"/>
        <v>1.2469839872978083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0" t="e">
        <f t="shared" si="122"/>
        <v>#N/A</v>
      </c>
      <c r="CY155" s="60" t="e">
        <f ca="1">AVERAGE(OFFSET($CX$3,0,0,'Données projet'!$E$13+1,1))-AVERAGE(OFFSET($H$3,0,0,'Données projet'!$E$13+1,1))</f>
        <v>#N/A</v>
      </c>
      <c r="CZ155" s="60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8">
        <f t="shared" si="110"/>
        <v>457.32189190423196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314.4389771131751</v>
      </c>
      <c r="T156" s="60">
        <f t="shared" si="142"/>
        <v>176.7239677722049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-1.4210854715202004E-13</v>
      </c>
      <c r="AJ156" s="14">
        <f>AI156*VLOOKUP('Données projet'!$B$10,Paramètres!$A$1:$I$89,3,0)*VLOOKUP('Données projet'!$B$10,Paramètres!$A$1:$I$89,5,0)</f>
        <v>-1.2857981346314773E-13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210.85498515082651</v>
      </c>
      <c r="AO156" s="60">
        <f t="shared" si="144"/>
        <v>76.413905647258389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456.68544269509601</v>
      </c>
      <c r="BJ156" s="60">
        <f t="shared" si="146"/>
        <v>417.22363874931852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5.1159076974727213E-13</v>
      </c>
      <c r="BZ156" s="14">
        <f>BY156*VLOOKUP('Données projet'!$B$12,Paramètres!$A$1:$I$89,3,0)*VLOOKUP('Données projet'!$B$12,Paramètres!$A$1:$I$89,5,0)</f>
        <v>2.8597924028872516E-13</v>
      </c>
      <c r="CA156" s="14">
        <f t="shared" si="170"/>
        <v>3.8016246610825715E-12</v>
      </c>
      <c r="CB156" s="22">
        <f t="shared" si="171"/>
        <v>7.1192434615550094E-12</v>
      </c>
      <c r="CC156" s="60">
        <f t="shared" si="119"/>
        <v>293.33333333334042</v>
      </c>
      <c r="CD156" s="60">
        <f ca="1">AVERAGE(OFFSET($CC$3,0,0,'Données projet'!$E$12+1,1))-AVERAGE(OFFSET($H$3,0,0,'Données projet'!$E$12+1,1))</f>
        <v>234.38946271740315</v>
      </c>
      <c r="CE156" s="60">
        <f t="shared" si="148"/>
        <v>123.9494810355684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1.2128851445891111</v>
      </c>
      <c r="CM156" s="23">
        <f>EXP(-LN(2)/2)*CM155+(1-EXP(-LN(2)/2))/(LN(2)/2)*CG156*CJ156*VLOOKUP('Données projet'!$B$12,Paramètres!$A$1:$I$89,3,0)*0.475*44/12</f>
        <v>5.6521304263997993E-16</v>
      </c>
      <c r="CN156" s="24">
        <f t="shared" si="172"/>
        <v>1.2128851445891118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0" t="e">
        <f t="shared" si="122"/>
        <v>#N/A</v>
      </c>
      <c r="CY156" s="60" t="e">
        <f ca="1">AVERAGE(OFFSET($CX$3,0,0,'Données projet'!$E$13+1,1))-AVERAGE(OFFSET($H$3,0,0,'Données projet'!$E$13+1,1))</f>
        <v>#N/A</v>
      </c>
      <c r="CZ156" s="60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8">
        <f t="shared" si="110"/>
        <v>458.36638726885758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314.4389771131751</v>
      </c>
      <c r="T157" s="60">
        <f t="shared" si="142"/>
        <v>176.7239677722049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-1.4210854715202004E-13</v>
      </c>
      <c r="AJ157" s="14">
        <f>AI157*VLOOKUP('Données projet'!$B$10,Paramètres!$A$1:$I$89,3,0)*VLOOKUP('Données projet'!$B$10,Paramètres!$A$1:$I$89,5,0)</f>
        <v>-1.2857981346314773E-13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210.85498515082651</v>
      </c>
      <c r="AO157" s="60">
        <f t="shared" si="144"/>
        <v>76.413905647258389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456.68544269509601</v>
      </c>
      <c r="BJ157" s="60">
        <f t="shared" si="146"/>
        <v>417.22363874931852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5.1159076974727213E-13</v>
      </c>
      <c r="BZ157" s="14">
        <f>BY157*VLOOKUP('Données projet'!$B$12,Paramètres!$A$1:$I$89,3,0)*VLOOKUP('Données projet'!$B$12,Paramètres!$A$1:$I$89,5,0)</f>
        <v>2.8597924028872516E-13</v>
      </c>
      <c r="CA157" s="14">
        <f t="shared" si="170"/>
        <v>3.8016246610825715E-12</v>
      </c>
      <c r="CB157" s="22">
        <f t="shared" si="171"/>
        <v>7.1192434615550094E-12</v>
      </c>
      <c r="CC157" s="60">
        <f t="shared" si="119"/>
        <v>293.33333333334042</v>
      </c>
      <c r="CD157" s="60">
        <f ca="1">AVERAGE(OFFSET($CC$3,0,0,'Données projet'!$E$12+1,1))-AVERAGE(OFFSET($H$3,0,0,'Données projet'!$E$12+1,1))</f>
        <v>234.38946271740315</v>
      </c>
      <c r="CE157" s="60">
        <f t="shared" si="148"/>
        <v>123.9494810355684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1.1797187365274642</v>
      </c>
      <c r="CM157" s="23">
        <f>EXP(-LN(2)/2)*CM156+(1-EXP(-LN(2)/2))/(LN(2)/2)*CG157*CJ157*VLOOKUP('Données projet'!$B$12,Paramètres!$A$1:$I$89,3,0)*0.475*44/12</f>
        <v>3.9966597526581105E-16</v>
      </c>
      <c r="CN157" s="24">
        <f t="shared" si="172"/>
        <v>1.1797187365274646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0" t="e">
        <f t="shared" si="122"/>
        <v>#N/A</v>
      </c>
      <c r="CY157" s="60" t="e">
        <f ca="1">AVERAGE(OFFSET($CX$3,0,0,'Données projet'!$E$13+1,1))-AVERAGE(OFFSET($H$3,0,0,'Données projet'!$E$13+1,1))</f>
        <v>#N/A</v>
      </c>
      <c r="CZ157" s="60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8">
        <f t="shared" si="110"/>
        <v>459.41072641779198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314.4389771131751</v>
      </c>
      <c r="T158" s="60">
        <f t="shared" si="142"/>
        <v>176.7239677722049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-1.4210854715202004E-13</v>
      </c>
      <c r="AJ158" s="14">
        <f>AI158*VLOOKUP('Données projet'!$B$10,Paramètres!$A$1:$I$89,3,0)*VLOOKUP('Données projet'!$B$10,Paramètres!$A$1:$I$89,5,0)</f>
        <v>-1.2857981346314773E-13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210.85498515082651</v>
      </c>
      <c r="AO158" s="60">
        <f t="shared" si="144"/>
        <v>76.413905647258389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456.68544269509601</v>
      </c>
      <c r="BJ158" s="60">
        <f t="shared" si="146"/>
        <v>417.22363874931852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5.1159076974727213E-13</v>
      </c>
      <c r="BZ158" s="14">
        <f>BY158*VLOOKUP('Données projet'!$B$12,Paramètres!$A$1:$I$89,3,0)*VLOOKUP('Données projet'!$B$12,Paramètres!$A$1:$I$89,5,0)</f>
        <v>2.8597924028872516E-13</v>
      </c>
      <c r="CA158" s="14">
        <f t="shared" si="170"/>
        <v>3.8016246610825715E-12</v>
      </c>
      <c r="CB158" s="22">
        <f t="shared" si="171"/>
        <v>7.1192434615550094E-12</v>
      </c>
      <c r="CC158" s="60">
        <f t="shared" si="119"/>
        <v>293.33333333334042</v>
      </c>
      <c r="CD158" s="60">
        <f ca="1">AVERAGE(OFFSET($CC$3,0,0,'Données projet'!$E$12+1,1))-AVERAGE(OFFSET($H$3,0,0,'Données projet'!$E$12+1,1))</f>
        <v>234.38946271740315</v>
      </c>
      <c r="CE158" s="60">
        <f t="shared" si="148"/>
        <v>123.9494810355684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1.1474592656384086</v>
      </c>
      <c r="CM158" s="23">
        <f>EXP(-LN(2)/2)*CM157+(1-EXP(-LN(2)/2))/(LN(2)/2)*CG158*CJ158*VLOOKUP('Données projet'!$B$12,Paramètres!$A$1:$I$89,3,0)*0.475*44/12</f>
        <v>2.8260652131998996E-16</v>
      </c>
      <c r="CN158" s="24">
        <f t="shared" si="172"/>
        <v>1.1474592656384088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0" t="e">
        <f t="shared" si="122"/>
        <v>#N/A</v>
      </c>
      <c r="CY158" s="60" t="e">
        <f ca="1">AVERAGE(OFFSET($CX$3,0,0,'Données projet'!$E$13+1,1))-AVERAGE(OFFSET($H$3,0,0,'Données projet'!$E$13+1,1))</f>
        <v>#N/A</v>
      </c>
      <c r="CZ158" s="60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8">
        <f t="shared" si="110"/>
        <v>460.45491047578457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314.4389771131751</v>
      </c>
      <c r="T159" s="60">
        <f t="shared" si="142"/>
        <v>176.7239677722049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-1.4210854715202004E-13</v>
      </c>
      <c r="AJ159" s="14">
        <f>AI159*VLOOKUP('Données projet'!$B$10,Paramètres!$A$1:$I$89,3,0)*VLOOKUP('Données projet'!$B$10,Paramètres!$A$1:$I$89,5,0)</f>
        <v>-1.2857981346314773E-13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210.85498515082651</v>
      </c>
      <c r="AO159" s="60">
        <f t="shared" si="144"/>
        <v>76.413905647258389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456.68544269509601</v>
      </c>
      <c r="BJ159" s="60">
        <f t="shared" si="146"/>
        <v>417.22363874931852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5.1159076974727213E-13</v>
      </c>
      <c r="BZ159" s="14">
        <f>BY159*VLOOKUP('Données projet'!$B$12,Paramètres!$A$1:$I$89,3,0)*VLOOKUP('Données projet'!$B$12,Paramètres!$A$1:$I$89,5,0)</f>
        <v>2.8597924028872516E-13</v>
      </c>
      <c r="CA159" s="14">
        <f t="shared" si="170"/>
        <v>3.8016246610825715E-12</v>
      </c>
      <c r="CB159" s="22">
        <f t="shared" si="171"/>
        <v>7.1192434615550094E-12</v>
      </c>
      <c r="CC159" s="60">
        <f t="shared" si="119"/>
        <v>293.33333333334042</v>
      </c>
      <c r="CD159" s="60">
        <f ca="1">AVERAGE(OFFSET($CC$3,0,0,'Données projet'!$E$12+1,1))-AVERAGE(OFFSET($H$3,0,0,'Données projet'!$E$12+1,1))</f>
        <v>234.38946271740315</v>
      </c>
      <c r="CE159" s="60">
        <f t="shared" si="148"/>
        <v>123.9494810355684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1.1160819316772661</v>
      </c>
      <c r="CM159" s="23">
        <f>EXP(-LN(2)/2)*CM158+(1-EXP(-LN(2)/2))/(LN(2)/2)*CG159*CJ159*VLOOKUP('Données projet'!$B$12,Paramètres!$A$1:$I$89,3,0)*0.475*44/12</f>
        <v>1.9983298763290552E-16</v>
      </c>
      <c r="CN159" s="24">
        <f t="shared" si="172"/>
        <v>1.1160819316772663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0" t="e">
        <f t="shared" si="122"/>
        <v>#N/A</v>
      </c>
      <c r="CY159" s="60" t="e">
        <f ca="1">AVERAGE(OFFSET($CX$3,0,0,'Données projet'!$E$13+1,1))-AVERAGE(OFFSET($H$3,0,0,'Données projet'!$E$13+1,1))</f>
        <v>#N/A</v>
      </c>
      <c r="CZ159" s="60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8">
        <f t="shared" si="110"/>
        <v>461.49894055233096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314.4389771131751</v>
      </c>
      <c r="T160" s="60">
        <f t="shared" si="142"/>
        <v>176.7239677722049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-1.4210854715202004E-13</v>
      </c>
      <c r="AJ160" s="14">
        <f>AI160*VLOOKUP('Données projet'!$B$10,Paramètres!$A$1:$I$89,3,0)*VLOOKUP('Données projet'!$B$10,Paramètres!$A$1:$I$89,5,0)</f>
        <v>-1.2857981346314773E-13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210.85498515082651</v>
      </c>
      <c r="AO160" s="60">
        <f t="shared" si="144"/>
        <v>76.413905647258389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456.68544269509601</v>
      </c>
      <c r="BJ160" s="60">
        <f t="shared" si="146"/>
        <v>417.22363874931852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5.1159076974727213E-13</v>
      </c>
      <c r="BZ160" s="14">
        <f>BY160*VLOOKUP('Données projet'!$B$12,Paramètres!$A$1:$I$89,3,0)*VLOOKUP('Données projet'!$B$12,Paramètres!$A$1:$I$89,5,0)</f>
        <v>2.8597924028872516E-13</v>
      </c>
      <c r="CA160" s="14">
        <f t="shared" si="170"/>
        <v>3.8016246610825715E-12</v>
      </c>
      <c r="CB160" s="22">
        <f t="shared" si="171"/>
        <v>7.1192434615550094E-12</v>
      </c>
      <c r="CC160" s="60">
        <f t="shared" si="119"/>
        <v>293.33333333334042</v>
      </c>
      <c r="CD160" s="60">
        <f ca="1">AVERAGE(OFFSET($CC$3,0,0,'Données projet'!$E$12+1,1))-AVERAGE(OFFSET($H$3,0,0,'Données projet'!$E$12+1,1))</f>
        <v>234.38946271740315</v>
      </c>
      <c r="CE160" s="60">
        <f t="shared" si="148"/>
        <v>123.9494810355684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1.0855626125633533</v>
      </c>
      <c r="CM160" s="23">
        <f>EXP(-LN(2)/2)*CM159+(1-EXP(-LN(2)/2))/(LN(2)/2)*CG160*CJ160*VLOOKUP('Données projet'!$B$12,Paramètres!$A$1:$I$89,3,0)*0.475*44/12</f>
        <v>1.4130326065999498E-16</v>
      </c>
      <c r="CN160" s="24">
        <f t="shared" si="172"/>
        <v>1.0855626125633535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0" t="e">
        <f t="shared" si="122"/>
        <v>#N/A</v>
      </c>
      <c r="CY160" s="60" t="e">
        <f ca="1">AVERAGE(OFFSET($CX$3,0,0,'Données projet'!$E$13+1,1))-AVERAGE(OFFSET($H$3,0,0,'Données projet'!$E$13+1,1))</f>
        <v>#N/A</v>
      </c>
      <c r="CZ160" s="60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8">
        <f t="shared" si="110"/>
        <v>462.5428177419758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314.4389771131751</v>
      </c>
      <c r="T161" s="60">
        <f t="shared" si="142"/>
        <v>176.7239677722049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-1.4210854715202004E-13</v>
      </c>
      <c r="AJ161" s="14">
        <f>AI161*VLOOKUP('Données projet'!$B$10,Paramètres!$A$1:$I$89,3,0)*VLOOKUP('Données projet'!$B$10,Paramètres!$A$1:$I$89,5,0)</f>
        <v>-1.2857981346314773E-13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210.85498515082651</v>
      </c>
      <c r="AO161" s="60">
        <f t="shared" si="144"/>
        <v>76.413905647258389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456.68544269509601</v>
      </c>
      <c r="BJ161" s="60">
        <f t="shared" si="146"/>
        <v>417.22363874931852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5.1159076974727213E-13</v>
      </c>
      <c r="BZ161" s="14">
        <f>BY161*VLOOKUP('Données projet'!$B$12,Paramètres!$A$1:$I$89,3,0)*VLOOKUP('Données projet'!$B$12,Paramètres!$A$1:$I$89,5,0)</f>
        <v>2.8597924028872516E-13</v>
      </c>
      <c r="CA161" s="14">
        <f t="shared" si="170"/>
        <v>3.8016246610825715E-12</v>
      </c>
      <c r="CB161" s="22">
        <f t="shared" si="171"/>
        <v>7.1192434615550094E-12</v>
      </c>
      <c r="CC161" s="60">
        <f t="shared" si="119"/>
        <v>293.33333333334042</v>
      </c>
      <c r="CD161" s="60">
        <f ca="1">AVERAGE(OFFSET($CC$3,0,0,'Données projet'!$E$12+1,1))-AVERAGE(OFFSET($H$3,0,0,'Données projet'!$E$12+1,1))</f>
        <v>234.38946271740315</v>
      </c>
      <c r="CE161" s="60">
        <f t="shared" si="148"/>
        <v>123.9494810355684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1.0558778458355518</v>
      </c>
      <c r="CM161" s="23">
        <f>EXP(-LN(2)/2)*CM160+(1-EXP(-LN(2)/2))/(LN(2)/2)*CG161*CJ161*VLOOKUP('Données projet'!$B$12,Paramètres!$A$1:$I$89,3,0)*0.475*44/12</f>
        <v>9.9916493816452762E-17</v>
      </c>
      <c r="CN161" s="24">
        <f t="shared" si="172"/>
        <v>1.0558778458355518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0" t="e">
        <f t="shared" si="122"/>
        <v>#N/A</v>
      </c>
      <c r="CY161" s="60" t="e">
        <f ca="1">AVERAGE(OFFSET($CX$3,0,0,'Données projet'!$E$13+1,1))-AVERAGE(OFFSET($H$3,0,0,'Données projet'!$E$13+1,1))</f>
        <v>#N/A</v>
      </c>
      <c r="CZ161" s="60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8">
        <f t="shared" si="110"/>
        <v>463.58654312460754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314.4389771131751</v>
      </c>
      <c r="T162" s="60">
        <f t="shared" si="142"/>
        <v>176.7239677722049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-1.4210854715202004E-13</v>
      </c>
      <c r="AJ162" s="14">
        <f>AI162*VLOOKUP('Données projet'!$B$10,Paramètres!$A$1:$I$89,3,0)*VLOOKUP('Données projet'!$B$10,Paramètres!$A$1:$I$89,5,0)</f>
        <v>-1.2857981346314773E-13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210.85498515082651</v>
      </c>
      <c r="AO162" s="60">
        <f t="shared" si="144"/>
        <v>76.413905647258389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456.68544269509601</v>
      </c>
      <c r="BJ162" s="60">
        <f t="shared" si="146"/>
        <v>417.22363874931852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5.1159076974727213E-13</v>
      </c>
      <c r="BZ162" s="14">
        <f>BY162*VLOOKUP('Données projet'!$B$12,Paramètres!$A$1:$I$89,3,0)*VLOOKUP('Données projet'!$B$12,Paramètres!$A$1:$I$89,5,0)</f>
        <v>2.8597924028872516E-13</v>
      </c>
      <c r="CA162" s="14">
        <f t="shared" si="170"/>
        <v>3.8016246610825715E-12</v>
      </c>
      <c r="CB162" s="22">
        <f t="shared" si="171"/>
        <v>7.1192434615550094E-12</v>
      </c>
      <c r="CC162" s="60">
        <f t="shared" si="119"/>
        <v>293.33333333334042</v>
      </c>
      <c r="CD162" s="60">
        <f ca="1">AVERAGE(OFFSET($CC$3,0,0,'Données projet'!$E$12+1,1))-AVERAGE(OFFSET($H$3,0,0,'Données projet'!$E$12+1,1))</f>
        <v>234.38946271740315</v>
      </c>
      <c r="CE162" s="60">
        <f t="shared" si="148"/>
        <v>123.9494810355684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1.0270048106149758</v>
      </c>
      <c r="CM162" s="23">
        <f>EXP(-LN(2)/2)*CM161+(1-EXP(-LN(2)/2))/(LN(2)/2)*CG162*CJ162*VLOOKUP('Données projet'!$B$12,Paramètres!$A$1:$I$89,3,0)*0.475*44/12</f>
        <v>7.0651630329997491E-17</v>
      </c>
      <c r="CN162" s="24">
        <f t="shared" si="172"/>
        <v>1.0270048106149758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0" t="e">
        <f t="shared" si="122"/>
        <v>#N/A</v>
      </c>
      <c r="CY162" s="60" t="e">
        <f ca="1">AVERAGE(OFFSET($CX$3,0,0,'Données projet'!$E$13+1,1))-AVERAGE(OFFSET($H$3,0,0,'Données projet'!$E$13+1,1))</f>
        <v>#N/A</v>
      </c>
      <c r="CZ162" s="60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8">
        <f t="shared" si="110"/>
        <v>464.63011776574541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314.4389771131751</v>
      </c>
      <c r="T163" s="60">
        <f t="shared" si="142"/>
        <v>176.7239677722049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-1.4210854715202004E-13</v>
      </c>
      <c r="AJ163" s="14">
        <f>AI163*VLOOKUP('Données projet'!$B$10,Paramètres!$A$1:$I$89,3,0)*VLOOKUP('Données projet'!$B$10,Paramètres!$A$1:$I$89,5,0)</f>
        <v>-1.2857981346314773E-13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210.85498515082651</v>
      </c>
      <c r="AO163" s="60">
        <f t="shared" si="144"/>
        <v>76.413905647258389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456.68544269509601</v>
      </c>
      <c r="BJ163" s="60">
        <f t="shared" si="146"/>
        <v>417.22363874931852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5.1159076974727213E-13</v>
      </c>
      <c r="BZ163" s="14">
        <f>BY163*VLOOKUP('Données projet'!$B$12,Paramètres!$A$1:$I$89,3,0)*VLOOKUP('Données projet'!$B$12,Paramètres!$A$1:$I$89,5,0)</f>
        <v>2.8597924028872516E-13</v>
      </c>
      <c r="CA163" s="14">
        <f t="shared" si="170"/>
        <v>3.8016246610825715E-12</v>
      </c>
      <c r="CB163" s="22">
        <f t="shared" si="171"/>
        <v>7.1192434615550094E-12</v>
      </c>
      <c r="CC163" s="60">
        <f t="shared" si="119"/>
        <v>293.33333333334042</v>
      </c>
      <c r="CD163" s="60">
        <f ca="1">AVERAGE(OFFSET($CC$3,0,0,'Données projet'!$E$12+1,1))-AVERAGE(OFFSET($H$3,0,0,'Données projet'!$E$12+1,1))</f>
        <v>234.38946271740315</v>
      </c>
      <c r="CE163" s="60">
        <f t="shared" si="148"/>
        <v>123.9494810355684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0.99892131006087359</v>
      </c>
      <c r="CM163" s="23">
        <f>EXP(-LN(2)/2)*CM162+(1-EXP(-LN(2)/2))/(LN(2)/2)*CG163*CJ163*VLOOKUP('Données projet'!$B$12,Paramètres!$A$1:$I$89,3,0)*0.475*44/12</f>
        <v>4.9958246908226381E-17</v>
      </c>
      <c r="CN163" s="24">
        <f t="shared" si="172"/>
        <v>0.99892131006087359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0" t="e">
        <f t="shared" si="122"/>
        <v>#N/A</v>
      </c>
      <c r="CY163" s="60" t="e">
        <f ca="1">AVERAGE(OFFSET($CX$3,0,0,'Données projet'!$E$13+1,1))-AVERAGE(OFFSET($H$3,0,0,'Données projet'!$E$13+1,1))</f>
        <v>#N/A</v>
      </c>
      <c r="CZ163" s="60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8">
        <f t="shared" si="110"/>
        <v>465.67354271681944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314.4389771131751</v>
      </c>
      <c r="T164" s="60">
        <f t="shared" si="142"/>
        <v>176.7239677722049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-1.4210854715202004E-13</v>
      </c>
      <c r="AJ164" s="14">
        <f>AI164*VLOOKUP('Données projet'!$B$10,Paramètres!$A$1:$I$89,3,0)*VLOOKUP('Données projet'!$B$10,Paramètres!$A$1:$I$89,5,0)</f>
        <v>-1.2857981346314773E-13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210.85498515082651</v>
      </c>
      <c r="AO164" s="60">
        <f t="shared" si="144"/>
        <v>76.413905647258389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456.68544269509601</v>
      </c>
      <c r="BJ164" s="60">
        <f t="shared" si="146"/>
        <v>417.22363874931852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5.1159076974727213E-13</v>
      </c>
      <c r="BZ164" s="14">
        <f>BY164*VLOOKUP('Données projet'!$B$12,Paramètres!$A$1:$I$89,3,0)*VLOOKUP('Données projet'!$B$12,Paramètres!$A$1:$I$89,5,0)</f>
        <v>2.8597924028872516E-13</v>
      </c>
      <c r="CA164" s="14">
        <f t="shared" si="170"/>
        <v>3.8016246610825715E-12</v>
      </c>
      <c r="CB164" s="22">
        <f t="shared" si="171"/>
        <v>7.1192434615550094E-12</v>
      </c>
      <c r="CC164" s="60">
        <f t="shared" si="119"/>
        <v>293.33333333334042</v>
      </c>
      <c r="CD164" s="60">
        <f ca="1">AVERAGE(OFFSET($CC$3,0,0,'Données projet'!$E$12+1,1))-AVERAGE(OFFSET($H$3,0,0,'Données projet'!$E$12+1,1))</f>
        <v>234.38946271740315</v>
      </c>
      <c r="CE164" s="60">
        <f t="shared" si="148"/>
        <v>123.9494810355684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0.97160575430627039</v>
      </c>
      <c r="CM164" s="23">
        <f>EXP(-LN(2)/2)*CM163+(1-EXP(-LN(2)/2))/(LN(2)/2)*CG164*CJ164*VLOOKUP('Données projet'!$B$12,Paramètres!$A$1:$I$89,3,0)*0.475*44/12</f>
        <v>3.5325815164998746E-17</v>
      </c>
      <c r="CN164" s="24">
        <f t="shared" si="172"/>
        <v>0.97160575430627039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0" t="e">
        <f t="shared" si="122"/>
        <v>#N/A</v>
      </c>
      <c r="CY164" s="60" t="e">
        <f ca="1">AVERAGE(OFFSET($CX$3,0,0,'Données projet'!$E$13+1,1))-AVERAGE(OFFSET($H$3,0,0,'Données projet'!$E$13+1,1))</f>
        <v>#N/A</v>
      </c>
      <c r="CZ164" s="60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8">
        <f t="shared" si="110"/>
        <v>466.71681901544298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314.4389771131751</v>
      </c>
      <c r="T165" s="60">
        <f t="shared" si="142"/>
        <v>176.7239677722049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-1.4210854715202004E-13</v>
      </c>
      <c r="AJ165" s="14">
        <f>AI165*VLOOKUP('Données projet'!$B$10,Paramètres!$A$1:$I$89,3,0)*VLOOKUP('Données projet'!$B$10,Paramètres!$A$1:$I$89,5,0)</f>
        <v>-1.2857981346314773E-13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210.85498515082651</v>
      </c>
      <c r="AO165" s="60">
        <f t="shared" si="144"/>
        <v>76.413905647258389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456.68544269509601</v>
      </c>
      <c r="BJ165" s="60">
        <f t="shared" si="146"/>
        <v>417.22363874931852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5.1159076974727213E-13</v>
      </c>
      <c r="BZ165" s="14">
        <f>BY165*VLOOKUP('Données projet'!$B$12,Paramètres!$A$1:$I$89,3,0)*VLOOKUP('Données projet'!$B$12,Paramètres!$A$1:$I$89,5,0)</f>
        <v>2.8597924028872516E-13</v>
      </c>
      <c r="CA165" s="14">
        <f t="shared" si="170"/>
        <v>3.8016246610825715E-12</v>
      </c>
      <c r="CB165" s="22">
        <f t="shared" si="171"/>
        <v>7.1192434615550094E-12</v>
      </c>
      <c r="CC165" s="60">
        <f t="shared" si="119"/>
        <v>293.33333333334042</v>
      </c>
      <c r="CD165" s="60">
        <f ca="1">AVERAGE(OFFSET($CC$3,0,0,'Données projet'!$E$12+1,1))-AVERAGE(OFFSET($H$3,0,0,'Données projet'!$E$12+1,1))</f>
        <v>234.38946271740315</v>
      </c>
      <c r="CE165" s="60">
        <f t="shared" si="148"/>
        <v>123.9494810355684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0.9450371438602394</v>
      </c>
      <c r="CM165" s="23">
        <f>EXP(-LN(2)/2)*CM164+(1-EXP(-LN(2)/2))/(LN(2)/2)*CG165*CJ165*VLOOKUP('Données projet'!$B$12,Paramètres!$A$1:$I$89,3,0)*0.475*44/12</f>
        <v>2.4979123454113191E-17</v>
      </c>
      <c r="CN165" s="24">
        <f t="shared" si="172"/>
        <v>0.9450371438602394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0" t="e">
        <f t="shared" si="122"/>
        <v>#N/A</v>
      </c>
      <c r="CY165" s="60" t="e">
        <f ca="1">AVERAGE(OFFSET($CX$3,0,0,'Données projet'!$E$13+1,1))-AVERAGE(OFFSET($H$3,0,0,'Données projet'!$E$13+1,1))</f>
        <v>#N/A</v>
      </c>
      <c r="CZ165" s="60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8">
        <f t="shared" si="110"/>
        <v>467.75994768567836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314.4389771131751</v>
      </c>
      <c r="T166" s="60">
        <f t="shared" si="142"/>
        <v>176.7239677722049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-1.4210854715202004E-13</v>
      </c>
      <c r="AJ166" s="14">
        <f>AI166*VLOOKUP('Données projet'!$B$10,Paramètres!$A$1:$I$89,3,0)*VLOOKUP('Données projet'!$B$10,Paramètres!$A$1:$I$89,5,0)</f>
        <v>-1.2857981346314773E-13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210.85498515082651</v>
      </c>
      <c r="AO166" s="60">
        <f t="shared" si="144"/>
        <v>76.413905647258389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456.68544269509601</v>
      </c>
      <c r="BJ166" s="60">
        <f t="shared" si="146"/>
        <v>417.22363874931852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5.1159076974727213E-13</v>
      </c>
      <c r="BZ166" s="14">
        <f>BY166*VLOOKUP('Données projet'!$B$12,Paramètres!$A$1:$I$89,3,0)*VLOOKUP('Données projet'!$B$12,Paramètres!$A$1:$I$89,5,0)</f>
        <v>2.8597924028872516E-13</v>
      </c>
      <c r="CA166" s="14">
        <f t="shared" si="170"/>
        <v>3.8016246610825715E-12</v>
      </c>
      <c r="CB166" s="22">
        <f t="shared" si="171"/>
        <v>7.1192434615550094E-12</v>
      </c>
      <c r="CC166" s="60">
        <f t="shared" si="119"/>
        <v>293.33333333334042</v>
      </c>
      <c r="CD166" s="60">
        <f ca="1">AVERAGE(OFFSET($CC$3,0,0,'Données projet'!$E$12+1,1))-AVERAGE(OFFSET($H$3,0,0,'Données projet'!$E$12+1,1))</f>
        <v>234.38946271740315</v>
      </c>
      <c r="CE166" s="60">
        <f t="shared" si="148"/>
        <v>123.9494810355684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0.91919505346403763</v>
      </c>
      <c r="CM166" s="23">
        <f>EXP(-LN(2)/2)*CM165+(1-EXP(-LN(2)/2))/(LN(2)/2)*CG166*CJ166*VLOOKUP('Données projet'!$B$12,Paramètres!$A$1:$I$89,3,0)*0.475*44/12</f>
        <v>1.7662907582499373E-17</v>
      </c>
      <c r="CN166" s="24">
        <f t="shared" si="172"/>
        <v>0.91919505346403763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0" t="e">
        <f t="shared" si="122"/>
        <v>#N/A</v>
      </c>
      <c r="CY166" s="60" t="e">
        <f ca="1">AVERAGE(OFFSET($CX$3,0,0,'Données projet'!$E$13+1,1))-AVERAGE(OFFSET($H$3,0,0,'Données projet'!$E$13+1,1))</f>
        <v>#N/A</v>
      </c>
      <c r="CZ166" s="60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8">
        <f t="shared" si="110"/>
        <v>468.80292973829592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314.4389771131751</v>
      </c>
      <c r="T167" s="60">
        <f t="shared" si="142"/>
        <v>176.7239677722049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-1.4210854715202004E-13</v>
      </c>
      <c r="AJ167" s="14">
        <f>AI167*VLOOKUP('Données projet'!$B$10,Paramètres!$A$1:$I$89,3,0)*VLOOKUP('Données projet'!$B$10,Paramètres!$A$1:$I$89,5,0)</f>
        <v>-1.2857981346314773E-13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210.85498515082651</v>
      </c>
      <c r="AO167" s="60">
        <f t="shared" si="144"/>
        <v>76.413905647258389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456.68544269509601</v>
      </c>
      <c r="BJ167" s="60">
        <f t="shared" si="146"/>
        <v>417.22363874931852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5.1159076974727213E-13</v>
      </c>
      <c r="BZ167" s="14">
        <f>BY167*VLOOKUP('Données projet'!$B$12,Paramètres!$A$1:$I$89,3,0)*VLOOKUP('Données projet'!$B$12,Paramètres!$A$1:$I$89,5,0)</f>
        <v>2.8597924028872516E-13</v>
      </c>
      <c r="CA167" s="14">
        <f t="shared" si="170"/>
        <v>3.8016246610825715E-12</v>
      </c>
      <c r="CB167" s="22">
        <f t="shared" si="171"/>
        <v>7.1192434615550094E-12</v>
      </c>
      <c r="CC167" s="60">
        <f t="shared" si="119"/>
        <v>293.33333333334042</v>
      </c>
      <c r="CD167" s="60">
        <f ca="1">AVERAGE(OFFSET($CC$3,0,0,'Données projet'!$E$12+1,1))-AVERAGE(OFFSET($H$3,0,0,'Données projet'!$E$12+1,1))</f>
        <v>234.38946271740315</v>
      </c>
      <c r="CE167" s="60">
        <f t="shared" si="148"/>
        <v>123.9494810355684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0.89405961638869647</v>
      </c>
      <c r="CM167" s="23">
        <f>EXP(-LN(2)/2)*CM166+(1-EXP(-LN(2)/2))/(LN(2)/2)*CG167*CJ167*VLOOKUP('Données projet'!$B$12,Paramètres!$A$1:$I$89,3,0)*0.475*44/12</f>
        <v>1.2489561727056595E-17</v>
      </c>
      <c r="CN167" s="24">
        <f t="shared" si="172"/>
        <v>0.89405961638869647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0" t="e">
        <f t="shared" si="122"/>
        <v>#N/A</v>
      </c>
      <c r="CY167" s="60" t="e">
        <f ca="1">AVERAGE(OFFSET($CX$3,0,0,'Données projet'!$E$13+1,1))-AVERAGE(OFFSET($H$3,0,0,'Données projet'!$E$13+1,1))</f>
        <v>#N/A</v>
      </c>
      <c r="CZ167" s="60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8">
        <f t="shared" si="110"/>
        <v>469.8457661710267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314.4389771131751</v>
      </c>
      <c r="T168" s="60">
        <f t="shared" si="142"/>
        <v>176.7239677722049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-1.4210854715202004E-13</v>
      </c>
      <c r="AJ168" s="14">
        <f>AI168*VLOOKUP('Données projet'!$B$10,Paramètres!$A$1:$I$89,3,0)*VLOOKUP('Données projet'!$B$10,Paramètres!$A$1:$I$89,5,0)</f>
        <v>-1.2857981346314773E-13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210.85498515082651</v>
      </c>
      <c r="AO168" s="60">
        <f t="shared" si="144"/>
        <v>76.413905647258389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456.68544269509601</v>
      </c>
      <c r="BJ168" s="60">
        <f t="shared" si="146"/>
        <v>417.22363874931852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5.1159076974727213E-13</v>
      </c>
      <c r="BZ168" s="14">
        <f>BY168*VLOOKUP('Données projet'!$B$12,Paramètres!$A$1:$I$89,3,0)*VLOOKUP('Données projet'!$B$12,Paramètres!$A$1:$I$89,5,0)</f>
        <v>2.8597924028872516E-13</v>
      </c>
      <c r="CA168" s="14">
        <f t="shared" si="170"/>
        <v>3.8016246610825715E-12</v>
      </c>
      <c r="CB168" s="22">
        <f t="shared" si="171"/>
        <v>7.1192434615550094E-12</v>
      </c>
      <c r="CC168" s="60">
        <f t="shared" si="119"/>
        <v>293.33333333334042</v>
      </c>
      <c r="CD168" s="60">
        <f ca="1">AVERAGE(OFFSET($CC$3,0,0,'Données projet'!$E$12+1,1))-AVERAGE(OFFSET($H$3,0,0,'Données projet'!$E$12+1,1))</f>
        <v>234.38946271740315</v>
      </c>
      <c r="CE168" s="60">
        <f t="shared" si="148"/>
        <v>123.9494810355684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0.8696115091619957</v>
      </c>
      <c r="CM168" s="23">
        <f>EXP(-LN(2)/2)*CM167+(1-EXP(-LN(2)/2))/(LN(2)/2)*CG168*CJ168*VLOOKUP('Données projet'!$B$12,Paramètres!$A$1:$I$89,3,0)*0.475*44/12</f>
        <v>8.8314537912496864E-18</v>
      </c>
      <c r="CN168" s="24">
        <f t="shared" si="172"/>
        <v>0.8696115091619957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0" t="e">
        <f t="shared" si="122"/>
        <v>#N/A</v>
      </c>
      <c r="CY168" s="60" t="e">
        <f ca="1">AVERAGE(OFFSET($CX$3,0,0,'Données projet'!$E$13+1,1))-AVERAGE(OFFSET($H$3,0,0,'Données projet'!$E$13+1,1))</f>
        <v>#N/A</v>
      </c>
      <c r="CZ168" s="60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8">
        <f t="shared" si="110"/>
        <v>470.88845796880821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314.4389771131751</v>
      </c>
      <c r="T169" s="60">
        <f t="shared" si="142"/>
        <v>176.7239677722049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-1.4210854715202004E-13</v>
      </c>
      <c r="AJ169" s="14">
        <f>AI169*VLOOKUP('Données projet'!$B$10,Paramètres!$A$1:$I$89,3,0)*VLOOKUP('Données projet'!$B$10,Paramètres!$A$1:$I$89,5,0)</f>
        <v>-1.2857981346314773E-13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210.85498515082651</v>
      </c>
      <c r="AO169" s="60">
        <f t="shared" si="144"/>
        <v>76.413905647258389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456.68544269509601</v>
      </c>
      <c r="BJ169" s="60">
        <f t="shared" si="146"/>
        <v>417.22363874931852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5.1159076974727213E-13</v>
      </c>
      <c r="BZ169" s="14">
        <f>BY169*VLOOKUP('Données projet'!$B$12,Paramètres!$A$1:$I$89,3,0)*VLOOKUP('Données projet'!$B$12,Paramètres!$A$1:$I$89,5,0)</f>
        <v>2.8597924028872516E-13</v>
      </c>
      <c r="CA169" s="14">
        <f t="shared" si="170"/>
        <v>3.8016246610825715E-12</v>
      </c>
      <c r="CB169" s="22">
        <f t="shared" si="171"/>
        <v>7.1192434615550094E-12</v>
      </c>
      <c r="CC169" s="60">
        <f t="shared" si="119"/>
        <v>293.33333333334042</v>
      </c>
      <c r="CD169" s="60">
        <f ca="1">AVERAGE(OFFSET($CC$3,0,0,'Données projet'!$E$12+1,1))-AVERAGE(OFFSET($H$3,0,0,'Données projet'!$E$12+1,1))</f>
        <v>234.38946271740315</v>
      </c>
      <c r="CE169" s="60">
        <f t="shared" si="148"/>
        <v>123.9494810355684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0.84583193671307921</v>
      </c>
      <c r="CM169" s="23">
        <f>EXP(-LN(2)/2)*CM168+(1-EXP(-LN(2)/2))/(LN(2)/2)*CG169*CJ169*VLOOKUP('Données projet'!$B$12,Paramètres!$A$1:$I$89,3,0)*0.475*44/12</f>
        <v>6.2447808635282976E-18</v>
      </c>
      <c r="CN169" s="24">
        <f t="shared" si="172"/>
        <v>0.84583193671307921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0" t="e">
        <f t="shared" si="122"/>
        <v>#N/A</v>
      </c>
      <c r="CY169" s="60" t="e">
        <f ca="1">AVERAGE(OFFSET($CX$3,0,0,'Données projet'!$E$13+1,1))-AVERAGE(OFFSET($H$3,0,0,'Données projet'!$E$13+1,1))</f>
        <v>#N/A</v>
      </c>
      <c r="CZ169" s="60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8">
        <f t="shared" si="110"/>
        <v>471.93100610402485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314.4389771131751</v>
      </c>
      <c r="T170" s="60">
        <f t="shared" si="142"/>
        <v>176.7239677722049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-1.4210854715202004E-13</v>
      </c>
      <c r="AJ170" s="14">
        <f>AI170*VLOOKUP('Données projet'!$B$10,Paramètres!$A$1:$I$89,3,0)*VLOOKUP('Données projet'!$B$10,Paramètres!$A$1:$I$89,5,0)</f>
        <v>-1.2857981346314773E-13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210.85498515082651</v>
      </c>
      <c r="AO170" s="60">
        <f t="shared" si="144"/>
        <v>76.413905647258389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456.68544269509601</v>
      </c>
      <c r="BJ170" s="60">
        <f t="shared" si="146"/>
        <v>417.22363874931852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5.1159076974727213E-13</v>
      </c>
      <c r="BZ170" s="14">
        <f>BY170*VLOOKUP('Données projet'!$B$12,Paramètres!$A$1:$I$89,3,0)*VLOOKUP('Données projet'!$B$12,Paramètres!$A$1:$I$89,5,0)</f>
        <v>2.8597924028872516E-13</v>
      </c>
      <c r="CA170" s="14">
        <f t="shared" si="170"/>
        <v>3.8016246610825715E-12</v>
      </c>
      <c r="CB170" s="22">
        <f t="shared" si="171"/>
        <v>7.1192434615550094E-12</v>
      </c>
      <c r="CC170" s="60">
        <f t="shared" si="119"/>
        <v>293.33333333334042</v>
      </c>
      <c r="CD170" s="60">
        <f ca="1">AVERAGE(OFFSET($CC$3,0,0,'Données projet'!$E$12+1,1))-AVERAGE(OFFSET($H$3,0,0,'Données projet'!$E$12+1,1))</f>
        <v>234.38946271740315</v>
      </c>
      <c r="CE170" s="60">
        <f t="shared" si="148"/>
        <v>123.9494810355684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0.82270261792329169</v>
      </c>
      <c r="CM170" s="23">
        <f>EXP(-LN(2)/2)*CM169+(1-EXP(-LN(2)/2))/(LN(2)/2)*CG170*CJ170*VLOOKUP('Données projet'!$B$12,Paramètres!$A$1:$I$89,3,0)*0.475*44/12</f>
        <v>4.4157268956248432E-18</v>
      </c>
      <c r="CN170" s="24">
        <f t="shared" si="172"/>
        <v>0.82270261792329169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0" t="e">
        <f t="shared" si="122"/>
        <v>#N/A</v>
      </c>
      <c r="CY170" s="60" t="e">
        <f ca="1">AVERAGE(OFFSET($CX$3,0,0,'Données projet'!$E$13+1,1))-AVERAGE(OFFSET($H$3,0,0,'Données projet'!$E$13+1,1))</f>
        <v>#N/A</v>
      </c>
      <c r="CZ170" s="60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8">
        <f t="shared" si="110"/>
        <v>472.97341153674216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314.4389771131751</v>
      </c>
      <c r="T171" s="60">
        <f t="shared" si="142"/>
        <v>176.7239677722049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-1.4210854715202004E-13</v>
      </c>
      <c r="AJ171" s="14">
        <f>AI171*VLOOKUP('Données projet'!$B$10,Paramètres!$A$1:$I$89,3,0)*VLOOKUP('Données projet'!$B$10,Paramètres!$A$1:$I$89,5,0)</f>
        <v>-1.2857981346314773E-13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210.85498515082651</v>
      </c>
      <c r="AO171" s="60">
        <f t="shared" si="144"/>
        <v>76.413905647258389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456.68544269509601</v>
      </c>
      <c r="BJ171" s="60">
        <f t="shared" si="146"/>
        <v>417.22363874931852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5.1159076974727213E-13</v>
      </c>
      <c r="BZ171" s="14">
        <f>BY171*VLOOKUP('Données projet'!$B$12,Paramètres!$A$1:$I$89,3,0)*VLOOKUP('Données projet'!$B$12,Paramètres!$A$1:$I$89,5,0)</f>
        <v>2.8597924028872516E-13</v>
      </c>
      <c r="CA171" s="14">
        <f t="shared" si="170"/>
        <v>3.8016246610825715E-12</v>
      </c>
      <c r="CB171" s="22">
        <f t="shared" si="171"/>
        <v>7.1192434615550094E-12</v>
      </c>
      <c r="CC171" s="60">
        <f t="shared" si="119"/>
        <v>293.33333333334042</v>
      </c>
      <c r="CD171" s="60">
        <f ca="1">AVERAGE(OFFSET($CC$3,0,0,'Données projet'!$E$12+1,1))-AVERAGE(OFFSET($H$3,0,0,'Données projet'!$E$12+1,1))</f>
        <v>234.38946271740315</v>
      </c>
      <c r="CE171" s="60">
        <f t="shared" si="148"/>
        <v>123.9494810355684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0.80020577157212891</v>
      </c>
      <c r="CM171" s="23">
        <f>EXP(-LN(2)/2)*CM170+(1-EXP(-LN(2)/2))/(LN(2)/2)*CG171*CJ171*VLOOKUP('Données projet'!$B$12,Paramètres!$A$1:$I$89,3,0)*0.475*44/12</f>
        <v>3.1223904317641488E-18</v>
      </c>
      <c r="CN171" s="24">
        <f t="shared" si="172"/>
        <v>0.80020577157212891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0" t="e">
        <f t="shared" si="122"/>
        <v>#N/A</v>
      </c>
      <c r="CY171" s="60" t="e">
        <f ca="1">AVERAGE(OFFSET($CX$3,0,0,'Données projet'!$E$13+1,1))-AVERAGE(OFFSET($H$3,0,0,'Données projet'!$E$13+1,1))</f>
        <v>#N/A</v>
      </c>
      <c r="CZ171" s="60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8">
        <f t="shared" si="110"/>
        <v>474.0156752149349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314.4389771131751</v>
      </c>
      <c r="T172" s="60">
        <f t="shared" si="142"/>
        <v>176.7239677722049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-1.4210854715202004E-13</v>
      </c>
      <c r="AJ172" s="14">
        <f>AI172*VLOOKUP('Données projet'!$B$10,Paramètres!$A$1:$I$89,3,0)*VLOOKUP('Données projet'!$B$10,Paramètres!$A$1:$I$89,5,0)</f>
        <v>-1.2857981346314773E-13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210.85498515082651</v>
      </c>
      <c r="AO172" s="60">
        <f t="shared" si="144"/>
        <v>76.413905647258389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456.68544269509601</v>
      </c>
      <c r="BJ172" s="60">
        <f t="shared" si="146"/>
        <v>417.22363874931852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5.1159076974727213E-13</v>
      </c>
      <c r="BZ172" s="14">
        <f>BY172*VLOOKUP('Données projet'!$B$12,Paramètres!$A$1:$I$89,3,0)*VLOOKUP('Données projet'!$B$12,Paramètres!$A$1:$I$89,5,0)</f>
        <v>2.8597924028872516E-13</v>
      </c>
      <c r="CA172" s="14">
        <f t="shared" si="170"/>
        <v>3.8016246610825715E-12</v>
      </c>
      <c r="CB172" s="22">
        <f t="shared" si="171"/>
        <v>7.1192434615550094E-12</v>
      </c>
      <c r="CC172" s="60">
        <f t="shared" si="119"/>
        <v>293.33333333334042</v>
      </c>
      <c r="CD172" s="60">
        <f ca="1">AVERAGE(OFFSET($CC$3,0,0,'Données projet'!$E$12+1,1))-AVERAGE(OFFSET($H$3,0,0,'Données projet'!$E$12+1,1))</f>
        <v>234.38946271740315</v>
      </c>
      <c r="CE172" s="60">
        <f t="shared" si="148"/>
        <v>123.9494810355684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0.77832410266749641</v>
      </c>
      <c r="CM172" s="23">
        <f>EXP(-LN(2)/2)*CM171+(1-EXP(-LN(2)/2))/(LN(2)/2)*CG172*CJ172*VLOOKUP('Données projet'!$B$12,Paramètres!$A$1:$I$89,3,0)*0.475*44/12</f>
        <v>2.2078634478124216E-18</v>
      </c>
      <c r="CN172" s="24">
        <f t="shared" si="172"/>
        <v>0.77832410266749641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0" t="e">
        <f t="shared" si="122"/>
        <v>#N/A</v>
      </c>
      <c r="CY172" s="60" t="e">
        <f ca="1">AVERAGE(OFFSET($CX$3,0,0,'Données projet'!$E$13+1,1))-AVERAGE(OFFSET($H$3,0,0,'Données projet'!$E$13+1,1))</f>
        <v>#N/A</v>
      </c>
      <c r="CZ172" s="60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8">
        <f t="shared" si="110"/>
        <v>475.05779807471038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314.4389771131751</v>
      </c>
      <c r="T173" s="60">
        <f t="shared" si="142"/>
        <v>176.7239677722049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-1.4210854715202004E-13</v>
      </c>
      <c r="AJ173" s="14">
        <f>AI173*VLOOKUP('Données projet'!$B$10,Paramètres!$A$1:$I$89,3,0)*VLOOKUP('Données projet'!$B$10,Paramètres!$A$1:$I$89,5,0)</f>
        <v>-1.2857981346314773E-13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210.85498515082651</v>
      </c>
      <c r="AO173" s="60">
        <f t="shared" si="144"/>
        <v>76.413905647258389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456.68544269509601</v>
      </c>
      <c r="BJ173" s="60">
        <f t="shared" si="146"/>
        <v>417.22363874931852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5.1159076974727213E-13</v>
      </c>
      <c r="BZ173" s="14">
        <f>BY173*VLOOKUP('Données projet'!$B$12,Paramètres!$A$1:$I$89,3,0)*VLOOKUP('Données projet'!$B$12,Paramètres!$A$1:$I$89,5,0)</f>
        <v>2.8597924028872516E-13</v>
      </c>
      <c r="CA173" s="14">
        <f t="shared" si="170"/>
        <v>3.8016246610825715E-12</v>
      </c>
      <c r="CB173" s="22">
        <f t="shared" si="171"/>
        <v>7.1192434615550094E-12</v>
      </c>
      <c r="CC173" s="60">
        <f t="shared" si="119"/>
        <v>293.33333333334042</v>
      </c>
      <c r="CD173" s="60">
        <f ca="1">AVERAGE(OFFSET($CC$3,0,0,'Données projet'!$E$12+1,1))-AVERAGE(OFFSET($H$3,0,0,'Données projet'!$E$12+1,1))</f>
        <v>234.38946271740315</v>
      </c>
      <c r="CE173" s="60">
        <f t="shared" si="148"/>
        <v>123.9494810355684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0.75704078914976802</v>
      </c>
      <c r="CM173" s="23">
        <f>EXP(-LN(2)/2)*CM172+(1-EXP(-LN(2)/2))/(LN(2)/2)*CG173*CJ173*VLOOKUP('Données projet'!$B$12,Paramètres!$A$1:$I$89,3,0)*0.475*44/12</f>
        <v>1.5611952158820744E-18</v>
      </c>
      <c r="CN173" s="24">
        <f t="shared" si="172"/>
        <v>0.75704078914976802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0" t="e">
        <f t="shared" si="122"/>
        <v>#N/A</v>
      </c>
      <c r="CY173" s="60" t="e">
        <f ca="1">AVERAGE(OFFSET($CX$3,0,0,'Données projet'!$E$13+1,1))-AVERAGE(OFFSET($H$3,0,0,'Données projet'!$E$13+1,1))</f>
        <v>#N/A</v>
      </c>
      <c r="CZ173" s="60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8">
        <f t="shared" si="110"/>
        <v>476.0997810405255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314.4389771131751</v>
      </c>
      <c r="T174" s="60">
        <f t="shared" si="142"/>
        <v>176.7239677722049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-1.4210854715202004E-13</v>
      </c>
      <c r="AJ174" s="14">
        <f>AI174*VLOOKUP('Données projet'!$B$10,Paramètres!$A$1:$I$89,3,0)*VLOOKUP('Données projet'!$B$10,Paramètres!$A$1:$I$89,5,0)</f>
        <v>-1.2857981346314773E-13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210.85498515082651</v>
      </c>
      <c r="AO174" s="60">
        <f t="shared" si="144"/>
        <v>76.413905647258389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456.68544269509601</v>
      </c>
      <c r="BJ174" s="60">
        <f t="shared" si="146"/>
        <v>417.22363874931852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5.1159076974727213E-13</v>
      </c>
      <c r="BZ174" s="14">
        <f>BY174*VLOOKUP('Données projet'!$B$12,Paramètres!$A$1:$I$89,3,0)*VLOOKUP('Données projet'!$B$12,Paramètres!$A$1:$I$89,5,0)</f>
        <v>2.8597924028872516E-13</v>
      </c>
      <c r="CA174" s="14">
        <f t="shared" si="170"/>
        <v>3.8016246610825715E-12</v>
      </c>
      <c r="CB174" s="22">
        <f t="shared" si="171"/>
        <v>7.1192434615550094E-12</v>
      </c>
      <c r="CC174" s="60">
        <f t="shared" si="119"/>
        <v>293.33333333334042</v>
      </c>
      <c r="CD174" s="60">
        <f ca="1">AVERAGE(OFFSET($CC$3,0,0,'Données projet'!$E$12+1,1))-AVERAGE(OFFSET($H$3,0,0,'Données projet'!$E$12+1,1))</f>
        <v>234.38946271740315</v>
      </c>
      <c r="CE174" s="60">
        <f t="shared" si="148"/>
        <v>123.9494810355684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0.7363394689594227</v>
      </c>
      <c r="CM174" s="23">
        <f>EXP(-LN(2)/2)*CM173+(1-EXP(-LN(2)/2))/(LN(2)/2)*CG174*CJ174*VLOOKUP('Données projet'!$B$12,Paramètres!$A$1:$I$89,3,0)*0.475*44/12</f>
        <v>1.1039317239062108E-18</v>
      </c>
      <c r="CN174" s="24">
        <f t="shared" si="172"/>
        <v>0.7363394689594227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0" t="e">
        <f t="shared" si="122"/>
        <v>#N/A</v>
      </c>
      <c r="CY174" s="60" t="e">
        <f ca="1">AVERAGE(OFFSET($CX$3,0,0,'Données projet'!$E$13+1,1))-AVERAGE(OFFSET($H$3,0,0,'Données projet'!$E$13+1,1))</f>
        <v>#N/A</v>
      </c>
      <c r="CZ174" s="60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8">
        <f t="shared" si="110"/>
        <v>477.14162502539943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314.4389771131751</v>
      </c>
      <c r="T175" s="60">
        <f t="shared" si="142"/>
        <v>176.7239677722049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-1.4210854715202004E-13</v>
      </c>
      <c r="AJ175" s="14">
        <f>AI175*VLOOKUP('Données projet'!$B$10,Paramètres!$A$1:$I$89,3,0)*VLOOKUP('Données projet'!$B$10,Paramètres!$A$1:$I$89,5,0)</f>
        <v>-1.2857981346314773E-13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210.85498515082651</v>
      </c>
      <c r="AO175" s="60">
        <f t="shared" si="144"/>
        <v>76.413905647258389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456.68544269509601</v>
      </c>
      <c r="BJ175" s="60">
        <f t="shared" si="146"/>
        <v>417.22363874931852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5.1159076974727213E-13</v>
      </c>
      <c r="BZ175" s="14">
        <f>BY175*VLOOKUP('Données projet'!$B$12,Paramètres!$A$1:$I$89,3,0)*VLOOKUP('Données projet'!$B$12,Paramètres!$A$1:$I$89,5,0)</f>
        <v>2.8597924028872516E-13</v>
      </c>
      <c r="CA175" s="14">
        <f t="shared" si="170"/>
        <v>3.8016246610825715E-12</v>
      </c>
      <c r="CB175" s="22">
        <f t="shared" si="171"/>
        <v>7.1192434615550094E-12</v>
      </c>
      <c r="CC175" s="60">
        <f t="shared" si="119"/>
        <v>293.33333333334042</v>
      </c>
      <c r="CD175" s="60">
        <f ca="1">AVERAGE(OFFSET($CC$3,0,0,'Données projet'!$E$12+1,1))-AVERAGE(OFFSET($H$3,0,0,'Données projet'!$E$12+1,1))</f>
        <v>234.38946271740315</v>
      </c>
      <c r="CE175" s="60">
        <f t="shared" si="148"/>
        <v>123.9494810355684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0.71620422745831758</v>
      </c>
      <c r="CM175" s="23">
        <f>EXP(-LN(2)/2)*CM174+(1-EXP(-LN(2)/2))/(LN(2)/2)*CG175*CJ175*VLOOKUP('Données projet'!$B$12,Paramètres!$A$1:$I$89,3,0)*0.475*44/12</f>
        <v>7.8059760794103721E-19</v>
      </c>
      <c r="CN175" s="24">
        <f t="shared" si="172"/>
        <v>0.71620422745831758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0" t="e">
        <f t="shared" si="122"/>
        <v>#N/A</v>
      </c>
      <c r="CY175" s="60" t="e">
        <f ca="1">AVERAGE(OFFSET($CX$3,0,0,'Données projet'!$E$13+1,1))-AVERAGE(OFFSET($H$3,0,0,'Données projet'!$E$13+1,1))</f>
        <v>#N/A</v>
      </c>
      <c r="CZ175" s="60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8">
        <f t="shared" si="110"/>
        <v>478.18333093112028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314.4389771131751</v>
      </c>
      <c r="T176" s="60">
        <f t="shared" si="142"/>
        <v>176.7239677722049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-1.4210854715202004E-13</v>
      </c>
      <c r="AJ176" s="14">
        <f>AI176*VLOOKUP('Données projet'!$B$10,Paramètres!$A$1:$I$89,3,0)*VLOOKUP('Données projet'!$B$10,Paramètres!$A$1:$I$89,5,0)</f>
        <v>-1.2857981346314773E-13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210.85498515082651</v>
      </c>
      <c r="AO176" s="60">
        <f t="shared" si="144"/>
        <v>76.413905647258389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456.68544269509601</v>
      </c>
      <c r="BJ176" s="60">
        <f t="shared" si="146"/>
        <v>417.22363874931852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5.1159076974727213E-13</v>
      </c>
      <c r="BZ176" s="14">
        <f>BY176*VLOOKUP('Données projet'!$B$12,Paramètres!$A$1:$I$89,3,0)*VLOOKUP('Données projet'!$B$12,Paramètres!$A$1:$I$89,5,0)</f>
        <v>2.8597924028872516E-13</v>
      </c>
      <c r="CA176" s="14">
        <f t="shared" si="170"/>
        <v>3.8016246610825715E-12</v>
      </c>
      <c r="CB176" s="22">
        <f t="shared" si="171"/>
        <v>7.1192434615550094E-12</v>
      </c>
      <c r="CC176" s="60">
        <f t="shared" si="119"/>
        <v>293.33333333334042</v>
      </c>
      <c r="CD176" s="60">
        <f ca="1">AVERAGE(OFFSET($CC$3,0,0,'Données projet'!$E$12+1,1))-AVERAGE(OFFSET($H$3,0,0,'Données projet'!$E$12+1,1))</f>
        <v>234.38946271740315</v>
      </c>
      <c r="CE176" s="60">
        <f t="shared" si="148"/>
        <v>123.9494810355684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0.6966195851949265</v>
      </c>
      <c r="CM176" s="23">
        <f>EXP(-LN(2)/2)*CM175+(1-EXP(-LN(2)/2))/(LN(2)/2)*CG176*CJ176*VLOOKUP('Données projet'!$B$12,Paramètres!$A$1:$I$89,3,0)*0.475*44/12</f>
        <v>5.519658619531054E-19</v>
      </c>
      <c r="CN176" s="24">
        <f t="shared" si="172"/>
        <v>0.6966195851949265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0" t="e">
        <f t="shared" si="122"/>
        <v>#N/A</v>
      </c>
      <c r="CY176" s="60" t="e">
        <f ca="1">AVERAGE(OFFSET($CX$3,0,0,'Données projet'!$E$13+1,1))-AVERAGE(OFFSET($H$3,0,0,'Données projet'!$E$13+1,1))</f>
        <v>#N/A</v>
      </c>
      <c r="CZ176" s="60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8">
        <f t="shared" si="110"/>
        <v>479.224899648448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314.4389771131751</v>
      </c>
      <c r="T177" s="60">
        <f t="shared" si="142"/>
        <v>176.7239677722049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-1.4210854715202004E-13</v>
      </c>
      <c r="AJ177" s="14">
        <f>AI177*VLOOKUP('Données projet'!$B$10,Paramètres!$A$1:$I$89,3,0)*VLOOKUP('Données projet'!$B$10,Paramètres!$A$1:$I$89,5,0)</f>
        <v>-1.2857981346314773E-13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210.85498515082651</v>
      </c>
      <c r="AO177" s="60">
        <f t="shared" si="144"/>
        <v>76.413905647258389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456.68544269509601</v>
      </c>
      <c r="BJ177" s="60">
        <f t="shared" si="146"/>
        <v>417.22363874931852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5.1159076974727213E-13</v>
      </c>
      <c r="BZ177" s="14">
        <f>BY177*VLOOKUP('Données projet'!$B$12,Paramètres!$A$1:$I$89,3,0)*VLOOKUP('Données projet'!$B$12,Paramètres!$A$1:$I$89,5,0)</f>
        <v>2.8597924028872516E-13</v>
      </c>
      <c r="CA177" s="14">
        <f t="shared" si="170"/>
        <v>3.8016246610825715E-12</v>
      </c>
      <c r="CB177" s="22">
        <f t="shared" si="171"/>
        <v>7.1192434615550094E-12</v>
      </c>
      <c r="CC177" s="60">
        <f t="shared" si="119"/>
        <v>293.33333333334042</v>
      </c>
      <c r="CD177" s="60">
        <f ca="1">AVERAGE(OFFSET($CC$3,0,0,'Données projet'!$E$12+1,1))-AVERAGE(OFFSET($H$3,0,0,'Données projet'!$E$12+1,1))</f>
        <v>234.38946271740315</v>
      </c>
      <c r="CE177" s="60">
        <f t="shared" si="148"/>
        <v>123.9494810355684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0.67757048600413938</v>
      </c>
      <c r="CM177" s="23">
        <f>EXP(-LN(2)/2)*CM176+(1-EXP(-LN(2)/2))/(LN(2)/2)*CG177*CJ177*VLOOKUP('Données projet'!$B$12,Paramètres!$A$1:$I$89,3,0)*0.475*44/12</f>
        <v>3.902988039705186E-19</v>
      </c>
      <c r="CN177" s="24">
        <f t="shared" si="172"/>
        <v>0.67757048600413938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0" t="e">
        <f t="shared" si="122"/>
        <v>#N/A</v>
      </c>
      <c r="CY177" s="60" t="e">
        <f ca="1">AVERAGE(OFFSET($CX$3,0,0,'Données projet'!$E$13+1,1))-AVERAGE(OFFSET($H$3,0,0,'Données projet'!$E$13+1,1))</f>
        <v>#N/A</v>
      </c>
      <c r="CZ177" s="60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8">
        <f t="shared" si="110"/>
        <v>480.26633205731122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314.4389771131751</v>
      </c>
      <c r="T178" s="60">
        <f t="shared" si="142"/>
        <v>176.7239677722049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-1.4210854715202004E-13</v>
      </c>
      <c r="AJ178" s="14">
        <f>AI178*VLOOKUP('Données projet'!$B$10,Paramètres!$A$1:$I$89,3,0)*VLOOKUP('Données projet'!$B$10,Paramètres!$A$1:$I$89,5,0)</f>
        <v>-1.2857981346314773E-13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210.85498515082651</v>
      </c>
      <c r="AO178" s="60">
        <f t="shared" si="144"/>
        <v>76.413905647258389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456.68544269509601</v>
      </c>
      <c r="BJ178" s="60">
        <f t="shared" si="146"/>
        <v>417.22363874931852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5.1159076974727213E-13</v>
      </c>
      <c r="BZ178" s="14">
        <f>BY178*VLOOKUP('Données projet'!$B$12,Paramètres!$A$1:$I$89,3,0)*VLOOKUP('Données projet'!$B$12,Paramètres!$A$1:$I$89,5,0)</f>
        <v>2.8597924028872516E-13</v>
      </c>
      <c r="CA178" s="14">
        <f t="shared" si="170"/>
        <v>3.8016246610825715E-12</v>
      </c>
      <c r="CB178" s="22">
        <f t="shared" si="171"/>
        <v>7.1192434615550094E-12</v>
      </c>
      <c r="CC178" s="60">
        <f t="shared" si="119"/>
        <v>293.33333333334042</v>
      </c>
      <c r="CD178" s="60">
        <f ca="1">AVERAGE(OFFSET($CC$3,0,0,'Données projet'!$E$12+1,1))-AVERAGE(OFFSET($H$3,0,0,'Données projet'!$E$12+1,1))</f>
        <v>234.38946271740315</v>
      </c>
      <c r="CE178" s="60">
        <f t="shared" si="148"/>
        <v>123.9494810355684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0.6590422854324729</v>
      </c>
      <c r="CM178" s="23">
        <f>EXP(-LN(2)/2)*CM177+(1-EXP(-LN(2)/2))/(LN(2)/2)*CG178*CJ178*VLOOKUP('Données projet'!$B$12,Paramètres!$A$1:$I$89,3,0)*0.475*44/12</f>
        <v>2.759829309765527E-19</v>
      </c>
      <c r="CN178" s="24">
        <f t="shared" si="172"/>
        <v>0.6590422854324729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0" t="e">
        <f t="shared" si="122"/>
        <v>#N/A</v>
      </c>
      <c r="CY178" s="60" t="e">
        <f ca="1">AVERAGE(OFFSET($CX$3,0,0,'Données projet'!$E$13+1,1))-AVERAGE(OFFSET($H$3,0,0,'Données projet'!$E$13+1,1))</f>
        <v>#N/A</v>
      </c>
      <c r="CZ178" s="60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8">
        <f t="shared" si="110"/>
        <v>481.3076290270003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314.4389771131751</v>
      </c>
      <c r="T179" s="60">
        <f t="shared" si="142"/>
        <v>176.7239677722049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-1.4210854715202004E-13</v>
      </c>
      <c r="AJ179" s="14">
        <f>AI179*VLOOKUP('Données projet'!$B$10,Paramètres!$A$1:$I$89,3,0)*VLOOKUP('Données projet'!$B$10,Paramètres!$A$1:$I$89,5,0)</f>
        <v>-1.2857981346314773E-13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210.85498515082651</v>
      </c>
      <c r="AO179" s="60">
        <f t="shared" si="144"/>
        <v>76.413905647258389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456.68544269509601</v>
      </c>
      <c r="BJ179" s="60">
        <f t="shared" si="146"/>
        <v>417.22363874931852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5.1159076974727213E-13</v>
      </c>
      <c r="BZ179" s="14">
        <f>BY179*VLOOKUP('Données projet'!$B$12,Paramètres!$A$1:$I$89,3,0)*VLOOKUP('Données projet'!$B$12,Paramètres!$A$1:$I$89,5,0)</f>
        <v>2.8597924028872516E-13</v>
      </c>
      <c r="CA179" s="14">
        <f t="shared" si="170"/>
        <v>3.8016246610825715E-12</v>
      </c>
      <c r="CB179" s="22">
        <f t="shared" si="171"/>
        <v>7.1192434615550094E-12</v>
      </c>
      <c r="CC179" s="60">
        <f t="shared" si="119"/>
        <v>293.33333333334042</v>
      </c>
      <c r="CD179" s="60">
        <f ca="1">AVERAGE(OFFSET($CC$3,0,0,'Données projet'!$E$12+1,1))-AVERAGE(OFFSET($H$3,0,0,'Données projet'!$E$12+1,1))</f>
        <v>234.38946271740315</v>
      </c>
      <c r="CE179" s="60">
        <f t="shared" si="148"/>
        <v>123.9494810355684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0.64102073947979443</v>
      </c>
      <c r="CM179" s="23">
        <f>EXP(-LN(2)/2)*CM178+(1-EXP(-LN(2)/2))/(LN(2)/2)*CG179*CJ179*VLOOKUP('Données projet'!$B$12,Paramètres!$A$1:$I$89,3,0)*0.475*44/12</f>
        <v>1.951494019852593E-19</v>
      </c>
      <c r="CN179" s="24">
        <f t="shared" si="172"/>
        <v>0.64102073947979443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0" t="e">
        <f t="shared" si="122"/>
        <v>#N/A</v>
      </c>
      <c r="CY179" s="60" t="e">
        <f ca="1">AVERAGE(OFFSET($CX$3,0,0,'Données projet'!$E$13+1,1))-AVERAGE(OFFSET($H$3,0,0,'Données projet'!$E$13+1,1))</f>
        <v>#N/A</v>
      </c>
      <c r="CZ179" s="60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8">
        <f t="shared" si="110"/>
        <v>482.34879141635599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314.4389771131751</v>
      </c>
      <c r="T180" s="60">
        <f t="shared" si="142"/>
        <v>176.7239677722049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-1.4210854715202004E-13</v>
      </c>
      <c r="AJ180" s="14">
        <f>AI180*VLOOKUP('Données projet'!$B$10,Paramètres!$A$1:$I$89,3,0)*VLOOKUP('Données projet'!$B$10,Paramètres!$A$1:$I$89,5,0)</f>
        <v>-1.2857981346314773E-13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210.85498515082651</v>
      </c>
      <c r="AO180" s="60">
        <f t="shared" si="144"/>
        <v>76.413905647258389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456.68544269509601</v>
      </c>
      <c r="BJ180" s="60">
        <f t="shared" si="146"/>
        <v>417.22363874931852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5.1159076974727213E-13</v>
      </c>
      <c r="BZ180" s="14">
        <f>BY180*VLOOKUP('Données projet'!$B$12,Paramètres!$A$1:$I$89,3,0)*VLOOKUP('Données projet'!$B$12,Paramètres!$A$1:$I$89,5,0)</f>
        <v>2.8597924028872516E-13</v>
      </c>
      <c r="CA180" s="14">
        <f t="shared" si="170"/>
        <v>3.8016246610825715E-12</v>
      </c>
      <c r="CB180" s="22">
        <f t="shared" si="171"/>
        <v>7.1192434615550094E-12</v>
      </c>
      <c r="CC180" s="60">
        <f t="shared" si="119"/>
        <v>293.33333333334042</v>
      </c>
      <c r="CD180" s="60">
        <f ca="1">AVERAGE(OFFSET($CC$3,0,0,'Données projet'!$E$12+1,1))-AVERAGE(OFFSET($H$3,0,0,'Données projet'!$E$12+1,1))</f>
        <v>234.38946271740315</v>
      </c>
      <c r="CE180" s="60">
        <f t="shared" si="148"/>
        <v>123.9494810355684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0.62349199364890384</v>
      </c>
      <c r="CM180" s="23">
        <f>EXP(-LN(2)/2)*CM179+(1-EXP(-LN(2)/2))/(LN(2)/2)*CG180*CJ180*VLOOKUP('Données projet'!$B$12,Paramètres!$A$1:$I$89,3,0)*0.475*44/12</f>
        <v>1.3799146548827635E-19</v>
      </c>
      <c r="CN180" s="24">
        <f t="shared" si="172"/>
        <v>0.62349199364890384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0" t="e">
        <f t="shared" si="122"/>
        <v>#N/A</v>
      </c>
      <c r="CY180" s="60" t="e">
        <f ca="1">AVERAGE(OFFSET($CX$3,0,0,'Données projet'!$E$13+1,1))-AVERAGE(OFFSET($H$3,0,0,'Données projet'!$E$13+1,1))</f>
        <v>#N/A</v>
      </c>
      <c r="CZ180" s="60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8">
        <f t="shared" si="110"/>
        <v>483.38982007395271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314.4389771131751</v>
      </c>
      <c r="T181" s="60">
        <f t="shared" si="142"/>
        <v>176.7239677722049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-1.4210854715202004E-13</v>
      </c>
      <c r="AJ181" s="14">
        <f>AI181*VLOOKUP('Données projet'!$B$10,Paramètres!$A$1:$I$89,3,0)*VLOOKUP('Données projet'!$B$10,Paramètres!$A$1:$I$89,5,0)</f>
        <v>-1.2857981346314773E-13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210.85498515082651</v>
      </c>
      <c r="AO181" s="60">
        <f t="shared" si="144"/>
        <v>76.413905647258389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456.68544269509601</v>
      </c>
      <c r="BJ181" s="60">
        <f t="shared" si="146"/>
        <v>417.22363874931852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5.1159076974727213E-13</v>
      </c>
      <c r="BZ181" s="14">
        <f>BY181*VLOOKUP('Données projet'!$B$12,Paramètres!$A$1:$I$89,3,0)*VLOOKUP('Données projet'!$B$12,Paramètres!$A$1:$I$89,5,0)</f>
        <v>2.8597924028872516E-13</v>
      </c>
      <c r="CA181" s="14">
        <f t="shared" si="170"/>
        <v>3.8016246610825715E-12</v>
      </c>
      <c r="CB181" s="22">
        <f t="shared" si="171"/>
        <v>7.1192434615550094E-12</v>
      </c>
      <c r="CC181" s="60">
        <f t="shared" si="119"/>
        <v>293.33333333334042</v>
      </c>
      <c r="CD181" s="60">
        <f ca="1">AVERAGE(OFFSET($CC$3,0,0,'Données projet'!$E$12+1,1))-AVERAGE(OFFSET($H$3,0,0,'Données projet'!$E$12+1,1))</f>
        <v>234.38946271740315</v>
      </c>
      <c r="CE181" s="60">
        <f t="shared" si="148"/>
        <v>123.9494810355684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0.60644257229455567</v>
      </c>
      <c r="CM181" s="23">
        <f>EXP(-LN(2)/2)*CM180+(1-EXP(-LN(2)/2))/(LN(2)/2)*CG181*CJ181*VLOOKUP('Données projet'!$B$12,Paramètres!$A$1:$I$89,3,0)*0.475*44/12</f>
        <v>9.7574700992629651E-20</v>
      </c>
      <c r="CN181" s="24">
        <f t="shared" si="172"/>
        <v>0.60644257229455567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0" t="e">
        <f t="shared" si="122"/>
        <v>#N/A</v>
      </c>
      <c r="CY181" s="60" t="e">
        <f ca="1">AVERAGE(OFFSET($CX$3,0,0,'Données projet'!$E$13+1,1))-AVERAGE(OFFSET($H$3,0,0,'Données projet'!$E$13+1,1))</f>
        <v>#N/A</v>
      </c>
      <c r="CZ181" s="60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8">
        <f t="shared" si="110"/>
        <v>484.43071583827873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314.4389771131751</v>
      </c>
      <c r="T182" s="60">
        <f t="shared" si="142"/>
        <v>176.7239677722049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-1.4210854715202004E-13</v>
      </c>
      <c r="AJ182" s="14">
        <f>AI182*VLOOKUP('Données projet'!$B$10,Paramètres!$A$1:$I$89,3,0)*VLOOKUP('Données projet'!$B$10,Paramètres!$A$1:$I$89,5,0)</f>
        <v>-1.2857981346314773E-13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210.85498515082651</v>
      </c>
      <c r="AO182" s="60">
        <f t="shared" si="144"/>
        <v>76.413905647258389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456.68544269509601</v>
      </c>
      <c r="BJ182" s="60">
        <f t="shared" si="146"/>
        <v>417.22363874931852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5.1159076974727213E-13</v>
      </c>
      <c r="BZ182" s="14">
        <f>BY182*VLOOKUP('Données projet'!$B$12,Paramètres!$A$1:$I$89,3,0)*VLOOKUP('Données projet'!$B$12,Paramètres!$A$1:$I$89,5,0)</f>
        <v>2.8597924028872516E-13</v>
      </c>
      <c r="CA182" s="14">
        <f t="shared" si="170"/>
        <v>3.8016246610825715E-12</v>
      </c>
      <c r="CB182" s="22">
        <f t="shared" si="171"/>
        <v>7.1192434615550094E-12</v>
      </c>
      <c r="CC182" s="60">
        <f t="shared" si="119"/>
        <v>293.33333333334042</v>
      </c>
      <c r="CD182" s="60">
        <f ca="1">AVERAGE(OFFSET($CC$3,0,0,'Données projet'!$E$12+1,1))-AVERAGE(OFFSET($H$3,0,0,'Données projet'!$E$12+1,1))</f>
        <v>234.38946271740315</v>
      </c>
      <c r="CE182" s="60">
        <f t="shared" si="148"/>
        <v>123.9494810355684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0.5898593682637322</v>
      </c>
      <c r="CM182" s="23">
        <f>EXP(-LN(2)/2)*CM181+(1-EXP(-LN(2)/2))/(LN(2)/2)*CG182*CJ182*VLOOKUP('Données projet'!$B$12,Paramètres!$A$1:$I$89,3,0)*0.475*44/12</f>
        <v>6.8995732744138175E-20</v>
      </c>
      <c r="CN182" s="24">
        <f t="shared" si="172"/>
        <v>0.5898593682637322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0" t="e">
        <f t="shared" si="122"/>
        <v>#N/A</v>
      </c>
      <c r="CY182" s="60" t="e">
        <f ca="1">AVERAGE(OFFSET($CX$3,0,0,'Données projet'!$E$13+1,1))-AVERAGE(OFFSET($H$3,0,0,'Données projet'!$E$13+1,1))</f>
        <v>#N/A</v>
      </c>
      <c r="CZ182" s="60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8">
        <f t="shared" si="110"/>
        <v>485.47147953791148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314.4389771131751</v>
      </c>
      <c r="T183" s="60">
        <f t="shared" si="142"/>
        <v>176.7239677722049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-1.4210854715202004E-13</v>
      </c>
      <c r="AJ183" s="14">
        <f>AI183*VLOOKUP('Données projet'!$B$10,Paramètres!$A$1:$I$89,3,0)*VLOOKUP('Données projet'!$B$10,Paramètres!$A$1:$I$89,5,0)</f>
        <v>-1.2857981346314773E-13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210.85498515082651</v>
      </c>
      <c r="AO183" s="60">
        <f t="shared" si="144"/>
        <v>76.413905647258389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456.68544269509601</v>
      </c>
      <c r="BJ183" s="60">
        <f t="shared" si="146"/>
        <v>417.22363874931852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5.1159076974727213E-13</v>
      </c>
      <c r="BZ183" s="14">
        <f>BY183*VLOOKUP('Données projet'!$B$12,Paramètres!$A$1:$I$89,3,0)*VLOOKUP('Données projet'!$B$12,Paramètres!$A$1:$I$89,5,0)</f>
        <v>2.8597924028872516E-13</v>
      </c>
      <c r="CA183" s="14">
        <f t="shared" si="170"/>
        <v>3.8016246610825715E-12</v>
      </c>
      <c r="CB183" s="22">
        <f t="shared" si="171"/>
        <v>7.1192434615550094E-12</v>
      </c>
      <c r="CC183" s="60">
        <f t="shared" si="119"/>
        <v>293.33333333334042</v>
      </c>
      <c r="CD183" s="60">
        <f ca="1">AVERAGE(OFFSET($CC$3,0,0,'Données projet'!$E$12+1,1))-AVERAGE(OFFSET($H$3,0,0,'Données projet'!$E$12+1,1))</f>
        <v>234.38946271740315</v>
      </c>
      <c r="CE183" s="60">
        <f t="shared" si="148"/>
        <v>123.9494810355684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0.57372963281920442</v>
      </c>
      <c r="CM183" s="23">
        <f>EXP(-LN(2)/2)*CM182+(1-EXP(-LN(2)/2))/(LN(2)/2)*CG183*CJ183*VLOOKUP('Données projet'!$B$12,Paramètres!$A$1:$I$89,3,0)*0.475*44/12</f>
        <v>4.8787350496314825E-20</v>
      </c>
      <c r="CN183" s="24">
        <f t="shared" si="172"/>
        <v>0.57372963281920442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0" t="e">
        <f t="shared" si="122"/>
        <v>#N/A</v>
      </c>
      <c r="CY183" s="60" t="e">
        <f ca="1">AVERAGE(OFFSET($CX$3,0,0,'Données projet'!$E$13+1,1))-AVERAGE(OFFSET($H$3,0,0,'Données projet'!$E$13+1,1))</f>
        <v>#N/A</v>
      </c>
      <c r="CZ183" s="60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8">
        <f t="shared" si="110"/>
        <v>486.51211199168915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314.4389771131751</v>
      </c>
      <c r="T184" s="60">
        <f t="shared" si="142"/>
        <v>176.7239677722049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-1.4210854715202004E-13</v>
      </c>
      <c r="AJ184" s="14">
        <f>AI184*VLOOKUP('Données projet'!$B$10,Paramètres!$A$1:$I$89,3,0)*VLOOKUP('Données projet'!$B$10,Paramètres!$A$1:$I$89,5,0)</f>
        <v>-1.2857981346314773E-13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210.85498515082651</v>
      </c>
      <c r="AO184" s="60">
        <f t="shared" si="144"/>
        <v>76.413905647258389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456.68544269509601</v>
      </c>
      <c r="BJ184" s="60">
        <f t="shared" si="146"/>
        <v>417.22363874931852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5.1159076974727213E-13</v>
      </c>
      <c r="BZ184" s="14">
        <f>BY184*VLOOKUP('Données projet'!$B$12,Paramètres!$A$1:$I$89,3,0)*VLOOKUP('Données projet'!$B$12,Paramètres!$A$1:$I$89,5,0)</f>
        <v>2.8597924028872516E-13</v>
      </c>
      <c r="CA184" s="14">
        <f t="shared" si="170"/>
        <v>3.8016246610825715E-12</v>
      </c>
      <c r="CB184" s="22">
        <f t="shared" si="171"/>
        <v>7.1192434615550094E-12</v>
      </c>
      <c r="CC184" s="60">
        <f t="shared" si="119"/>
        <v>293.33333333334042</v>
      </c>
      <c r="CD184" s="60">
        <f ca="1">AVERAGE(OFFSET($CC$3,0,0,'Données projet'!$E$12+1,1))-AVERAGE(OFFSET($H$3,0,0,'Données projet'!$E$12+1,1))</f>
        <v>234.38946271740315</v>
      </c>
      <c r="CE184" s="60">
        <f t="shared" si="148"/>
        <v>123.9494810355684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0.55804096583863316</v>
      </c>
      <c r="CM184" s="23">
        <f>EXP(-LN(2)/2)*CM183+(1-EXP(-LN(2)/2))/(LN(2)/2)*CG184*CJ184*VLOOKUP('Données projet'!$B$12,Paramètres!$A$1:$I$89,3,0)*0.475*44/12</f>
        <v>3.4497866372069087E-20</v>
      </c>
      <c r="CN184" s="24">
        <f t="shared" si="172"/>
        <v>0.55804096583863316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0" t="e">
        <f t="shared" si="122"/>
        <v>#N/A</v>
      </c>
      <c r="CY184" s="60" t="e">
        <f ca="1">AVERAGE(OFFSET($CX$3,0,0,'Données projet'!$E$13+1,1))-AVERAGE(OFFSET($H$3,0,0,'Données projet'!$E$13+1,1))</f>
        <v>#N/A</v>
      </c>
      <c r="CZ184" s="60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8">
        <f t="shared" si="110"/>
        <v>487.55261400887855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314.4389771131751</v>
      </c>
      <c r="T185" s="60">
        <f t="shared" si="142"/>
        <v>176.7239677722049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-1.4210854715202004E-13</v>
      </c>
      <c r="AJ185" s="14">
        <f>AI185*VLOOKUP('Données projet'!$B$10,Paramètres!$A$1:$I$89,3,0)*VLOOKUP('Données projet'!$B$10,Paramètres!$A$1:$I$89,5,0)</f>
        <v>-1.2857981346314773E-13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210.85498515082651</v>
      </c>
      <c r="AO185" s="60">
        <f t="shared" si="144"/>
        <v>76.413905647258389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456.68544269509601</v>
      </c>
      <c r="BJ185" s="60">
        <f t="shared" si="146"/>
        <v>417.22363874931852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5.1159076974727213E-13</v>
      </c>
      <c r="BZ185" s="14">
        <f>BY185*VLOOKUP('Données projet'!$B$12,Paramètres!$A$1:$I$89,3,0)*VLOOKUP('Données projet'!$B$12,Paramètres!$A$1:$I$89,5,0)</f>
        <v>2.8597924028872516E-13</v>
      </c>
      <c r="CA185" s="14">
        <f t="shared" si="170"/>
        <v>3.8016246610825715E-12</v>
      </c>
      <c r="CB185" s="22">
        <f t="shared" si="171"/>
        <v>7.1192434615550094E-12</v>
      </c>
      <c r="CC185" s="60">
        <f t="shared" si="119"/>
        <v>293.33333333334042</v>
      </c>
      <c r="CD185" s="60">
        <f ca="1">AVERAGE(OFFSET($CC$3,0,0,'Données projet'!$E$12+1,1))-AVERAGE(OFFSET($H$3,0,0,'Données projet'!$E$12+1,1))</f>
        <v>234.38946271740315</v>
      </c>
      <c r="CE185" s="60">
        <f t="shared" si="148"/>
        <v>123.9494810355684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0.54278130628167676</v>
      </c>
      <c r="CM185" s="23">
        <f>EXP(-LN(2)/2)*CM184+(1-EXP(-LN(2)/2))/(LN(2)/2)*CG185*CJ185*VLOOKUP('Données projet'!$B$12,Paramètres!$A$1:$I$89,3,0)*0.475*44/12</f>
        <v>2.4393675248157413E-20</v>
      </c>
      <c r="CN185" s="24">
        <f t="shared" si="172"/>
        <v>0.54278130628167676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0" t="e">
        <f t="shared" si="122"/>
        <v>#N/A</v>
      </c>
      <c r="CY185" s="60" t="e">
        <f ca="1">AVERAGE(OFFSET($CX$3,0,0,'Données projet'!$E$13+1,1))-AVERAGE(OFFSET($H$3,0,0,'Données projet'!$E$13+1,1))</f>
        <v>#N/A</v>
      </c>
      <c r="CZ185" s="60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8">
        <f t="shared" si="110"/>
        <v>488.59298638933842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314.4389771131751</v>
      </c>
      <c r="T186" s="60">
        <f t="shared" si="142"/>
        <v>176.7239677722049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-1.4210854715202004E-13</v>
      </c>
      <c r="AJ186" s="14">
        <f>AI186*VLOOKUP('Données projet'!$B$10,Paramètres!$A$1:$I$89,3,0)*VLOOKUP('Données projet'!$B$10,Paramètres!$A$1:$I$89,5,0)</f>
        <v>-1.2857981346314773E-13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210.85498515082651</v>
      </c>
      <c r="AO186" s="60">
        <f t="shared" si="144"/>
        <v>76.413905647258389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456.68544269509601</v>
      </c>
      <c r="BJ186" s="60">
        <f t="shared" si="146"/>
        <v>417.22363874931852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5.1159076974727213E-13</v>
      </c>
      <c r="BZ186" s="14">
        <f>BY186*VLOOKUP('Données projet'!$B$12,Paramètres!$A$1:$I$89,3,0)*VLOOKUP('Données projet'!$B$12,Paramètres!$A$1:$I$89,5,0)</f>
        <v>2.8597924028872516E-13</v>
      </c>
      <c r="CA186" s="14">
        <f t="shared" si="170"/>
        <v>3.8016246610825715E-12</v>
      </c>
      <c r="CB186" s="22">
        <f t="shared" si="171"/>
        <v>7.1192434615550094E-12</v>
      </c>
      <c r="CC186" s="60">
        <f t="shared" si="119"/>
        <v>293.33333333334042</v>
      </c>
      <c r="CD186" s="60">
        <f ca="1">AVERAGE(OFFSET($CC$3,0,0,'Données projet'!$E$12+1,1))-AVERAGE(OFFSET($H$3,0,0,'Données projet'!$E$12+1,1))</f>
        <v>234.38946271740315</v>
      </c>
      <c r="CE186" s="60">
        <f t="shared" si="148"/>
        <v>123.9494810355684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0.527938922917776</v>
      </c>
      <c r="CM186" s="23">
        <f>EXP(-LN(2)/2)*CM185+(1-EXP(-LN(2)/2))/(LN(2)/2)*CG186*CJ186*VLOOKUP('Données projet'!$B$12,Paramètres!$A$1:$I$89,3,0)*0.475*44/12</f>
        <v>1.7248933186034544E-20</v>
      </c>
      <c r="CN186" s="24">
        <f t="shared" si="172"/>
        <v>0.527938922917776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0" t="e">
        <f t="shared" si="122"/>
        <v>#N/A</v>
      </c>
      <c r="CY186" s="60" t="e">
        <f ca="1">AVERAGE(OFFSET($CX$3,0,0,'Données projet'!$E$13+1,1))-AVERAGE(OFFSET($H$3,0,0,'Données projet'!$E$13+1,1))</f>
        <v>#N/A</v>
      </c>
      <c r="CZ186" s="60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8">
        <f t="shared" si="110"/>
        <v>489.63322992368012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314.4389771131751</v>
      </c>
      <c r="T187" s="60">
        <f t="shared" si="142"/>
        <v>176.7239677722049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-1.4210854715202004E-13</v>
      </c>
      <c r="AJ187" s="14">
        <f>AI187*VLOOKUP('Données projet'!$B$10,Paramètres!$A$1:$I$89,3,0)*VLOOKUP('Données projet'!$B$10,Paramètres!$A$1:$I$89,5,0)</f>
        <v>-1.2857981346314773E-13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210.85498515082651</v>
      </c>
      <c r="AO187" s="60">
        <f t="shared" si="144"/>
        <v>76.413905647258389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456.68544269509601</v>
      </c>
      <c r="BJ187" s="60">
        <f t="shared" si="146"/>
        <v>417.22363874931852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5.1159076974727213E-13</v>
      </c>
      <c r="BZ187" s="14">
        <f>BY187*VLOOKUP('Données projet'!$B$12,Paramètres!$A$1:$I$89,3,0)*VLOOKUP('Données projet'!$B$12,Paramètres!$A$1:$I$89,5,0)</f>
        <v>2.8597924028872516E-13</v>
      </c>
      <c r="CA187" s="14">
        <f t="shared" si="170"/>
        <v>3.8016246610825715E-12</v>
      </c>
      <c r="CB187" s="22">
        <f t="shared" si="171"/>
        <v>7.1192434615550094E-12</v>
      </c>
      <c r="CC187" s="60">
        <f t="shared" si="119"/>
        <v>293.33333333334042</v>
      </c>
      <c r="CD187" s="60">
        <f ca="1">AVERAGE(OFFSET($CC$3,0,0,'Données projet'!$E$12+1,1))-AVERAGE(OFFSET($H$3,0,0,'Données projet'!$E$12+1,1))</f>
        <v>234.38946271740315</v>
      </c>
      <c r="CE187" s="60">
        <f t="shared" si="148"/>
        <v>123.9494810355684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0.51350240530748803</v>
      </c>
      <c r="CM187" s="23">
        <f>EXP(-LN(2)/2)*CM186+(1-EXP(-LN(2)/2))/(LN(2)/2)*CG187*CJ187*VLOOKUP('Données projet'!$B$12,Paramètres!$A$1:$I$89,3,0)*0.475*44/12</f>
        <v>1.2196837624078706E-20</v>
      </c>
      <c r="CN187" s="24">
        <f t="shared" si="172"/>
        <v>0.51350240530748803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0" t="e">
        <f t="shared" si="122"/>
        <v>#N/A</v>
      </c>
      <c r="CY187" s="60" t="e">
        <f ca="1">AVERAGE(OFFSET($CX$3,0,0,'Données projet'!$E$13+1,1))-AVERAGE(OFFSET($H$3,0,0,'Données projet'!$E$13+1,1))</f>
        <v>#N/A</v>
      </c>
      <c r="CZ187" s="60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8">
        <f t="shared" si="110"/>
        <v>490.67334539342403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314.4389771131751</v>
      </c>
      <c r="T188" s="60">
        <f t="shared" si="142"/>
        <v>176.7239677722049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-1.4210854715202004E-13</v>
      </c>
      <c r="AJ188" s="14">
        <f>AI188*VLOOKUP('Données projet'!$B$10,Paramètres!$A$1:$I$89,3,0)*VLOOKUP('Données projet'!$B$10,Paramètres!$A$1:$I$89,5,0)</f>
        <v>-1.2857981346314773E-13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210.85498515082651</v>
      </c>
      <c r="AO188" s="60">
        <f t="shared" si="144"/>
        <v>76.413905647258389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456.68544269509601</v>
      </c>
      <c r="BJ188" s="60">
        <f t="shared" si="146"/>
        <v>417.22363874931852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5.1159076974727213E-13</v>
      </c>
      <c r="BZ188" s="14">
        <f>BY188*VLOOKUP('Données projet'!$B$12,Paramètres!$A$1:$I$89,3,0)*VLOOKUP('Données projet'!$B$12,Paramètres!$A$1:$I$89,5,0)</f>
        <v>2.8597924028872516E-13</v>
      </c>
      <c r="CA188" s="14">
        <f t="shared" si="170"/>
        <v>3.8016246610825715E-12</v>
      </c>
      <c r="CB188" s="22">
        <f t="shared" si="171"/>
        <v>7.1192434615550094E-12</v>
      </c>
      <c r="CC188" s="60">
        <f t="shared" si="119"/>
        <v>293.33333333334042</v>
      </c>
      <c r="CD188" s="60">
        <f ca="1">AVERAGE(OFFSET($CC$3,0,0,'Données projet'!$E$12+1,1))-AVERAGE(OFFSET($H$3,0,0,'Données projet'!$E$12+1,1))</f>
        <v>234.38946271740315</v>
      </c>
      <c r="CE188" s="60">
        <f t="shared" si="148"/>
        <v>123.9494810355684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0.49946065503043691</v>
      </c>
      <c r="CM188" s="23">
        <f>EXP(-LN(2)/2)*CM187+(1-EXP(-LN(2)/2))/(LN(2)/2)*CG188*CJ188*VLOOKUP('Données projet'!$B$12,Paramètres!$A$1:$I$89,3,0)*0.475*44/12</f>
        <v>8.6244665930172719E-21</v>
      </c>
      <c r="CN188" s="24">
        <f t="shared" si="172"/>
        <v>0.49946065503043691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0" t="e">
        <f t="shared" si="122"/>
        <v>#N/A</v>
      </c>
      <c r="CY188" s="60" t="e">
        <f ca="1">AVERAGE(OFFSET($CX$3,0,0,'Données projet'!$E$13+1,1))-AVERAGE(OFFSET($H$3,0,0,'Données projet'!$E$13+1,1))</f>
        <v>#N/A</v>
      </c>
      <c r="CZ188" s="60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8">
        <f t="shared" si="110"/>
        <v>491.71333357115242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314.4389771131751</v>
      </c>
      <c r="T189" s="60">
        <f t="shared" si="142"/>
        <v>176.7239677722049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-1.4210854715202004E-13</v>
      </c>
      <c r="AJ189" s="14">
        <f>AI189*VLOOKUP('Données projet'!$B$10,Paramètres!$A$1:$I$89,3,0)*VLOOKUP('Données projet'!$B$10,Paramètres!$A$1:$I$89,5,0)</f>
        <v>-1.2857981346314773E-13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210.85498515082651</v>
      </c>
      <c r="AO189" s="60">
        <f t="shared" si="144"/>
        <v>76.413905647258389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456.68544269509601</v>
      </c>
      <c r="BJ189" s="60">
        <f t="shared" si="146"/>
        <v>417.22363874931852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5.1159076974727213E-13</v>
      </c>
      <c r="BZ189" s="14">
        <f>BY189*VLOOKUP('Données projet'!$B$12,Paramètres!$A$1:$I$89,3,0)*VLOOKUP('Données projet'!$B$12,Paramètres!$A$1:$I$89,5,0)</f>
        <v>2.8597924028872516E-13</v>
      </c>
      <c r="CA189" s="14">
        <f t="shared" si="170"/>
        <v>3.8016246610825715E-12</v>
      </c>
      <c r="CB189" s="22">
        <f t="shared" si="171"/>
        <v>7.1192434615550094E-12</v>
      </c>
      <c r="CC189" s="60">
        <f t="shared" si="119"/>
        <v>293.33333333334042</v>
      </c>
      <c r="CD189" s="60">
        <f ca="1">AVERAGE(OFFSET($CC$3,0,0,'Données projet'!$E$12+1,1))-AVERAGE(OFFSET($H$3,0,0,'Données projet'!$E$12+1,1))</f>
        <v>234.38946271740315</v>
      </c>
      <c r="CE189" s="60">
        <f t="shared" si="148"/>
        <v>123.9494810355684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0.4858028771531353</v>
      </c>
      <c r="CM189" s="23">
        <f>EXP(-LN(2)/2)*CM188+(1-EXP(-LN(2)/2))/(LN(2)/2)*CG189*CJ189*VLOOKUP('Données projet'!$B$12,Paramètres!$A$1:$I$89,3,0)*0.475*44/12</f>
        <v>6.0984188120393532E-21</v>
      </c>
      <c r="CN189" s="24">
        <f t="shared" si="172"/>
        <v>0.4858028771531353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0" t="e">
        <f t="shared" si="122"/>
        <v>#N/A</v>
      </c>
      <c r="CY189" s="60" t="e">
        <f ca="1">AVERAGE(OFFSET($CX$3,0,0,'Données projet'!$E$13+1,1))-AVERAGE(OFFSET($H$3,0,0,'Données projet'!$E$13+1,1))</f>
        <v>#N/A</v>
      </c>
      <c r="CZ189" s="60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8">
        <f t="shared" si="110"/>
        <v>492.75319522065962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314.4389771131751</v>
      </c>
      <c r="T190" s="60">
        <f t="shared" si="142"/>
        <v>176.7239677722049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-1.4210854715202004E-13</v>
      </c>
      <c r="AJ190" s="14">
        <f>AI190*VLOOKUP('Données projet'!$B$10,Paramètres!$A$1:$I$89,3,0)*VLOOKUP('Données projet'!$B$10,Paramètres!$A$1:$I$89,5,0)</f>
        <v>-1.2857981346314773E-13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210.85498515082651</v>
      </c>
      <c r="AO190" s="60">
        <f t="shared" si="144"/>
        <v>76.413905647258389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456.68544269509601</v>
      </c>
      <c r="BJ190" s="60">
        <f t="shared" si="146"/>
        <v>417.22363874931852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5.1159076974727213E-13</v>
      </c>
      <c r="BZ190" s="14">
        <f>BY190*VLOOKUP('Données projet'!$B$12,Paramètres!$A$1:$I$89,3,0)*VLOOKUP('Données projet'!$B$12,Paramètres!$A$1:$I$89,5,0)</f>
        <v>2.8597924028872516E-13</v>
      </c>
      <c r="CA190" s="14">
        <f t="shared" si="170"/>
        <v>3.8016246610825715E-12</v>
      </c>
      <c r="CB190" s="22">
        <f t="shared" si="171"/>
        <v>7.1192434615550094E-12</v>
      </c>
      <c r="CC190" s="60">
        <f t="shared" si="119"/>
        <v>293.33333333334042</v>
      </c>
      <c r="CD190" s="60">
        <f ca="1">AVERAGE(OFFSET($CC$3,0,0,'Données projet'!$E$12+1,1))-AVERAGE(OFFSET($H$3,0,0,'Données projet'!$E$12+1,1))</f>
        <v>234.38946271740315</v>
      </c>
      <c r="CE190" s="60">
        <f t="shared" si="148"/>
        <v>123.9494810355684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0.47251857193011981</v>
      </c>
      <c r="CM190" s="23">
        <f>EXP(-LN(2)/2)*CM189+(1-EXP(-LN(2)/2))/(LN(2)/2)*CG190*CJ190*VLOOKUP('Données projet'!$B$12,Paramètres!$A$1:$I$89,3,0)*0.475*44/12</f>
        <v>4.3122332965086359E-21</v>
      </c>
      <c r="CN190" s="24">
        <f t="shared" si="172"/>
        <v>0.47251857193011981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0" t="e">
        <f t="shared" si="122"/>
        <v>#N/A</v>
      </c>
      <c r="CY190" s="60" t="e">
        <f ca="1">AVERAGE(OFFSET($CX$3,0,0,'Données projet'!$E$13+1,1))-AVERAGE(OFFSET($H$3,0,0,'Données projet'!$E$13+1,1))</f>
        <v>#N/A</v>
      </c>
      <c r="CZ190" s="60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8">
        <f t="shared" si="110"/>
        <v>493.79293109709795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314.4389771131751</v>
      </c>
      <c r="T191" s="60">
        <f t="shared" si="142"/>
        <v>176.7239677722049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-1.4210854715202004E-13</v>
      </c>
      <c r="AJ191" s="14">
        <f>AI191*VLOOKUP('Données projet'!$B$10,Paramètres!$A$1:$I$89,3,0)*VLOOKUP('Données projet'!$B$10,Paramètres!$A$1:$I$89,5,0)</f>
        <v>-1.2857981346314773E-13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210.85498515082651</v>
      </c>
      <c r="AO191" s="60">
        <f t="shared" si="144"/>
        <v>76.413905647258389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456.68544269509601</v>
      </c>
      <c r="BJ191" s="60">
        <f t="shared" si="146"/>
        <v>417.22363874931852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5.1159076974727213E-13</v>
      </c>
      <c r="BZ191" s="14">
        <f>BY191*VLOOKUP('Données projet'!$B$12,Paramètres!$A$1:$I$89,3,0)*VLOOKUP('Données projet'!$B$12,Paramètres!$A$1:$I$89,5,0)</f>
        <v>2.8597924028872516E-13</v>
      </c>
      <c r="CA191" s="14">
        <f t="shared" si="170"/>
        <v>3.8016246610825715E-12</v>
      </c>
      <c r="CB191" s="22">
        <f t="shared" si="171"/>
        <v>7.1192434615550094E-12</v>
      </c>
      <c r="CC191" s="60">
        <f t="shared" si="119"/>
        <v>293.33333333334042</v>
      </c>
      <c r="CD191" s="60">
        <f ca="1">AVERAGE(OFFSET($CC$3,0,0,'Données projet'!$E$12+1,1))-AVERAGE(OFFSET($H$3,0,0,'Données projet'!$E$12+1,1))</f>
        <v>234.38946271740315</v>
      </c>
      <c r="CE191" s="60">
        <f t="shared" si="148"/>
        <v>123.9494810355684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0.45959752673201892</v>
      </c>
      <c r="CM191" s="23">
        <f>EXP(-LN(2)/2)*CM190+(1-EXP(-LN(2)/2))/(LN(2)/2)*CG191*CJ191*VLOOKUP('Données projet'!$B$12,Paramètres!$A$1:$I$89,3,0)*0.475*44/12</f>
        <v>3.0492094060196766E-21</v>
      </c>
      <c r="CN191" s="24">
        <f t="shared" si="172"/>
        <v>0.45959752673201892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0" t="e">
        <f t="shared" si="122"/>
        <v>#N/A</v>
      </c>
      <c r="CY191" s="60" t="e">
        <f ca="1">AVERAGE(OFFSET($CX$3,0,0,'Données projet'!$E$13+1,1))-AVERAGE(OFFSET($H$3,0,0,'Données projet'!$E$13+1,1))</f>
        <v>#N/A</v>
      </c>
      <c r="CZ191" s="60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8">
        <f t="shared" si="110"/>
        <v>494.83254194712129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314.4389771131751</v>
      </c>
      <c r="T192" s="60">
        <f t="shared" si="142"/>
        <v>176.7239677722049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-1.4210854715202004E-13</v>
      </c>
      <c r="AJ192" s="14">
        <f>AI192*VLOOKUP('Données projet'!$B$10,Paramètres!$A$1:$I$89,3,0)*VLOOKUP('Données projet'!$B$10,Paramètres!$A$1:$I$89,5,0)</f>
        <v>-1.2857981346314773E-13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210.85498515082651</v>
      </c>
      <c r="AO192" s="60">
        <f t="shared" si="144"/>
        <v>76.413905647258389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456.68544269509601</v>
      </c>
      <c r="BJ192" s="60">
        <f t="shared" si="146"/>
        <v>417.22363874931852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5.1159076974727213E-13</v>
      </c>
      <c r="BZ192" s="14">
        <f>BY192*VLOOKUP('Données projet'!$B$12,Paramètres!$A$1:$I$89,3,0)*VLOOKUP('Données projet'!$B$12,Paramètres!$A$1:$I$89,5,0)</f>
        <v>2.8597924028872516E-13</v>
      </c>
      <c r="CA192" s="14">
        <f t="shared" si="170"/>
        <v>3.8016246610825715E-12</v>
      </c>
      <c r="CB192" s="22">
        <f t="shared" si="171"/>
        <v>7.1192434615550094E-12</v>
      </c>
      <c r="CC192" s="60">
        <f t="shared" si="119"/>
        <v>293.33333333334042</v>
      </c>
      <c r="CD192" s="60">
        <f ca="1">AVERAGE(OFFSET($CC$3,0,0,'Données projet'!$E$12+1,1))-AVERAGE(OFFSET($H$3,0,0,'Données projet'!$E$12+1,1))</f>
        <v>234.38946271740315</v>
      </c>
      <c r="CE192" s="60">
        <f t="shared" si="148"/>
        <v>123.9494810355684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0.44702980819434834</v>
      </c>
      <c r="CM192" s="23">
        <f>EXP(-LN(2)/2)*CM191+(1-EXP(-LN(2)/2))/(LN(2)/2)*CG192*CJ192*VLOOKUP('Données projet'!$B$12,Paramètres!$A$1:$I$89,3,0)*0.475*44/12</f>
        <v>2.156116648254318E-21</v>
      </c>
      <c r="CN192" s="24">
        <f t="shared" si="172"/>
        <v>0.44702980819434834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0" t="e">
        <f t="shared" si="122"/>
        <v>#N/A</v>
      </c>
      <c r="CY192" s="60" t="e">
        <f ca="1">AVERAGE(OFFSET($CX$3,0,0,'Données projet'!$E$13+1,1))-AVERAGE(OFFSET($H$3,0,0,'Données projet'!$E$13+1,1))</f>
        <v>#N/A</v>
      </c>
      <c r="CZ192" s="60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8">
        <f t="shared" si="110"/>
        <v>495.87202850902497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314.4389771131751</v>
      </c>
      <c r="T193" s="60">
        <f t="shared" si="142"/>
        <v>176.7239677722049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-1.4210854715202004E-13</v>
      </c>
      <c r="AJ193" s="14">
        <f>AI193*VLOOKUP('Données projet'!$B$10,Paramètres!$A$1:$I$89,3,0)*VLOOKUP('Données projet'!$B$10,Paramètres!$A$1:$I$89,5,0)</f>
        <v>-1.2857981346314773E-13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210.85498515082651</v>
      </c>
      <c r="AO193" s="60">
        <f t="shared" si="144"/>
        <v>76.413905647258389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456.68544269509601</v>
      </c>
      <c r="BJ193" s="60">
        <f t="shared" si="146"/>
        <v>417.22363874931852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5.1159076974727213E-13</v>
      </c>
      <c r="BZ193" s="14">
        <f>BY193*VLOOKUP('Données projet'!$B$12,Paramètres!$A$1:$I$89,3,0)*VLOOKUP('Données projet'!$B$12,Paramètres!$A$1:$I$89,5,0)</f>
        <v>2.8597924028872516E-13</v>
      </c>
      <c r="CA193" s="14">
        <f t="shared" si="170"/>
        <v>3.8016246610825715E-12</v>
      </c>
      <c r="CB193" s="22">
        <f t="shared" si="171"/>
        <v>7.1192434615550094E-12</v>
      </c>
      <c r="CC193" s="60">
        <f t="shared" si="119"/>
        <v>293.33333333334042</v>
      </c>
      <c r="CD193" s="60">
        <f ca="1">AVERAGE(OFFSET($CC$3,0,0,'Données projet'!$E$12+1,1))-AVERAGE(OFFSET($H$3,0,0,'Données projet'!$E$12+1,1))</f>
        <v>234.38946271740315</v>
      </c>
      <c r="CE193" s="60">
        <f t="shared" si="148"/>
        <v>123.9494810355684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0.43480575458099796</v>
      </c>
      <c r="CM193" s="23">
        <f>EXP(-LN(2)/2)*CM192+(1-EXP(-LN(2)/2))/(LN(2)/2)*CG193*CJ193*VLOOKUP('Données projet'!$B$12,Paramètres!$A$1:$I$89,3,0)*0.475*44/12</f>
        <v>1.5246047030098383E-21</v>
      </c>
      <c r="CN193" s="24">
        <f t="shared" si="172"/>
        <v>0.43480575458099796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0" t="e">
        <f t="shared" si="122"/>
        <v>#N/A</v>
      </c>
      <c r="CY193" s="60" t="e">
        <f ca="1">AVERAGE(OFFSET($CX$3,0,0,'Données projet'!$E$13+1,1))-AVERAGE(OFFSET($H$3,0,0,'Données projet'!$E$13+1,1))</f>
        <v>#N/A</v>
      </c>
      <c r="CZ193" s="60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8">
        <f t="shared" si="110"/>
        <v>496.91139151288291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314.4389771131751</v>
      </c>
      <c r="T194" s="60">
        <f t="shared" si="142"/>
        <v>176.7239677722049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-1.4210854715202004E-13</v>
      </c>
      <c r="AJ194" s="14">
        <f>AI194*VLOOKUP('Données projet'!$B$10,Paramètres!$A$1:$I$89,3,0)*VLOOKUP('Données projet'!$B$10,Paramètres!$A$1:$I$89,5,0)</f>
        <v>-1.2857981346314773E-13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210.85498515082651</v>
      </c>
      <c r="AO194" s="60">
        <f t="shared" si="144"/>
        <v>76.413905647258389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456.68544269509601</v>
      </c>
      <c r="BJ194" s="60">
        <f t="shared" si="146"/>
        <v>417.22363874931852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5.1159076974727213E-13</v>
      </c>
      <c r="BZ194" s="14">
        <f>BY194*VLOOKUP('Données projet'!$B$12,Paramètres!$A$1:$I$89,3,0)*VLOOKUP('Données projet'!$B$12,Paramètres!$A$1:$I$89,5,0)</f>
        <v>2.8597924028872516E-13</v>
      </c>
      <c r="CA194" s="14">
        <f t="shared" si="170"/>
        <v>3.8016246610825715E-12</v>
      </c>
      <c r="CB194" s="22">
        <f t="shared" si="171"/>
        <v>7.1192434615550094E-12</v>
      </c>
      <c r="CC194" s="60">
        <f t="shared" si="119"/>
        <v>293.33333333334042</v>
      </c>
      <c r="CD194" s="60">
        <f ca="1">AVERAGE(OFFSET($CC$3,0,0,'Données projet'!$E$12+1,1))-AVERAGE(OFFSET($H$3,0,0,'Données projet'!$E$12+1,1))</f>
        <v>234.38946271740315</v>
      </c>
      <c r="CE194" s="60">
        <f t="shared" si="148"/>
        <v>123.9494810355684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0.42291596835653972</v>
      </c>
      <c r="CM194" s="23">
        <f>EXP(-LN(2)/2)*CM193+(1-EXP(-LN(2)/2))/(LN(2)/2)*CG194*CJ194*VLOOKUP('Données projet'!$B$12,Paramètres!$A$1:$I$89,3,0)*0.475*44/12</f>
        <v>1.078058324127159E-21</v>
      </c>
      <c r="CN194" s="24">
        <f t="shared" si="172"/>
        <v>0.42291596835653972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0" t="e">
        <f t="shared" si="122"/>
        <v>#N/A</v>
      </c>
      <c r="CY194" s="60" t="e">
        <f ca="1">AVERAGE(OFFSET($CX$3,0,0,'Données projet'!$E$13+1,1))-AVERAGE(OFFSET($H$3,0,0,'Données projet'!$E$13+1,1))</f>
        <v>#N/A</v>
      </c>
      <c r="CZ194" s="60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8">
        <f t="shared" si="110"/>
        <v>497.95063168068179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314.4389771131751</v>
      </c>
      <c r="T195" s="60">
        <f t="shared" si="142"/>
        <v>176.7239677722049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-1.4210854715202004E-13</v>
      </c>
      <c r="AJ195" s="14">
        <f>AI195*VLOOKUP('Données projet'!$B$10,Paramètres!$A$1:$I$89,3,0)*VLOOKUP('Données projet'!$B$10,Paramètres!$A$1:$I$89,5,0)</f>
        <v>-1.2857981346314773E-13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210.85498515082651</v>
      </c>
      <c r="AO195" s="60">
        <f t="shared" si="144"/>
        <v>76.413905647258389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456.68544269509601</v>
      </c>
      <c r="BJ195" s="60">
        <f t="shared" si="146"/>
        <v>417.22363874931852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5.1159076974727213E-13</v>
      </c>
      <c r="BZ195" s="14">
        <f>BY195*VLOOKUP('Données projet'!$B$12,Paramètres!$A$1:$I$89,3,0)*VLOOKUP('Données projet'!$B$12,Paramètres!$A$1:$I$89,5,0)</f>
        <v>2.8597924028872516E-13</v>
      </c>
      <c r="CA195" s="14">
        <f t="shared" si="170"/>
        <v>3.8016246610825715E-12</v>
      </c>
      <c r="CB195" s="22">
        <f t="shared" si="171"/>
        <v>7.1192434615550094E-12</v>
      </c>
      <c r="CC195" s="60">
        <f t="shared" si="119"/>
        <v>293.33333333334042</v>
      </c>
      <c r="CD195" s="60">
        <f ca="1">AVERAGE(OFFSET($CC$3,0,0,'Données projet'!$E$12+1,1))-AVERAGE(OFFSET($H$3,0,0,'Données projet'!$E$12+1,1))</f>
        <v>234.38946271740315</v>
      </c>
      <c r="CE195" s="60">
        <f t="shared" si="148"/>
        <v>123.9494810355684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0.41135130896164596</v>
      </c>
      <c r="CM195" s="23">
        <f>EXP(-LN(2)/2)*CM194+(1-EXP(-LN(2)/2))/(LN(2)/2)*CG195*CJ195*VLOOKUP('Données projet'!$B$12,Paramètres!$A$1:$I$89,3,0)*0.475*44/12</f>
        <v>7.6230235150491915E-22</v>
      </c>
      <c r="CN195" s="24">
        <f t="shared" si="172"/>
        <v>0.41135130896164596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0" t="e">
        <f t="shared" si="122"/>
        <v>#N/A</v>
      </c>
      <c r="CY195" s="60" t="e">
        <f ca="1">AVERAGE(OFFSET($CX$3,0,0,'Données projet'!$E$13+1,1))-AVERAGE(OFFSET($H$3,0,0,'Données projet'!$E$13+1,1))</f>
        <v>#N/A</v>
      </c>
      <c r="CZ195" s="60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8">
        <f t="shared" ref="H196:H203" si="192">(B196+E196+F196)*44/12+(C196+D196)*0.475*44/12</f>
        <v>498.98974972645203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314.4389771131751</v>
      </c>
      <c r="T196" s="60">
        <f t="shared" si="142"/>
        <v>176.7239677722049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-1.4210854715202004E-13</v>
      </c>
      <c r="AJ196" s="14">
        <f>AI196*VLOOKUP('Données projet'!$B$10,Paramètres!$A$1:$I$89,3,0)*VLOOKUP('Données projet'!$B$10,Paramètres!$A$1:$I$89,5,0)</f>
        <v>-1.2857981346314773E-13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210.85498515082651</v>
      </c>
      <c r="AO196" s="60">
        <f t="shared" si="144"/>
        <v>76.413905647258389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456.68544269509601</v>
      </c>
      <c r="BJ196" s="60">
        <f t="shared" si="146"/>
        <v>417.22363874931852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5.1159076974727213E-13</v>
      </c>
      <c r="BZ196" s="14">
        <f>BY196*VLOOKUP('Données projet'!$B$12,Paramètres!$A$1:$I$89,3,0)*VLOOKUP('Données projet'!$B$12,Paramètres!$A$1:$I$89,5,0)</f>
        <v>2.8597924028872516E-13</v>
      </c>
      <c r="CA196" s="14">
        <f t="shared" si="170"/>
        <v>3.8016246610825715E-12</v>
      </c>
      <c r="CB196" s="22">
        <f t="shared" si="171"/>
        <v>7.1192434615550094E-12</v>
      </c>
      <c r="CC196" s="60">
        <f t="shared" ref="CC196:CC203" si="195">CB196+(BT196+BU196)*44/12</f>
        <v>293.33333333334042</v>
      </c>
      <c r="CD196" s="60">
        <f ca="1">AVERAGE(OFFSET($CC$3,0,0,'Données projet'!$E$12+1,1))-AVERAGE(OFFSET($H$3,0,0,'Données projet'!$E$12+1,1))</f>
        <v>234.38946271740315</v>
      </c>
      <c r="CE196" s="60">
        <f t="shared" si="148"/>
        <v>123.9494810355684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0.40010288578606457</v>
      </c>
      <c r="CM196" s="23">
        <f>EXP(-LN(2)/2)*CM195+(1-EXP(-LN(2)/2))/(LN(2)/2)*CG196*CJ196*VLOOKUP('Données projet'!$B$12,Paramètres!$A$1:$I$89,3,0)*0.475*44/12</f>
        <v>5.3902916206357949E-22</v>
      </c>
      <c r="CN196" s="24">
        <f t="shared" si="172"/>
        <v>0.40010288578606457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0" t="e">
        <f t="shared" ref="CX196:CX203" si="196">CW196+(CO196+CP196)*44/12</f>
        <v>#N/A</v>
      </c>
      <c r="CY196" s="60" t="e">
        <f ca="1">AVERAGE(OFFSET($CX$3,0,0,'Données projet'!$E$13+1,1))-AVERAGE(OFFSET($H$3,0,0,'Données projet'!$E$13+1,1))</f>
        <v>#N/A</v>
      </c>
      <c r="CZ196" s="60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8">
        <f t="shared" si="192"/>
        <v>500.0287463563966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314.4389771131751</v>
      </c>
      <c r="T197" s="60">
        <f t="shared" ref="T197:T203" si="204">$T$3</f>
        <v>176.7239677722049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-1.4210854715202004E-13</v>
      </c>
      <c r="AJ197" s="14">
        <f>AI197*VLOOKUP('Données projet'!$B$10,Paramètres!$A$1:$I$89,3,0)*VLOOKUP('Données projet'!$B$10,Paramètres!$A$1:$I$89,5,0)</f>
        <v>-1.2857981346314773E-13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210.85498515082651</v>
      </c>
      <c r="AO197" s="60">
        <f t="shared" ref="AO197:AO203" si="205">$AO$3</f>
        <v>76.413905647258389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456.68544269509601</v>
      </c>
      <c r="BJ197" s="60">
        <f t="shared" ref="BJ197:BJ203" si="206">$BJ$3</f>
        <v>417.22363874931852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5.1159076974727213E-13</v>
      </c>
      <c r="BZ197" s="14">
        <f>BY197*VLOOKUP('Données projet'!$B$12,Paramètres!$A$1:$I$89,3,0)*VLOOKUP('Données projet'!$B$12,Paramètres!$A$1:$I$89,5,0)</f>
        <v>2.8597924028872516E-13</v>
      </c>
      <c r="CA197" s="14">
        <f t="shared" si="170"/>
        <v>3.8016246610825715E-12</v>
      </c>
      <c r="CB197" s="22">
        <f t="shared" si="171"/>
        <v>7.1192434615550094E-12</v>
      </c>
      <c r="CC197" s="60">
        <f t="shared" si="195"/>
        <v>293.33333333334042</v>
      </c>
      <c r="CD197" s="60">
        <f ca="1">AVERAGE(OFFSET($CC$3,0,0,'Données projet'!$E$12+1,1))-AVERAGE(OFFSET($H$3,0,0,'Données projet'!$E$12+1,1))</f>
        <v>234.38946271740315</v>
      </c>
      <c r="CE197" s="60">
        <f t="shared" ref="CE197:CE203" si="207">$CE$3</f>
        <v>123.9494810355684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0.38916205133374832</v>
      </c>
      <c r="CM197" s="23">
        <f>EXP(-LN(2)/2)*CM196+(1-EXP(-LN(2)/2))/(LN(2)/2)*CG197*CJ197*VLOOKUP('Données projet'!$B$12,Paramètres!$A$1:$I$89,3,0)*0.475*44/12</f>
        <v>3.8115117575245957E-22</v>
      </c>
      <c r="CN197" s="24">
        <f t="shared" si="172"/>
        <v>0.38916205133374832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0" t="e">
        <f t="shared" si="196"/>
        <v>#N/A</v>
      </c>
      <c r="CY197" s="60" t="e">
        <f ca="1">AVERAGE(OFFSET($CX$3,0,0,'Données projet'!$E$13+1,1))-AVERAGE(OFFSET($H$3,0,0,'Données projet'!$E$13+1,1))</f>
        <v>#N/A</v>
      </c>
      <c r="CZ197" s="60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8">
        <f t="shared" si="192"/>
        <v>501.06762226901623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314.4389771131751</v>
      </c>
      <c r="T198" s="60">
        <f t="shared" si="204"/>
        <v>176.7239677722049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-1.4210854715202004E-13</v>
      </c>
      <c r="AJ198" s="14">
        <f>AI198*VLOOKUP('Données projet'!$B$10,Paramètres!$A$1:$I$89,3,0)*VLOOKUP('Données projet'!$B$10,Paramètres!$A$1:$I$89,5,0)</f>
        <v>-1.2857981346314773E-13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210.85498515082651</v>
      </c>
      <c r="AO198" s="60">
        <f t="shared" si="205"/>
        <v>76.413905647258389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456.68544269509601</v>
      </c>
      <c r="BJ198" s="60">
        <f t="shared" si="206"/>
        <v>417.22363874931852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5.1159076974727213E-13</v>
      </c>
      <c r="BZ198" s="14">
        <f>BY198*VLOOKUP('Données projet'!$B$12,Paramètres!$A$1:$I$89,3,0)*VLOOKUP('Données projet'!$B$12,Paramètres!$A$1:$I$89,5,0)</f>
        <v>2.8597924028872516E-13</v>
      </c>
      <c r="CA198" s="14">
        <f t="shared" si="170"/>
        <v>3.8016246610825715E-12</v>
      </c>
      <c r="CB198" s="22">
        <f t="shared" si="171"/>
        <v>7.1192434615550094E-12</v>
      </c>
      <c r="CC198" s="60">
        <f t="shared" si="195"/>
        <v>293.33333333334042</v>
      </c>
      <c r="CD198" s="60">
        <f ca="1">AVERAGE(OFFSET($CC$3,0,0,'Données projet'!$E$12+1,1))-AVERAGE(OFFSET($H$3,0,0,'Données projet'!$E$12+1,1))</f>
        <v>234.38946271740315</v>
      </c>
      <c r="CE198" s="60">
        <f t="shared" si="207"/>
        <v>123.9494810355684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0.37852039457488412</v>
      </c>
      <c r="CM198" s="23">
        <f>EXP(-LN(2)/2)*CM197+(1-EXP(-LN(2)/2))/(LN(2)/2)*CG198*CJ198*VLOOKUP('Données projet'!$B$12,Paramètres!$A$1:$I$89,3,0)*0.475*44/12</f>
        <v>2.6951458103178975E-22</v>
      </c>
      <c r="CN198" s="24">
        <f t="shared" si="172"/>
        <v>0.37852039457488412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0" t="e">
        <f t="shared" si="196"/>
        <v>#N/A</v>
      </c>
      <c r="CY198" s="60" t="e">
        <f ca="1">AVERAGE(OFFSET($CX$3,0,0,'Données projet'!$E$13+1,1))-AVERAGE(OFFSET($H$3,0,0,'Données projet'!$E$13+1,1))</f>
        <v>#N/A</v>
      </c>
      <c r="CZ198" s="60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8">
        <f t="shared" si="192"/>
        <v>502.10637815523307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314.4389771131751</v>
      </c>
      <c r="T199" s="60">
        <f t="shared" si="204"/>
        <v>176.7239677722049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-1.4210854715202004E-13</v>
      </c>
      <c r="AJ199" s="14">
        <f>AI199*VLOOKUP('Données projet'!$B$10,Paramètres!$A$1:$I$89,3,0)*VLOOKUP('Données projet'!$B$10,Paramètres!$A$1:$I$89,5,0)</f>
        <v>-1.2857981346314773E-13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210.85498515082651</v>
      </c>
      <c r="AO199" s="60">
        <f t="shared" si="205"/>
        <v>76.413905647258389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456.68544269509601</v>
      </c>
      <c r="BJ199" s="60">
        <f t="shared" si="206"/>
        <v>417.22363874931852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5.1159076974727213E-13</v>
      </c>
      <c r="BZ199" s="14">
        <f>BY199*VLOOKUP('Données projet'!$B$12,Paramètres!$A$1:$I$89,3,0)*VLOOKUP('Données projet'!$B$12,Paramètres!$A$1:$I$89,5,0)</f>
        <v>2.8597924028872516E-13</v>
      </c>
      <c r="CA199" s="14">
        <f t="shared" si="170"/>
        <v>3.8016246610825715E-12</v>
      </c>
      <c r="CB199" s="22">
        <f t="shared" si="171"/>
        <v>7.1192434615550094E-12</v>
      </c>
      <c r="CC199" s="60">
        <f t="shared" si="195"/>
        <v>293.33333333334042</v>
      </c>
      <c r="CD199" s="60">
        <f ca="1">AVERAGE(OFFSET($CC$3,0,0,'Données projet'!$E$12+1,1))-AVERAGE(OFFSET($H$3,0,0,'Données projet'!$E$12+1,1))</f>
        <v>234.38946271740315</v>
      </c>
      <c r="CE199" s="60">
        <f t="shared" si="207"/>
        <v>123.9494810355684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0.36816973447971146</v>
      </c>
      <c r="CM199" s="23">
        <f>EXP(-LN(2)/2)*CM198+(1-EXP(-LN(2)/2))/(LN(2)/2)*CG199*CJ199*VLOOKUP('Données projet'!$B$12,Paramètres!$A$1:$I$89,3,0)*0.475*44/12</f>
        <v>1.9057558787622979E-22</v>
      </c>
      <c r="CN199" s="24">
        <f t="shared" si="172"/>
        <v>0.36816973447971146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0" t="e">
        <f t="shared" si="196"/>
        <v>#N/A</v>
      </c>
      <c r="CY199" s="60" t="e">
        <f ca="1">AVERAGE(OFFSET($CX$3,0,0,'Données projet'!$E$13+1,1))-AVERAGE(OFFSET($H$3,0,0,'Données projet'!$E$13+1,1))</f>
        <v>#N/A</v>
      </c>
      <c r="CZ199" s="60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8">
        <f t="shared" si="192"/>
        <v>503.14501469851064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314.4389771131751</v>
      </c>
      <c r="T200" s="60">
        <f t="shared" si="204"/>
        <v>176.7239677722049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-1.4210854715202004E-13</v>
      </c>
      <c r="AJ200" s="14">
        <f>AI200*VLOOKUP('Données projet'!$B$10,Paramètres!$A$1:$I$89,3,0)*VLOOKUP('Données projet'!$B$10,Paramètres!$A$1:$I$89,5,0)</f>
        <v>-1.2857981346314773E-13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210.85498515082651</v>
      </c>
      <c r="AO200" s="60">
        <f t="shared" si="205"/>
        <v>76.413905647258389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456.68544269509601</v>
      </c>
      <c r="BJ200" s="60">
        <f t="shared" si="206"/>
        <v>417.22363874931852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5.1159076974727213E-13</v>
      </c>
      <c r="BZ200" s="14">
        <f>BY200*VLOOKUP('Données projet'!$B$12,Paramètres!$A$1:$I$89,3,0)*VLOOKUP('Données projet'!$B$12,Paramètres!$A$1:$I$89,5,0)</f>
        <v>2.8597924028872516E-13</v>
      </c>
      <c r="CA200" s="14">
        <f t="shared" si="170"/>
        <v>3.8016246610825715E-12</v>
      </c>
      <c r="CB200" s="22">
        <f t="shared" si="171"/>
        <v>7.1192434615550094E-12</v>
      </c>
      <c r="CC200" s="60">
        <f t="shared" si="195"/>
        <v>293.33333333334042</v>
      </c>
      <c r="CD200" s="60">
        <f ca="1">AVERAGE(OFFSET($CC$3,0,0,'Données projet'!$E$12+1,1))-AVERAGE(OFFSET($H$3,0,0,'Données projet'!$E$12+1,1))</f>
        <v>234.38946271740315</v>
      </c>
      <c r="CE200" s="60">
        <f t="shared" si="207"/>
        <v>123.9494810355684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0.3581021137291589</v>
      </c>
      <c r="CM200" s="23">
        <f>EXP(-LN(2)/2)*CM199+(1-EXP(-LN(2)/2))/(LN(2)/2)*CG200*CJ200*VLOOKUP('Données projet'!$B$12,Paramètres!$A$1:$I$89,3,0)*0.475*44/12</f>
        <v>1.3475729051589487E-22</v>
      </c>
      <c r="CN200" s="24">
        <f t="shared" si="172"/>
        <v>0.3581021137291589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0" t="e">
        <f t="shared" si="196"/>
        <v>#N/A</v>
      </c>
      <c r="CY200" s="60" t="e">
        <f ca="1">AVERAGE(OFFSET($CX$3,0,0,'Données projet'!$E$13+1,1))-AVERAGE(OFFSET($H$3,0,0,'Données projet'!$E$13+1,1))</f>
        <v>#N/A</v>
      </c>
      <c r="CZ200" s="60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8">
        <f t="shared" si="192"/>
        <v>504.18353257497199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314.4389771131751</v>
      </c>
      <c r="T201" s="60">
        <f t="shared" si="204"/>
        <v>176.7239677722049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-1.4210854715202004E-13</v>
      </c>
      <c r="AJ201" s="14">
        <f>AI201*VLOOKUP('Données projet'!$B$10,Paramètres!$A$1:$I$89,3,0)*VLOOKUP('Données projet'!$B$10,Paramètres!$A$1:$I$89,5,0)</f>
        <v>-1.2857981346314773E-13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210.85498515082651</v>
      </c>
      <c r="AO201" s="60">
        <f t="shared" si="205"/>
        <v>76.413905647258389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456.68544269509601</v>
      </c>
      <c r="BJ201" s="60">
        <f t="shared" si="206"/>
        <v>417.22363874931852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5.1159076974727213E-13</v>
      </c>
      <c r="BZ201" s="14">
        <f>BY201*VLOOKUP('Données projet'!$B$12,Paramètres!$A$1:$I$89,3,0)*VLOOKUP('Données projet'!$B$12,Paramètres!$A$1:$I$89,5,0)</f>
        <v>2.8597924028872516E-13</v>
      </c>
      <c r="CA201" s="14">
        <f t="shared" si="170"/>
        <v>3.8016246610825715E-12</v>
      </c>
      <c r="CB201" s="22">
        <f t="shared" si="171"/>
        <v>7.1192434615550094E-12</v>
      </c>
      <c r="CC201" s="60">
        <f t="shared" si="195"/>
        <v>293.33333333334042</v>
      </c>
      <c r="CD201" s="60">
        <f ca="1">AVERAGE(OFFSET($CC$3,0,0,'Données projet'!$E$12+1,1))-AVERAGE(OFFSET($H$3,0,0,'Données projet'!$E$12+1,1))</f>
        <v>234.38946271740315</v>
      </c>
      <c r="CE201" s="60">
        <f t="shared" si="207"/>
        <v>123.9494810355684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0.34830979259746336</v>
      </c>
      <c r="CM201" s="23">
        <f>EXP(-LN(2)/2)*CM200+(1-EXP(-LN(2)/2))/(LN(2)/2)*CG201*CJ201*VLOOKUP('Données projet'!$B$12,Paramètres!$A$1:$I$89,3,0)*0.475*44/12</f>
        <v>9.5287793938114893E-23</v>
      </c>
      <c r="CN201" s="24">
        <f t="shared" si="172"/>
        <v>0.34830979259746336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0" t="e">
        <f t="shared" si="196"/>
        <v>#N/A</v>
      </c>
      <c r="CY201" s="60" t="e">
        <f ca="1">AVERAGE(OFFSET($CX$3,0,0,'Données projet'!$E$13+1,1))-AVERAGE(OFFSET($H$3,0,0,'Données projet'!$E$13+1,1))</f>
        <v>#N/A</v>
      </c>
      <c r="CZ201" s="60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8">
        <f t="shared" si="192"/>
        <v>505.22193245351531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314.4389771131751</v>
      </c>
      <c r="T202" s="60">
        <f t="shared" si="204"/>
        <v>176.7239677722049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-1.4210854715202004E-13</v>
      </c>
      <c r="AJ202" s="14">
        <f>AI202*VLOOKUP('Données projet'!$B$10,Paramètres!$A$1:$I$89,3,0)*VLOOKUP('Données projet'!$B$10,Paramètres!$A$1:$I$89,5,0)</f>
        <v>-1.2857981346314773E-13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210.85498515082651</v>
      </c>
      <c r="AO202" s="60">
        <f t="shared" si="205"/>
        <v>76.413905647258389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456.68544269509601</v>
      </c>
      <c r="BJ202" s="60">
        <f t="shared" si="206"/>
        <v>417.22363874931852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5.1159076974727213E-13</v>
      </c>
      <c r="BZ202" s="14">
        <f>BY202*VLOOKUP('Données projet'!$B$12,Paramètres!$A$1:$I$89,3,0)*VLOOKUP('Données projet'!$B$12,Paramètres!$A$1:$I$89,5,0)</f>
        <v>2.8597924028872516E-13</v>
      </c>
      <c r="CA202" s="14">
        <f t="shared" si="170"/>
        <v>3.8016246610825715E-12</v>
      </c>
      <c r="CB202" s="22">
        <f t="shared" si="171"/>
        <v>7.1192434615550094E-12</v>
      </c>
      <c r="CC202" s="60">
        <f t="shared" si="195"/>
        <v>293.33333333334042</v>
      </c>
      <c r="CD202" s="60">
        <f ca="1">AVERAGE(OFFSET($CC$3,0,0,'Données projet'!$E$12+1,1))-AVERAGE(OFFSET($H$3,0,0,'Données projet'!$E$12+1,1))</f>
        <v>234.38946271740315</v>
      </c>
      <c r="CE202" s="60">
        <f t="shared" si="207"/>
        <v>123.9494810355684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0.3387852430020698</v>
      </c>
      <c r="CM202" s="23">
        <f>EXP(-LN(2)/2)*CM201+(1-EXP(-LN(2)/2))/(LN(2)/2)*CG202*CJ202*VLOOKUP('Données projet'!$B$12,Paramètres!$A$1:$I$89,3,0)*0.475*44/12</f>
        <v>6.7378645257947436E-23</v>
      </c>
      <c r="CN202" s="24">
        <f t="shared" si="172"/>
        <v>0.3387852430020698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0" t="e">
        <f t="shared" si="196"/>
        <v>#N/A</v>
      </c>
      <c r="CY202" s="60" t="e">
        <f ca="1">AVERAGE(OFFSET($CX$3,0,0,'Données projet'!$E$13+1,1))-AVERAGE(OFFSET($H$3,0,0,'Données projet'!$E$13+1,1))</f>
        <v>#N/A</v>
      </c>
      <c r="CZ202" s="60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8">
        <f t="shared" si="192"/>
        <v>506.26021499592679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314.4389771131751</v>
      </c>
      <c r="T203" s="60">
        <f t="shared" si="204"/>
        <v>176.7239677722049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-1.4210854715202004E-13</v>
      </c>
      <c r="AJ203" s="14">
        <f>AI203*VLOOKUP('Données projet'!$B$10,Paramètres!$A$1:$I$89,3,0)*VLOOKUP('Données projet'!$B$10,Paramètres!$A$1:$I$89,5,0)</f>
        <v>-1.2857981346314773E-13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210.85498515082651</v>
      </c>
      <c r="AO203" s="60">
        <f t="shared" si="205"/>
        <v>76.413905647258389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456.68544269509601</v>
      </c>
      <c r="BJ203" s="60">
        <f t="shared" si="206"/>
        <v>417.22363874931852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5.1159076974727213E-13</v>
      </c>
      <c r="BZ203" s="14">
        <f>BY203*VLOOKUP('Données projet'!$B$12,Paramètres!$A$1:$I$89,3,0)*VLOOKUP('Données projet'!$B$12,Paramètres!$A$1:$I$89,5,0)</f>
        <v>2.8597924028872516E-13</v>
      </c>
      <c r="CA203" s="14">
        <f t="shared" si="170"/>
        <v>3.8016246610825715E-12</v>
      </c>
      <c r="CB203" s="22">
        <f t="shared" si="171"/>
        <v>7.1192434615550094E-12</v>
      </c>
      <c r="CC203" s="60">
        <f t="shared" si="195"/>
        <v>293.33333333334042</v>
      </c>
      <c r="CD203" s="60">
        <f ca="1">AVERAGE(OFFSET($CC$3,0,0,'Données projet'!$E$12+1,1))-AVERAGE(OFFSET($H$3,0,0,'Données projet'!$E$12+1,1))</f>
        <v>234.38946271740315</v>
      </c>
      <c r="CE203" s="60">
        <f t="shared" si="207"/>
        <v>123.9494810355684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0.32952114271623656</v>
      </c>
      <c r="CM203" s="23">
        <f>EXP(-LN(2)/2)*CM202+(1-EXP(-LN(2)/2))/(LN(2)/2)*CG203*CJ203*VLOOKUP('Données projet'!$B$12,Paramètres!$A$1:$I$89,3,0)*0.475*44/12</f>
        <v>4.7643896969057447E-23</v>
      </c>
      <c r="CN203" s="24">
        <f t="shared" si="172"/>
        <v>0.32952114271623656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0" t="e">
        <f t="shared" si="196"/>
        <v>#N/A</v>
      </c>
      <c r="CY203" s="60" t="e">
        <f ca="1">AVERAGE(OFFSET($CX$3,0,0,'Données projet'!$E$13+1,1))-AVERAGE(OFFSET($H$3,0,0,'Données projet'!$E$13+1,1))</f>
        <v>#N/A</v>
      </c>
      <c r="CZ203" s="60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1.1422113165588705</v>
      </c>
      <c r="BA205" s="86">
        <f>EXP(LN('Données projet'!B88)/'Données projet'!A88)</f>
        <v>1.323844195013806</v>
      </c>
      <c r="BV205" s="86">
        <f>EXP(LN('Données projet'!B114)/'Données projet'!A114)</f>
        <v>1.1750448175105419</v>
      </c>
      <c r="CQ205" s="86" t="e">
        <f>EXP(LN('Données projet'!B140)/'Données projet'!A140)</f>
        <v>#NUM!</v>
      </c>
      <c r="DL205" s="86" t="e">
        <f>EXP(LN('Données projet'!B166)/'Données projet'!A166)</f>
        <v>#NUM!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7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8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7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9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9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8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7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8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A9" sqref="A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sessile</v>
      </c>
      <c r="B6" s="153">
        <f>'Données projet'!D9</f>
        <v>1.3340000000000001</v>
      </c>
      <c r="C6" s="154">
        <f ca="1">IF(OR('Données projet'!B9="",'Données projet'!C9="",'Données projet'!C9=0%),0,Calculateur!S3)</f>
        <v>314.4389771131751</v>
      </c>
      <c r="D6" s="154">
        <f>IF(OR('Données projet'!B9="",'Données projet'!C9="",'Données projet'!C9=0%),0,Calculateur!T3)</f>
        <v>176.7239677722049</v>
      </c>
      <c r="E6" s="154">
        <f ca="1">MIN(C6,D6)</f>
        <v>176.7239677722049</v>
      </c>
      <c r="F6" s="154">
        <f ca="1">E6*B6</f>
        <v>235.74977300812134</v>
      </c>
      <c r="G6" s="154">
        <f ca="1">F6*(100%-'Données projet'!$C$24)*(100%-'Données projet'!$C$25)*(100%-'Données projet'!$C$26)*(100%-'Données projet'!$C$27)</f>
        <v>212.17479570730922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9.6715</v>
      </c>
      <c r="K6" s="158">
        <f>J6*(100%-'Données projet'!$C$24)*(100%-'Données projet'!$C$25)*(100%-'Données projet'!$C$26)*(100%-'Données projet'!$C$27)</f>
        <v>8.7043499999999998</v>
      </c>
      <c r="L6" s="159">
        <f ca="1">G6+I6+K6</f>
        <v>220.87914570730922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sessile</v>
      </c>
      <c r="B7" s="161">
        <f>'Données projet'!D10</f>
        <v>2.0299999999999998</v>
      </c>
      <c r="C7" s="154">
        <f ca="1">IF(OR('Données projet'!B10="",'Données projet'!C10="",'Données projet'!C10=0%),0,Calculateur!AN3)</f>
        <v>210.85498515082651</v>
      </c>
      <c r="D7" s="154">
        <f>IF(OR('Données projet'!B10="",'Données projet'!C10="",'Données projet'!C10=0%),0,Calculateur!AO3)</f>
        <v>76.413905647258389</v>
      </c>
      <c r="E7" s="154">
        <f t="shared" ref="E7:E15" ca="1" si="0">MIN(C7,D7)</f>
        <v>76.413905647258389</v>
      </c>
      <c r="F7" s="154">
        <f t="shared" ref="F7:F15" ca="1" si="1">E7*B7</f>
        <v>155.12022846393452</v>
      </c>
      <c r="G7" s="154">
        <f ca="1">F7*(100%-'Données projet'!$C$24)*(100%-'Données projet'!$C$25)*(100%-'Données projet'!$C$26)*(100%-'Données projet'!$C$27)</f>
        <v>139.60820561754107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0</v>
      </c>
      <c r="K7" s="158">
        <f>J7*(100%-'Données projet'!$C$24)*(100%-'Données projet'!$C$25)*(100%-'Données projet'!$C$26)*(100%-'Données projet'!$C$27)</f>
        <v>0</v>
      </c>
      <c r="L7" s="159">
        <f t="shared" ref="L7:L15" ca="1" si="2">G7+I7+K7</f>
        <v>139.60820561754107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Séquoia toujours vert</v>
      </c>
      <c r="B8" s="161">
        <f>'Données projet'!D11</f>
        <v>1.8559999999999999</v>
      </c>
      <c r="C8" s="154">
        <f ca="1">IF(OR('Données projet'!B11="",'Données projet'!C11="",'Données projet'!C11=0%),0,Calculateur!BI3)</f>
        <v>456.68544269509601</v>
      </c>
      <c r="D8" s="154">
        <f>IF(OR('Données projet'!B11="",'Données projet'!C11="",'Données projet'!C11=0%),0,Calculateur!BJ3)</f>
        <v>417.22363874931852</v>
      </c>
      <c r="E8" s="154">
        <f t="shared" ca="1" si="0"/>
        <v>417.22363874931852</v>
      </c>
      <c r="F8" s="154">
        <f t="shared" ca="1" si="1"/>
        <v>774.36707351873508</v>
      </c>
      <c r="G8" s="154">
        <f ca="1">F8*(100%-'Données projet'!$C$24)*(100%-'Données projet'!$C$25)*(100%-'Données projet'!$C$26)*(100%-'Données projet'!$C$27)</f>
        <v>696.93036616686163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67.038719999999984</v>
      </c>
      <c r="K8" s="158">
        <f>J8*(100%-'Données projet'!$C$24)*(100%-'Données projet'!$C$25)*(100%-'Données projet'!$C$26)*(100%-'Données projet'!$C$27)</f>
        <v>60.334847999999987</v>
      </c>
      <c r="L8" s="159">
        <f t="shared" ca="1" si="2"/>
        <v>757.2652141668616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Douglas</v>
      </c>
      <c r="B9" s="161">
        <f>'Données projet'!D12</f>
        <v>0.57999999999999996</v>
      </c>
      <c r="C9" s="154">
        <f ca="1">IF(OR('Données projet'!B12="",'Données projet'!C12="",'Données projet'!C12=0%),0,Calculateur!CD3)</f>
        <v>234.38946271740315</v>
      </c>
      <c r="D9" s="154">
        <f>IF(OR('Données projet'!B12="",'Données projet'!C12="",'Données projet'!C12=0%),0,Calculateur!CE3)</f>
        <v>123.9494810355684</v>
      </c>
      <c r="E9" s="154">
        <f t="shared" ca="1" si="0"/>
        <v>123.9494810355684</v>
      </c>
      <c r="F9" s="154">
        <f t="shared" ca="1" si="1"/>
        <v>71.890699000629667</v>
      </c>
      <c r="G9" s="154">
        <f ca="1">F9*(100%-'Données projet'!$C$24)*(100%-'Données projet'!$C$25)*(100%-'Données projet'!$C$26)*(100%-'Données projet'!$C$27)</f>
        <v>64.701629100566706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ca="1" si="2"/>
        <v>64.701629100566706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/>
      </c>
      <c r="B10" s="161">
        <f>'Données projet'!D13</f>
        <v>0</v>
      </c>
      <c r="C10" s="154">
        <f>IF(OR('Données projet'!B13="",'Données projet'!C13="",'Données projet'!C13=0%),0,Calculateur!CY3)</f>
        <v>0</v>
      </c>
      <c r="D10" s="154">
        <f>IF(OR('Données projet'!B13="",'Données projet'!C13="",'Données projet'!C13=0%),0,Calculateur!CZ3)</f>
        <v>0</v>
      </c>
      <c r="E10" s="154">
        <f t="shared" si="0"/>
        <v>0</v>
      </c>
      <c r="F10" s="154">
        <f t="shared" si="1"/>
        <v>0</v>
      </c>
      <c r="G10" s="154">
        <f>F10*(100%-'Données projet'!$C$24)*(100%-'Données projet'!$C$25)*(100%-'Données projet'!$C$26)*(100%-'Données projet'!$C$27)</f>
        <v>0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/>
      </c>
      <c r="B11" s="161">
        <f>'Données projet'!D14</f>
        <v>0</v>
      </c>
      <c r="C11" s="154">
        <f>IF(OR('Données projet'!B14="",'Données projet'!C14="",'Données projet'!C14=0%),0,Calculateur!DT3)</f>
        <v>0</v>
      </c>
      <c r="D11" s="154">
        <f>IF(OR('Données projet'!B14="",'Données projet'!C14="",'Données projet'!C14=0%),0,Calculateur!DU3)</f>
        <v>0</v>
      </c>
      <c r="E11" s="154">
        <f t="shared" si="0"/>
        <v>0</v>
      </c>
      <c r="F11" s="154">
        <f t="shared" si="1"/>
        <v>0</v>
      </c>
      <c r="G11" s="154">
        <f>F11*(100%-'Données projet'!$C$24)*(100%-'Données projet'!$C$25)*(100%-'Données projet'!$C$26)*(100%-'Données projet'!$C$27)</f>
        <v>0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1237.1277739914206</v>
      </c>
      <c r="G16" s="173">
        <f t="shared" ca="1" si="3"/>
        <v>1113.4149965922784</v>
      </c>
      <c r="H16" s="174">
        <f t="shared" si="3"/>
        <v>0</v>
      </c>
      <c r="I16" s="174">
        <f t="shared" si="3"/>
        <v>0</v>
      </c>
      <c r="J16" s="175">
        <f t="shared" si="3"/>
        <v>76.710219999999978</v>
      </c>
      <c r="K16" s="175">
        <f t="shared" si="3"/>
        <v>69.039197999999985</v>
      </c>
      <c r="L16" s="176">
        <f t="shared" ca="1" si="3"/>
        <v>1182.4541945922786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sessile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Séquoia toujours vert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Douglas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/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/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L4" zoomScale="80" zoomScaleNormal="80" workbookViewId="0">
      <selection activeCell="N18" sqref="N1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40" t="s">
        <v>315</v>
      </c>
      <c r="I4" s="340"/>
      <c r="K4" s="337" t="s">
        <v>253</v>
      </c>
      <c r="L4" s="338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9" t="s">
        <v>310</v>
      </c>
      <c r="S7" s="330"/>
      <c r="T7" s="330"/>
      <c r="U7" s="330"/>
      <c r="V7" s="331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795.9366756344125</v>
      </c>
      <c r="U10" s="188">
        <f>'Données projet'!D9</f>
        <v>1.3340000000000001</v>
      </c>
      <c r="V10" s="187">
        <f>U10*T10</f>
        <v>1061.7795252963062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sessile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387.85379971896276</v>
      </c>
      <c r="U11" s="188">
        <f>'Données projet'!D10</f>
        <v>2.0299999999999998</v>
      </c>
      <c r="V11" s="187">
        <f t="shared" ref="V11" si="0">U11*T11</f>
        <v>787.34321342949431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Séquoia toujours vert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3975.5012404749095</v>
      </c>
      <c r="U12" s="188">
        <f>'Données projet'!D11</f>
        <v>1.8559999999999999</v>
      </c>
      <c r="V12" s="187">
        <f t="shared" ref="V12:V19" si="1">U12*T12</f>
        <v>7378.5303023214319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Douglas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978.8981799858359</v>
      </c>
      <c r="U13" s="188">
        <f>'Données projet'!D12</f>
        <v>0.57999999999999996</v>
      </c>
      <c r="V13" s="187">
        <f t="shared" si="1"/>
        <v>567.76094439178473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/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8">
        <f>'Données projet'!D13</f>
        <v>0</v>
      </c>
      <c r="V14" s="187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41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/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41"/>
      <c r="H16" s="201"/>
      <c r="I16" s="202"/>
      <c r="J16" s="214"/>
      <c r="K16" s="223"/>
      <c r="L16" s="337" t="s">
        <v>254</v>
      </c>
      <c r="M16" s="338"/>
      <c r="N16" s="2">
        <v>100</v>
      </c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41"/>
      <c r="J17" s="214"/>
      <c r="K17" s="223"/>
      <c r="L17" s="295" t="s">
        <v>289</v>
      </c>
      <c r="M17" s="297"/>
      <c r="N17" s="185">
        <f>VLOOKUP(N16,Calculateur!$A$2:$H$153,3,0)/VLOOKUP('Scénario référence'!$G$15,Paramètres!A1:I89,3,0)/VLOOKUP('Scénario référence'!$G$15,Paramètres!A1:I89,5,0)</f>
        <v>100.00000000000021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41"/>
      <c r="J18" s="214"/>
      <c r="K18" s="223"/>
      <c r="L18" s="295" t="s">
        <v>255</v>
      </c>
      <c r="M18" s="297"/>
      <c r="N18" s="203">
        <v>20</v>
      </c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41"/>
      <c r="H19" s="230" t="s">
        <v>178</v>
      </c>
      <c r="I19" s="230" t="s">
        <v>287</v>
      </c>
      <c r="J19" s="258"/>
      <c r="K19" s="181"/>
      <c r="L19" s="337" t="s">
        <v>288</v>
      </c>
      <c r="M19" s="338"/>
      <c r="N19" s="189">
        <f>N17*N18</f>
        <v>2000.0000000000043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41"/>
      <c r="H20" s="201">
        <v>0</v>
      </c>
      <c r="I20" s="202">
        <v>7104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2">
        <v>0</v>
      </c>
      <c r="D23" s="192">
        <f>B23*C23</f>
        <v>0</v>
      </c>
      <c r="E23" s="204"/>
      <c r="F23" s="259"/>
      <c r="H23" s="201"/>
      <c r="I23" s="202"/>
      <c r="K23" s="223"/>
      <c r="L23" s="339" t="s">
        <v>260</v>
      </c>
      <c r="M23" s="339"/>
      <c r="N23" s="339"/>
      <c r="O23" s="25"/>
      <c r="P23" s="25"/>
      <c r="Q23" s="263"/>
      <c r="R23" s="25"/>
      <c r="S23" s="183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-31407.786014560981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0</v>
      </c>
      <c r="C24" s="204">
        <v>0</v>
      </c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142.17686850800013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29</v>
      </c>
      <c r="C25" s="204">
        <v>10</v>
      </c>
      <c r="D25" s="192">
        <f t="shared" si="2"/>
        <v>290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6">
        <f ca="1">T23-T24</f>
        <v>-31549.96288306898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0</v>
      </c>
      <c r="C26" s="204">
        <v>0</v>
      </c>
      <c r="D26" s="192">
        <f t="shared" si="2"/>
        <v>0</v>
      </c>
      <c r="E26" s="204"/>
      <c r="F26" s="262"/>
      <c r="G26" s="257"/>
      <c r="H26" s="201"/>
      <c r="I26" s="202"/>
      <c r="K26" s="223"/>
      <c r="L26" s="323" t="s">
        <v>258</v>
      </c>
      <c r="M26" s="324"/>
      <c r="N26" s="324"/>
      <c r="O26" s="324"/>
      <c r="P26" s="325"/>
      <c r="Q26" s="263"/>
      <c r="R26" s="25"/>
      <c r="S26" s="196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42</v>
      </c>
      <c r="C27" s="204">
        <v>10</v>
      </c>
      <c r="D27" s="192">
        <f t="shared" si="2"/>
        <v>420</v>
      </c>
      <c r="E27" s="204"/>
      <c r="F27" s="262"/>
      <c r="G27" s="257"/>
      <c r="H27" s="201"/>
      <c r="I27" s="202"/>
      <c r="K27" s="223"/>
      <c r="L27" s="326"/>
      <c r="M27" s="327"/>
      <c r="N27" s="327"/>
      <c r="O27" s="327"/>
      <c r="P27" s="328"/>
      <c r="Q27" s="263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0</v>
      </c>
      <c r="C28" s="204">
        <v>0</v>
      </c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42</v>
      </c>
      <c r="C29" s="204">
        <v>20</v>
      </c>
      <c r="D29" s="192">
        <f t="shared" si="2"/>
        <v>840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0</v>
      </c>
      <c r="C30" s="204">
        <v>0</v>
      </c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42</v>
      </c>
      <c r="C31" s="204">
        <v>30</v>
      </c>
      <c r="D31" s="192">
        <f t="shared" si="2"/>
        <v>1260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0</v>
      </c>
      <c r="C32" s="204">
        <v>0</v>
      </c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42</v>
      </c>
      <c r="C33" s="204">
        <v>40</v>
      </c>
      <c r="D33" s="192">
        <f t="shared" si="2"/>
        <v>1680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0</v>
      </c>
      <c r="C34" s="204">
        <v>0</v>
      </c>
      <c r="D34" s="192">
        <f t="shared" si="2"/>
        <v>0</v>
      </c>
      <c r="E34" s="204"/>
      <c r="F34" s="262"/>
      <c r="G34" s="216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80</v>
      </c>
      <c r="B35" s="191">
        <f>'Données projet'!D48</f>
        <v>42</v>
      </c>
      <c r="C35" s="204">
        <v>70</v>
      </c>
      <c r="D35" s="192">
        <f t="shared" si="2"/>
        <v>2940</v>
      </c>
      <c r="E35" s="204"/>
      <c r="F35" s="262"/>
      <c r="G35" s="216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90</v>
      </c>
      <c r="B36" s="191">
        <f>'Données projet'!D49</f>
        <v>42</v>
      </c>
      <c r="C36" s="204">
        <v>100</v>
      </c>
      <c r="D36" s="192">
        <f t="shared" si="2"/>
        <v>4200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100</v>
      </c>
      <c r="B37" s="191">
        <f>'Données projet'!D50</f>
        <v>42</v>
      </c>
      <c r="C37" s="204">
        <v>110</v>
      </c>
      <c r="D37" s="192">
        <f t="shared" si="2"/>
        <v>4620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110</v>
      </c>
      <c r="B38" s="191">
        <f>'Données projet'!D51</f>
        <v>39</v>
      </c>
      <c r="C38" s="204">
        <v>120</v>
      </c>
      <c r="D38" s="192">
        <f t="shared" si="2"/>
        <v>4680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120</v>
      </c>
      <c r="B39" s="191">
        <f>'Données projet'!D52</f>
        <v>35</v>
      </c>
      <c r="C39" s="204">
        <v>130</v>
      </c>
      <c r="D39" s="192">
        <f t="shared" si="2"/>
        <v>4550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130</v>
      </c>
      <c r="B40" s="191">
        <f>'Données projet'!D53</f>
        <v>31</v>
      </c>
      <c r="C40" s="204">
        <v>140</v>
      </c>
      <c r="D40" s="192">
        <f t="shared" si="2"/>
        <v>4340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140</v>
      </c>
      <c r="B41" s="191">
        <f>'Données projet'!D54</f>
        <v>27</v>
      </c>
      <c r="C41" s="204">
        <v>160</v>
      </c>
      <c r="D41" s="192">
        <f t="shared" si="2"/>
        <v>4320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293</v>
      </c>
      <c r="C42" s="204">
        <v>200</v>
      </c>
      <c r="D42" s="192">
        <f t="shared" si="2"/>
        <v>58600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Chêne sessile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30</v>
      </c>
      <c r="B54" s="191">
        <f>'Données projet'!D62</f>
        <v>0</v>
      </c>
      <c r="C54" s="202">
        <v>0</v>
      </c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40</v>
      </c>
      <c r="B55" s="191">
        <f>'Données projet'!D63</f>
        <v>27</v>
      </c>
      <c r="C55" s="204">
        <v>10</v>
      </c>
      <c r="D55" s="189">
        <f t="shared" ref="D55:D73" si="4">B55*C55</f>
        <v>270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50</v>
      </c>
      <c r="B56" s="191">
        <f>'Données projet'!D64</f>
        <v>28</v>
      </c>
      <c r="C56" s="204">
        <v>20</v>
      </c>
      <c r="D56" s="189">
        <f t="shared" si="4"/>
        <v>560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60</v>
      </c>
      <c r="B57" s="191">
        <f>'Données projet'!D65</f>
        <v>28</v>
      </c>
      <c r="C57" s="204">
        <v>30</v>
      </c>
      <c r="D57" s="189">
        <f t="shared" si="4"/>
        <v>840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70</v>
      </c>
      <c r="B58" s="191">
        <f>'Données projet'!D66</f>
        <v>28</v>
      </c>
      <c r="C58" s="204">
        <v>40</v>
      </c>
      <c r="D58" s="189">
        <f t="shared" si="4"/>
        <v>1120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80</v>
      </c>
      <c r="B59" s="191">
        <f>'Données projet'!D67</f>
        <v>28</v>
      </c>
      <c r="C59" s="204">
        <v>50</v>
      </c>
      <c r="D59" s="189">
        <f t="shared" si="4"/>
        <v>1400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90</v>
      </c>
      <c r="B60" s="191">
        <f>'Données projet'!D68</f>
        <v>28</v>
      </c>
      <c r="C60" s="204">
        <v>60</v>
      </c>
      <c r="D60" s="189">
        <f t="shared" si="4"/>
        <v>1680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100</v>
      </c>
      <c r="B61" s="191">
        <f>'Données projet'!D69</f>
        <v>28</v>
      </c>
      <c r="C61" s="204">
        <v>80</v>
      </c>
      <c r="D61" s="189">
        <f t="shared" si="4"/>
        <v>2240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110</v>
      </c>
      <c r="B62" s="191">
        <f>'Données projet'!D70</f>
        <v>27</v>
      </c>
      <c r="C62" s="204">
        <v>100</v>
      </c>
      <c r="D62" s="189">
        <f t="shared" si="4"/>
        <v>2700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120</v>
      </c>
      <c r="B63" s="191">
        <f>'Données projet'!D71</f>
        <v>25</v>
      </c>
      <c r="C63" s="204">
        <v>120</v>
      </c>
      <c r="D63" s="189">
        <f t="shared" si="4"/>
        <v>3000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130</v>
      </c>
      <c r="B64" s="191">
        <f>'Données projet'!D72</f>
        <v>21</v>
      </c>
      <c r="C64" s="204">
        <v>150</v>
      </c>
      <c r="D64" s="189">
        <f t="shared" si="4"/>
        <v>3150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140</v>
      </c>
      <c r="B65" s="191">
        <f>'Données projet'!D73</f>
        <v>17</v>
      </c>
      <c r="C65" s="204">
        <v>170</v>
      </c>
      <c r="D65" s="189">
        <f t="shared" si="4"/>
        <v>2890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150</v>
      </c>
      <c r="B66" s="191">
        <f>'Données projet'!D74</f>
        <v>224</v>
      </c>
      <c r="C66" s="204">
        <v>200</v>
      </c>
      <c r="D66" s="189">
        <f t="shared" si="4"/>
        <v>44800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0</v>
      </c>
      <c r="B67" s="191">
        <f>'Données projet'!D75</f>
        <v>0</v>
      </c>
      <c r="C67" s="204">
        <v>0</v>
      </c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0</v>
      </c>
      <c r="B68" s="191">
        <f>'Données projet'!D76</f>
        <v>0</v>
      </c>
      <c r="C68" s="204">
        <v>0</v>
      </c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0</v>
      </c>
      <c r="B69" s="191">
        <f>'Données projet'!D77</f>
        <v>0</v>
      </c>
      <c r="C69" s="204">
        <v>0</v>
      </c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0</v>
      </c>
      <c r="B70" s="191">
        <f>'Données projet'!D78</f>
        <v>0</v>
      </c>
      <c r="C70" s="204">
        <v>0</v>
      </c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0</v>
      </c>
      <c r="B71" s="191">
        <f>'Données projet'!D79</f>
        <v>0</v>
      </c>
      <c r="C71" s="204">
        <v>0</v>
      </c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0</v>
      </c>
      <c r="B72" s="191">
        <f>'Données projet'!D80</f>
        <v>0</v>
      </c>
      <c r="C72" s="204">
        <v>0</v>
      </c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0</v>
      </c>
      <c r="B73" s="191">
        <f>'Données projet'!D81</f>
        <v>0</v>
      </c>
      <c r="C73" s="204">
        <v>0</v>
      </c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Séquoia toujours vert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16</v>
      </c>
      <c r="B85" s="191">
        <f>'Données projet'!D88</f>
        <v>0</v>
      </c>
      <c r="C85" s="202">
        <v>0</v>
      </c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21</v>
      </c>
      <c r="B86" s="191">
        <f>'Données projet'!D89</f>
        <v>84</v>
      </c>
      <c r="C86" s="202">
        <v>10</v>
      </c>
      <c r="D86" s="189">
        <f t="shared" ref="D86:D104" si="6">B86*C86</f>
        <v>840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26</v>
      </c>
      <c r="B87" s="191">
        <f>'Données projet'!D90</f>
        <v>0</v>
      </c>
      <c r="C87" s="202">
        <v>0</v>
      </c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31</v>
      </c>
      <c r="B88" s="191">
        <f>'Données projet'!D91</f>
        <v>168</v>
      </c>
      <c r="C88" s="202">
        <v>15</v>
      </c>
      <c r="D88" s="189">
        <f t="shared" si="6"/>
        <v>2520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36</v>
      </c>
      <c r="B89" s="191">
        <f>'Données projet'!D92</f>
        <v>0</v>
      </c>
      <c r="C89" s="202">
        <v>0</v>
      </c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41</v>
      </c>
      <c r="B90" s="191">
        <f>'Données projet'!D93</f>
        <v>168</v>
      </c>
      <c r="C90" s="202">
        <v>20</v>
      </c>
      <c r="D90" s="189">
        <f t="shared" si="6"/>
        <v>3360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46</v>
      </c>
      <c r="B91" s="191">
        <f>'Données projet'!D94</f>
        <v>0</v>
      </c>
      <c r="C91" s="202">
        <v>0</v>
      </c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51</v>
      </c>
      <c r="B92" s="191">
        <f>'Données projet'!D95</f>
        <v>124</v>
      </c>
      <c r="C92" s="202">
        <v>30</v>
      </c>
      <c r="D92" s="189">
        <f t="shared" si="6"/>
        <v>3720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56</v>
      </c>
      <c r="B93" s="191">
        <f>'Données projet'!D96</f>
        <v>0</v>
      </c>
      <c r="C93" s="202">
        <v>0</v>
      </c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61</v>
      </c>
      <c r="B94" s="191">
        <f>'Données projet'!D97</f>
        <v>94</v>
      </c>
      <c r="C94" s="202">
        <v>35</v>
      </c>
      <c r="D94" s="189">
        <f t="shared" si="6"/>
        <v>3290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66</v>
      </c>
      <c r="B95" s="191">
        <f>'Données projet'!D98</f>
        <v>0</v>
      </c>
      <c r="C95" s="202">
        <v>0</v>
      </c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71</v>
      </c>
      <c r="B96" s="191">
        <f>'Données projet'!D99</f>
        <v>73</v>
      </c>
      <c r="C96" s="202">
        <v>50</v>
      </c>
      <c r="D96" s="189">
        <f t="shared" si="6"/>
        <v>3650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76</v>
      </c>
      <c r="B97" s="191">
        <f>'Données projet'!D100</f>
        <v>0</v>
      </c>
      <c r="C97" s="202">
        <v>0</v>
      </c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81</v>
      </c>
      <c r="B98" s="191">
        <f>'Données projet'!D101</f>
        <v>982</v>
      </c>
      <c r="C98" s="202">
        <v>60</v>
      </c>
      <c r="D98" s="189">
        <f t="shared" si="6"/>
        <v>58920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2">
        <v>0</v>
      </c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>
        <v>0</v>
      </c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>
        <v>0</v>
      </c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>
        <v>0</v>
      </c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>
        <v>0</v>
      </c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>
        <v>0</v>
      </c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Douglas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0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0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0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0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0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>
        <f>IF(O113+1&lt;=MIN('Données projet'!$E$9:$E$18),O113+1,"STOP")</f>
        <v>81</v>
      </c>
      <c r="P114" s="195">
        <f t="shared" si="7"/>
        <v>0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str">
        <f>IF(O114+1&lt;=MIN('Données projet'!$E$9:$E$18),O114+1,"STOP")</f>
        <v>STOP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34</v>
      </c>
      <c r="B116" s="191">
        <f>'Données projet'!D114</f>
        <v>83.969230769230762</v>
      </c>
      <c r="C116" s="202">
        <v>10</v>
      </c>
      <c r="D116" s="189">
        <f>B116*C116</f>
        <v>839.69230769230762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43</v>
      </c>
      <c r="B117" s="191">
        <f>'Données projet'!D115</f>
        <v>60.638461538461534</v>
      </c>
      <c r="C117" s="202">
        <v>20</v>
      </c>
      <c r="D117" s="189">
        <f t="shared" ref="D117:D135" si="8">B117*C117</f>
        <v>1212.7692307692307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52</v>
      </c>
      <c r="B118" s="191">
        <f>'Données projet'!D116</f>
        <v>50.353846153846149</v>
      </c>
      <c r="C118" s="202">
        <v>20</v>
      </c>
      <c r="D118" s="189">
        <f t="shared" si="8"/>
        <v>1007.076923076923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62</v>
      </c>
      <c r="B119" s="191">
        <f>'Données projet'!D117</f>
        <v>53.707692307692298</v>
      </c>
      <c r="C119" s="202">
        <v>30</v>
      </c>
      <c r="D119" s="189">
        <f t="shared" si="8"/>
        <v>1611.2307692307691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72</v>
      </c>
      <c r="B120" s="191">
        <f>'Données projet'!D118</f>
        <v>51.930769230769236</v>
      </c>
      <c r="C120" s="202">
        <v>40</v>
      </c>
      <c r="D120" s="189">
        <f t="shared" si="8"/>
        <v>2077.2307692307695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84</v>
      </c>
      <c r="B121" s="191">
        <f>'Données projet'!D119</f>
        <v>56.592307692307685</v>
      </c>
      <c r="C121" s="202">
        <v>50</v>
      </c>
      <c r="D121" s="189">
        <f t="shared" si="8"/>
        <v>2829.6153846153843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96</v>
      </c>
      <c r="B122" s="191">
        <f>'Données projet'!D120</f>
        <v>59.776923076923069</v>
      </c>
      <c r="C122" s="202">
        <v>60</v>
      </c>
      <c r="D122" s="189">
        <f t="shared" si="8"/>
        <v>3586.6153846153843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108</v>
      </c>
      <c r="B123" s="191">
        <f>'Données projet'!D121</f>
        <v>52.361538461538451</v>
      </c>
      <c r="C123" s="202">
        <v>70</v>
      </c>
      <c r="D123" s="189">
        <f t="shared" si="8"/>
        <v>3665.3076923076915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120</v>
      </c>
      <c r="B124" s="191">
        <f>'Données projet'!D122</f>
        <v>392.12307692307689</v>
      </c>
      <c r="C124" s="202">
        <v>80</v>
      </c>
      <c r="D124" s="189">
        <f t="shared" si="8"/>
        <v>31369.846153846152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0</v>
      </c>
      <c r="B125" s="191">
        <f>'Données projet'!D123</f>
        <v>0</v>
      </c>
      <c r="C125" s="202">
        <v>0</v>
      </c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0</v>
      </c>
      <c r="B126" s="191">
        <f>'Données projet'!D124</f>
        <v>0</v>
      </c>
      <c r="C126" s="202">
        <v>0</v>
      </c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0</v>
      </c>
      <c r="B127" s="191">
        <f>'Données projet'!D125</f>
        <v>0</v>
      </c>
      <c r="C127" s="202">
        <v>0</v>
      </c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>
        <v>0</v>
      </c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>
        <v>0</v>
      </c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>
        <v>0</v>
      </c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>
        <v>0</v>
      </c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>
        <v>0</v>
      </c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>
        <v>0</v>
      </c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>
        <v>0</v>
      </c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>
        <v>0</v>
      </c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/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5">
        <f>'Données projet'!D140</f>
        <v>0</v>
      </c>
      <c r="C147" s="204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5">
        <f>'Données projet'!D141</f>
        <v>0</v>
      </c>
      <c r="C148" s="204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5">
        <f>'Données projet'!D142</f>
        <v>0</v>
      </c>
      <c r="C149" s="204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5">
        <f>'Données projet'!D143</f>
        <v>0</v>
      </c>
      <c r="C150" s="204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5">
        <f>'Données projet'!D144</f>
        <v>0</v>
      </c>
      <c r="C151" s="204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5">
        <f>'Données projet'!D145</f>
        <v>0</v>
      </c>
      <c r="C152" s="204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5">
        <f>'Données projet'!D146</f>
        <v>0</v>
      </c>
      <c r="C153" s="204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5">
        <f>'Données projet'!D148</f>
        <v>0</v>
      </c>
      <c r="C155" s="202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5">
        <f>'Données projet'!D150</f>
        <v>0</v>
      </c>
      <c r="C157" s="202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5">
        <f>'Données projet'!D152</f>
        <v>0</v>
      </c>
      <c r="C159" s="202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5">
        <f>'Données projet'!D153</f>
        <v>0</v>
      </c>
      <c r="C160" s="202"/>
      <c r="D160" s="192">
        <f t="shared" si="10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5">
        <f>'Données projet'!D154</f>
        <v>0</v>
      </c>
      <c r="C161" s="202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5">
        <f>'Données projet'!D155</f>
        <v>0</v>
      </c>
      <c r="C162" s="202"/>
      <c r="D162" s="192">
        <f t="shared" si="10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5">
        <f>'Données projet'!D156</f>
        <v>0</v>
      </c>
      <c r="C163" s="202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5">
        <f>'Données projet'!D157</f>
        <v>0</v>
      </c>
      <c r="C164" s="202"/>
      <c r="D164" s="192">
        <f t="shared" si="10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5">
        <f>'Données projet'!D158</f>
        <v>0</v>
      </c>
      <c r="C165" s="202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5">
        <f>'Données projet'!D159</f>
        <v>0</v>
      </c>
      <c r="C166" s="202"/>
      <c r="D166" s="192">
        <f t="shared" si="10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/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0</v>
      </c>
      <c r="B178" s="191">
        <f>'Données projet'!D166</f>
        <v>0</v>
      </c>
      <c r="C178" s="202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0</v>
      </c>
      <c r="B179" s="191">
        <f>'Données projet'!D167</f>
        <v>0</v>
      </c>
      <c r="C179" s="202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0</v>
      </c>
      <c r="B180" s="191">
        <f>'Données projet'!D168</f>
        <v>0</v>
      </c>
      <c r="C180" s="202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0</v>
      </c>
      <c r="B181" s="191">
        <f>'Données projet'!D169</f>
        <v>0</v>
      </c>
      <c r="C181" s="202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0</v>
      </c>
      <c r="B182" s="191">
        <f>'Données projet'!D170</f>
        <v>0</v>
      </c>
      <c r="C182" s="202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0</v>
      </c>
      <c r="B183" s="191">
        <f>'Données projet'!D171</f>
        <v>0</v>
      </c>
      <c r="C183" s="202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0</v>
      </c>
      <c r="B184" s="191">
        <f>'Données projet'!D172</f>
        <v>0</v>
      </c>
      <c r="C184" s="202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0</v>
      </c>
      <c r="B185" s="191">
        <f>'Données projet'!D173</f>
        <v>0</v>
      </c>
      <c r="C185" s="202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0</v>
      </c>
      <c r="B186" s="191">
        <f>'Données projet'!D174</f>
        <v>0</v>
      </c>
      <c r="C186" s="202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0</v>
      </c>
      <c r="B187" s="191">
        <f>'Données projet'!D175</f>
        <v>0</v>
      </c>
      <c r="C187" s="202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0</v>
      </c>
      <c r="B188" s="191">
        <f>'Données projet'!D176</f>
        <v>0</v>
      </c>
      <c r="C188" s="202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2025-08-13T15:40:35Z</dcterms:modified>
</cp:coreProperties>
</file>